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旧宫综合\测算表2018.9.4\"/>
    </mc:Choice>
  </mc:AlternateContent>
  <bookViews>
    <workbookView xWindow="480" yWindow="216"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2)" sheetId="72" state="hidden"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收益法住" sheetId="15" state="hidden" r:id="rId29"/>
    <sheet name="不动产收益法" sheetId="69" r:id="rId30"/>
    <sheet name="不动产收益法仓" sheetId="71"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收益法车" sheetId="70" state="hidden" r:id="rId39"/>
    <sheet name="不动产比较法-仓储" sheetId="36" state="hidden" r:id="rId40"/>
    <sheet name="典型户型修正" sheetId="31" state="hidden" r:id="rId41"/>
    <sheet name="存贷款利率" sheetId="65" state="hidden" r:id="rId42"/>
    <sheet name="基准地价" sheetId="46" r:id="rId43"/>
    <sheet name="地价信息" sheetId="74" r:id="rId44"/>
    <sheet name="地价" sheetId="59" r:id="rId45"/>
    <sheet name="Sheet2" sheetId="75" r:id="rId46"/>
  </sheets>
  <externalReferences>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66" l="1"/>
  <c r="B16" i="66"/>
  <c r="C15" i="66"/>
  <c r="B15" i="66"/>
  <c r="D16" i="66" l="1"/>
  <c r="G16" i="66" l="1"/>
  <c r="D15" i="66" l="1"/>
  <c r="G15" i="66" l="1"/>
  <c r="I13" i="3" l="1"/>
  <c r="D73" i="39" l="1"/>
  <c r="E73" i="39" s="1"/>
  <c r="F73" i="39" s="1"/>
  <c r="G73" i="39" s="1"/>
  <c r="H73" i="39" s="1"/>
  <c r="I73" i="39" s="1"/>
  <c r="J73" i="39" s="1"/>
  <c r="K73" i="39" s="1"/>
  <c r="L73" i="39" s="1"/>
  <c r="M73" i="39" s="1"/>
  <c r="N73" i="39" s="1"/>
  <c r="F1" i="46" l="1"/>
  <c r="D29" i="46" s="1"/>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s="1"/>
  <c r="O5" i="72"/>
  <c r="O33" i="72" s="1"/>
  <c r="E5" i="72"/>
  <c r="L4" i="72"/>
  <c r="E4" i="72"/>
  <c r="L3" i="72"/>
  <c r="E3" i="72"/>
  <c r="D3" i="72" s="1"/>
  <c r="L5" i="72" l="1"/>
  <c r="D30" i="72"/>
  <c r="D10" i="72"/>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D50" i="72"/>
  <c r="O53" i="72"/>
  <c r="N33" i="72"/>
  <c r="H52" i="72"/>
  <c r="H53" i="72" s="1"/>
  <c r="N52" i="72"/>
  <c r="N53" i="72" s="1"/>
  <c r="Q54" i="72" l="1"/>
  <c r="L53" i="72"/>
  <c r="D52" i="72"/>
  <c r="D33" i="72"/>
  <c r="D53" i="72" l="1"/>
  <c r="D55" i="72" s="1"/>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C11" i="4"/>
  <c r="B7" i="4"/>
  <c r="D3" i="4"/>
  <c r="F17" i="71" l="1"/>
  <c r="F17" i="70"/>
  <c r="F17" i="69"/>
  <c r="D7" i="59"/>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2" i="67"/>
  <c r="E13" i="67"/>
  <c r="B10" i="67"/>
  <c r="B8" i="67"/>
  <c r="B13" i="67"/>
  <c r="E14" i="67"/>
  <c r="B11" i="67"/>
  <c r="E8" i="67"/>
  <c r="F11" i="67"/>
  <c r="F8" i="67"/>
  <c r="E10" i="67"/>
  <c r="F9" i="67"/>
  <c r="F10" i="67"/>
  <c r="F13" i="67"/>
  <c r="F12" i="67"/>
  <c r="B9" i="67"/>
  <c r="B12" i="67"/>
  <c r="E11" i="67"/>
  <c r="B14" i="67"/>
  <c r="F14" i="67"/>
  <c r="E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6" i="65"/>
  <c r="N5" i="65"/>
  <c r="N4" i="65"/>
  <c r="N3" i="65"/>
  <c r="J3" i="65"/>
  <c r="J1" i="65" l="1"/>
  <c r="C4" i="65"/>
  <c r="B39" i="1" s="1"/>
  <c r="J5" i="65"/>
  <c r="J4" i="65"/>
  <c r="J6" i="65"/>
  <c r="I4" i="65"/>
  <c r="I5" i="65"/>
  <c r="I7" i="65"/>
  <c r="I6" i="65"/>
  <c r="J7" i="65"/>
  <c r="I3"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22" i="59" l="1"/>
  <c r="V10" i="59"/>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M19" i="46" s="1"/>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M11" i="15"/>
  <c r="J10" i="15" s="1"/>
  <c r="C30"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K86" i="46"/>
  <c r="J86" i="46" s="1"/>
  <c r="M85" i="46"/>
  <c r="N85" i="46" s="1"/>
  <c r="K85" i="46"/>
  <c r="J85" i="46" s="1"/>
  <c r="M84" i="46"/>
  <c r="N84" i="46" s="1"/>
  <c r="K84" i="46"/>
  <c r="J84" i="46" s="1"/>
  <c r="M83" i="46"/>
  <c r="N83" i="46" s="1"/>
  <c r="K83" i="46"/>
  <c r="J83" i="46" s="1"/>
  <c r="M82" i="46"/>
  <c r="N82" i="46" s="1"/>
  <c r="K82" i="46"/>
  <c r="J82" i="46" s="1"/>
  <c r="D82" i="46" s="1"/>
  <c r="M81" i="46"/>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M63" i="46"/>
  <c r="N63" i="46" s="1"/>
  <c r="K63" i="46"/>
  <c r="J63" i="46" s="1"/>
  <c r="D63" i="46" s="1"/>
  <c r="M62" i="46"/>
  <c r="N62" i="46" s="1"/>
  <c r="K62" i="46"/>
  <c r="J62" i="46" s="1"/>
  <c r="M61" i="46"/>
  <c r="N61" i="46" s="1"/>
  <c r="K61" i="46"/>
  <c r="J61" i="46" s="1"/>
  <c r="D61" i="46" s="1"/>
  <c r="M60" i="46"/>
  <c r="N60" i="46" s="1"/>
  <c r="K60" i="46"/>
  <c r="J60" i="46" s="1"/>
  <c r="D60" i="46" s="1"/>
  <c r="M59" i="46"/>
  <c r="N59" i="46" s="1"/>
  <c r="K59" i="46"/>
  <c r="J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75" i="46"/>
  <c r="J66"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I59" i="40" s="1"/>
  <c r="C59" i="40" s="1"/>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J20" i="46"/>
  <c r="C18"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U31" i="35" s="1"/>
  <c r="F31" i="35"/>
  <c r="S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H42" i="34"/>
  <c r="AB42" i="34" s="1"/>
  <c r="J42" i="34"/>
  <c r="AC42" i="34" s="1"/>
  <c r="F42" i="34"/>
  <c r="S42" i="34" s="1"/>
  <c r="J38" i="34"/>
  <c r="AC38" i="34" s="1"/>
  <c r="D114" i="34"/>
  <c r="E114" i="34" s="1"/>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J40" i="37" s="1"/>
  <c r="AC40" i="37" s="1"/>
  <c r="D107" i="37"/>
  <c r="E107" i="37" s="1"/>
  <c r="F107" i="37" s="1"/>
  <c r="D105" i="37"/>
  <c r="E105" i="37" s="1"/>
  <c r="F105" i="37" s="1"/>
  <c r="G105" i="37" s="1"/>
  <c r="H36" i="37"/>
  <c r="AB36" i="37" s="1"/>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H26" i="37" s="1"/>
  <c r="AB26" i="37" s="1"/>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J13" i="36" s="1"/>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B77" i="35"/>
  <c r="B75" i="35"/>
  <c r="J24" i="35" s="1"/>
  <c r="B73" i="35"/>
  <c r="J23" i="35" s="1"/>
  <c r="B57" i="35"/>
  <c r="F11" i="35" s="1"/>
  <c r="S11" i="35" s="1"/>
  <c r="B61" i="35"/>
  <c r="F13" i="35" s="1"/>
  <c r="S13" i="35" s="1"/>
  <c r="B59" i="35"/>
  <c r="B131" i="34"/>
  <c r="F47" i="34" s="1"/>
  <c r="AA47" i="34" s="1"/>
  <c r="B129" i="34"/>
  <c r="H46" i="34" s="1"/>
  <c r="B127" i="34"/>
  <c r="H45" i="34" s="1"/>
  <c r="B99" i="34"/>
  <c r="F32" i="34" s="1"/>
  <c r="AA32" i="34" s="1"/>
  <c r="B97" i="34"/>
  <c r="H31" i="34" s="1"/>
  <c r="AB31" i="34" s="1"/>
  <c r="B95" i="34"/>
  <c r="H30" i="34" s="1"/>
  <c r="AB30" i="34" s="1"/>
  <c r="B93" i="34"/>
  <c r="J29" i="34" s="1"/>
  <c r="AC29" i="34" s="1"/>
  <c r="B75" i="34"/>
  <c r="F14" i="34" s="1"/>
  <c r="B73" i="34"/>
  <c r="J13" i="34" s="1"/>
  <c r="W13" i="34" s="1"/>
  <c r="B71" i="34"/>
  <c r="J12" i="34" s="1"/>
  <c r="B130" i="33"/>
  <c r="J46" i="33" s="1"/>
  <c r="B128" i="33"/>
  <c r="B126" i="33"/>
  <c r="J44" i="33" s="1"/>
  <c r="AC44" i="33" s="1"/>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H31" i="21" s="1"/>
  <c r="U31" i="21" s="1"/>
  <c r="B96" i="21"/>
  <c r="F30" i="21" s="1"/>
  <c r="S30" i="21" s="1"/>
  <c r="B94" i="21"/>
  <c r="B92" i="21"/>
  <c r="H28" i="21" s="1"/>
  <c r="B90" i="21"/>
  <c r="J27" i="21" s="1"/>
  <c r="W27" i="21" s="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E20" i="6" s="1"/>
  <c r="N5" i="3"/>
  <c r="O5" i="3"/>
  <c r="E22" i="6" s="1"/>
  <c r="P5" i="3"/>
  <c r="Q5" i="3"/>
  <c r="R5" i="3"/>
  <c r="S5" i="3"/>
  <c r="T5" i="3"/>
  <c r="U5" i="3"/>
  <c r="V5" i="3"/>
  <c r="W5" i="3"/>
  <c r="X5" i="3"/>
  <c r="Y5" i="3"/>
  <c r="Z5" i="3"/>
  <c r="AA5" i="3"/>
  <c r="AB5" i="3"/>
  <c r="H570" i="3"/>
  <c r="G570" i="3" s="1"/>
  <c r="H571" i="3"/>
  <c r="H572" i="3"/>
  <c r="G572" i="3" s="1"/>
  <c r="F5" i="3"/>
  <c r="F34" i="21"/>
  <c r="AA34" i="21" s="1"/>
  <c r="H34" i="21"/>
  <c r="U34" i="21" s="1"/>
  <c r="F43" i="2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F35" i="21"/>
  <c r="AA35" i="21" s="1"/>
  <c r="J33" i="21"/>
  <c r="W33" i="21" s="1"/>
  <c r="H33" i="21"/>
  <c r="U33" i="21" s="1"/>
  <c r="F33" i="21"/>
  <c r="S33" i="21" s="1"/>
  <c r="J10" i="21"/>
  <c r="AC10" i="21" s="1"/>
  <c r="H26" i="21"/>
  <c r="U26" i="21" s="1"/>
  <c r="F19" i="21"/>
  <c r="AA19" i="21" s="1"/>
  <c r="H19" i="21"/>
  <c r="J19" i="21"/>
  <c r="W19" i="21" s="1"/>
  <c r="J12" i="21"/>
  <c r="AC12" i="21" s="1"/>
  <c r="J26" i="21"/>
  <c r="W26" i="21" s="1"/>
  <c r="F26" i="21"/>
  <c r="AA26" i="21" s="1"/>
  <c r="AA41" i="21"/>
  <c r="S10" i="39"/>
  <c r="F39" i="37"/>
  <c r="S39" i="37" s="1"/>
  <c r="F29" i="36"/>
  <c r="AA29" i="36" s="1"/>
  <c r="F16" i="36"/>
  <c r="AA16" i="36" s="1"/>
  <c r="U22" i="36"/>
  <c r="AC31" i="36"/>
  <c r="J33" i="36"/>
  <c r="AC27" i="35"/>
  <c r="W31" i="35"/>
  <c r="F36" i="34"/>
  <c r="S36" i="34" s="1"/>
  <c r="S34" i="34"/>
  <c r="H39" i="33"/>
  <c r="AB39" i="33" s="1"/>
  <c r="W38" i="33"/>
  <c r="S33" i="33"/>
  <c r="W33" i="33"/>
  <c r="U38" i="33"/>
  <c r="W8" i="21"/>
  <c r="S10" i="40"/>
  <c r="W10" i="40"/>
  <c r="S11" i="40"/>
  <c r="U11" i="40"/>
  <c r="S36" i="40"/>
  <c r="U36" i="40"/>
  <c r="S40" i="39"/>
  <c r="S36" i="39"/>
  <c r="F11" i="21"/>
  <c r="S11" i="21" s="1"/>
  <c r="AC40" i="21"/>
  <c r="AA38" i="21"/>
  <c r="C23" i="39"/>
  <c r="U36" i="39"/>
  <c r="H32" i="33"/>
  <c r="AB32" i="33" s="1"/>
  <c r="H11" i="21"/>
  <c r="U11" i="21" s="1"/>
  <c r="J11" i="21"/>
  <c r="W11" i="21" s="1"/>
  <c r="AA12" i="33"/>
  <c r="J27" i="36"/>
  <c r="W27" i="36" s="1"/>
  <c r="J30" i="35"/>
  <c r="W30" i="35" s="1"/>
  <c r="F22" i="35"/>
  <c r="AA22" i="35" s="1"/>
  <c r="H10" i="35"/>
  <c r="U10" i="35" s="1"/>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AA35" i="37" s="1"/>
  <c r="J34" i="37"/>
  <c r="W34" i="37" s="1"/>
  <c r="H43" i="34"/>
  <c r="AB43" i="34" s="1"/>
  <c r="U42" i="34"/>
  <c r="H36" i="34"/>
  <c r="U36" i="34" s="1"/>
  <c r="F37" i="34"/>
  <c r="AA37" i="34" s="1"/>
  <c r="F33" i="34"/>
  <c r="S33" i="34" s="1"/>
  <c r="F19" i="34"/>
  <c r="AA19" i="34" s="1"/>
  <c r="J10" i="34"/>
  <c r="AC10" i="34" s="1"/>
  <c r="W8" i="34"/>
  <c r="J28" i="34"/>
  <c r="W28" i="34" s="1"/>
  <c r="S38" i="33"/>
  <c r="F36" i="33"/>
  <c r="S36" i="33" s="1"/>
  <c r="F19" i="33"/>
  <c r="S19" i="33" s="1"/>
  <c r="J19" i="33"/>
  <c r="W19" i="33" s="1"/>
  <c r="W40" i="33"/>
  <c r="AB30" i="36"/>
  <c r="S22" i="35"/>
  <c r="H29" i="35"/>
  <c r="U29" i="35" s="1"/>
  <c r="S34" i="37"/>
  <c r="AC43" i="34"/>
  <c r="AB40" i="34"/>
  <c r="J19" i="34"/>
  <c r="AC19" i="34" s="1"/>
  <c r="H37" i="33"/>
  <c r="AB37" i="33" s="1"/>
  <c r="W43" i="34"/>
  <c r="W42" i="34"/>
  <c r="AA42" i="34"/>
  <c r="W38" i="34"/>
  <c r="S38" i="34"/>
  <c r="J37" i="33"/>
  <c r="W37" i="33" s="1"/>
  <c r="J42" i="21"/>
  <c r="AC42" i="21" s="1"/>
  <c r="J44" i="34"/>
  <c r="AC44" i="34" s="1"/>
  <c r="F44" i="34"/>
  <c r="S44" i="34" s="1"/>
  <c r="J10" i="35"/>
  <c r="W10" i="35" s="1"/>
  <c r="AL5" i="3"/>
  <c r="BQ13" i="3"/>
  <c r="J14" i="21"/>
  <c r="W14" i="21" s="1"/>
  <c r="H14" i="21"/>
  <c r="U14" i="21" s="1"/>
  <c r="F28" i="21"/>
  <c r="AA28" i="21" s="1"/>
  <c r="H30" i="21"/>
  <c r="U30" i="21" s="1"/>
  <c r="J30" i="21"/>
  <c r="H44" i="21"/>
  <c r="U44" i="21" s="1"/>
  <c r="H46" i="21"/>
  <c r="AB46" i="21" s="1"/>
  <c r="F46" i="21"/>
  <c r="AA46" i="21" s="1"/>
  <c r="H28" i="33"/>
  <c r="U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J29" i="33"/>
  <c r="W29" i="33" s="1"/>
  <c r="J31" i="33"/>
  <c r="AC31" i="33" s="1"/>
  <c r="F45" i="33"/>
  <c r="S45" i="33" s="1"/>
  <c r="H28" i="36"/>
  <c r="H13" i="36"/>
  <c r="AB13" i="36" s="1"/>
  <c r="F13" i="36"/>
  <c r="S13" i="36" s="1"/>
  <c r="J29" i="37"/>
  <c r="W29" i="37" s="1"/>
  <c r="F29" i="37"/>
  <c r="AA29" i="37" s="1"/>
  <c r="J37" i="37"/>
  <c r="AC37" i="37" s="1"/>
  <c r="H37" i="37"/>
  <c r="U37" i="37" s="1"/>
  <c r="H40" i="37"/>
  <c r="F40" i="37"/>
  <c r="AA40" i="37" s="1"/>
  <c r="J14" i="33"/>
  <c r="AC14" i="33" s="1"/>
  <c r="H44" i="33"/>
  <c r="U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J14" i="37"/>
  <c r="W14" i="37" s="1"/>
  <c r="W35" i="35"/>
  <c r="J36" i="37"/>
  <c r="AC36" i="37" s="1"/>
  <c r="AB31" i="21"/>
  <c r="U46" i="21"/>
  <c r="AB14" i="21"/>
  <c r="W31" i="34"/>
  <c r="U36" i="37"/>
  <c r="AA27" i="33"/>
  <c r="S19" i="21"/>
  <c r="G508" i="3"/>
  <c r="G17" i="3"/>
  <c r="G557" i="3"/>
  <c r="BL569" i="3"/>
  <c r="BL553" i="3"/>
  <c r="BL519" i="3"/>
  <c r="BL501" i="3"/>
  <c r="AZ501" i="3" s="1"/>
  <c r="BL483" i="3"/>
  <c r="BL563" i="3"/>
  <c r="BL533" i="3"/>
  <c r="G510" i="3"/>
  <c r="BL495" i="3"/>
  <c r="BA557" i="3"/>
  <c r="BA541" i="3"/>
  <c r="BA509" i="3"/>
  <c r="BA501" i="3"/>
  <c r="BA560" i="3"/>
  <c r="BA550" i="3"/>
  <c r="BA540" i="3"/>
  <c r="BA524" i="3"/>
  <c r="BA498" i="3"/>
  <c r="BA488" i="3"/>
  <c r="BA20" i="3"/>
  <c r="G560" i="3"/>
  <c r="G550" i="3"/>
  <c r="AC542" i="3"/>
  <c r="BQ542" i="3"/>
  <c r="BQ568" i="3"/>
  <c r="BQ566" i="3"/>
  <c r="BQ564" i="3"/>
  <c r="BQ562" i="3"/>
  <c r="BQ560" i="3"/>
  <c r="BL560" i="3"/>
  <c r="BQ558" i="3"/>
  <c r="BL558" i="3"/>
  <c r="BQ556" i="3"/>
  <c r="BL556" i="3"/>
  <c r="BQ554" i="3"/>
  <c r="BQ552" i="3"/>
  <c r="BQ550" i="3"/>
  <c r="BQ548" i="3"/>
  <c r="BQ546" i="3"/>
  <c r="BQ544" i="3"/>
  <c r="G530" i="3"/>
  <c r="BQ540" i="3"/>
  <c r="BQ538" i="3"/>
  <c r="BQ536" i="3"/>
  <c r="BQ534" i="3"/>
  <c r="BQ532" i="3"/>
  <c r="BQ530" i="3"/>
  <c r="BQ528" i="3"/>
  <c r="BQ526" i="3"/>
  <c r="BQ524" i="3"/>
  <c r="BQ522" i="3"/>
  <c r="BQ520" i="3"/>
  <c r="BQ518" i="3"/>
  <c r="BL518" i="3" s="1"/>
  <c r="BQ516" i="3"/>
  <c r="BQ514" i="3"/>
  <c r="BL514" i="3" s="1"/>
  <c r="BQ512" i="3"/>
  <c r="BQ510" i="3"/>
  <c r="BQ508" i="3"/>
  <c r="AC506" i="3"/>
  <c r="BQ506" i="3"/>
  <c r="G498" i="3"/>
  <c r="BQ504" i="3"/>
  <c r="BQ502" i="3"/>
  <c r="BQ500" i="3"/>
  <c r="BQ498" i="3"/>
  <c r="BL498" i="3" s="1"/>
  <c r="BQ496" i="3"/>
  <c r="AC494" i="3"/>
  <c r="BQ494" i="3"/>
  <c r="BL493" i="3"/>
  <c r="G488" i="3"/>
  <c r="G20" i="3"/>
  <c r="BQ492" i="3"/>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H43" i="33"/>
  <c r="H17" i="37"/>
  <c r="U17" i="37" s="1"/>
  <c r="F23" i="37"/>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F17" i="37"/>
  <c r="AA17" i="37" s="1"/>
  <c r="D3" i="21"/>
  <c r="AC8" i="37"/>
  <c r="S25" i="37"/>
  <c r="AB8" i="34"/>
  <c r="AC37" i="33"/>
  <c r="AA36" i="21"/>
  <c r="F43" i="33"/>
  <c r="AA43" i="33" s="1"/>
  <c r="G107" i="37"/>
  <c r="H107" i="37" s="1"/>
  <c r="I107" i="37" s="1"/>
  <c r="J107" i="37" s="1"/>
  <c r="K107" i="37" s="1"/>
  <c r="L107" i="37" s="1"/>
  <c r="M107" i="37" s="1"/>
  <c r="F37" i="21"/>
  <c r="S37" i="21" s="1"/>
  <c r="J37" i="21"/>
  <c r="W37" i="21" s="1"/>
  <c r="H19" i="34"/>
  <c r="AB19" i="34" s="1"/>
  <c r="J10" i="37"/>
  <c r="W10" i="37" s="1"/>
  <c r="F36" i="35"/>
  <c r="J9" i="37"/>
  <c r="W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AB10" i="37"/>
  <c r="J11" i="37"/>
  <c r="W11" i="37" s="1"/>
  <c r="E90" i="40"/>
  <c r="F21" i="40"/>
  <c r="S21" i="40" s="1"/>
  <c r="W36" i="40"/>
  <c r="U40" i="39"/>
  <c r="F90" i="40"/>
  <c r="J21" i="40"/>
  <c r="AC21" i="40" s="1"/>
  <c r="G90" i="40"/>
  <c r="S27" i="31"/>
  <c r="G483" i="3"/>
  <c r="BA15" i="3"/>
  <c r="BL17" i="3"/>
  <c r="BL15" i="3"/>
  <c r="J57" i="39"/>
  <c r="H13" i="40"/>
  <c r="U13" i="40" s="1"/>
  <c r="H12" i="48"/>
  <c r="I4" i="4"/>
  <c r="I60" i="40"/>
  <c r="C60" i="40" s="1"/>
  <c r="W9" i="33"/>
  <c r="G297" i="3"/>
  <c r="BL298" i="3"/>
  <c r="G299" i="3"/>
  <c r="BL300" i="3"/>
  <c r="BA302" i="3"/>
  <c r="BA303" i="3"/>
  <c r="BL303" i="3"/>
  <c r="AZ303" i="3" s="1"/>
  <c r="G304" i="3"/>
  <c r="BA305" i="3"/>
  <c r="G321" i="3"/>
  <c r="BL322" i="3"/>
  <c r="G323" i="3"/>
  <c r="BL324" i="3"/>
  <c r="BA326" i="3"/>
  <c r="BA327" i="3"/>
  <c r="BL327" i="3"/>
  <c r="AZ327" i="3"/>
  <c r="G328" i="3"/>
  <c r="BA329" i="3"/>
  <c r="G337" i="3"/>
  <c r="BL338" i="3"/>
  <c r="G339" i="3"/>
  <c r="BL340" i="3"/>
  <c r="BA342" i="3"/>
  <c r="BA343" i="3"/>
  <c r="BL343" i="3"/>
  <c r="AZ343" i="3"/>
  <c r="G344" i="3"/>
  <c r="BA345" i="3"/>
  <c r="G353" i="3"/>
  <c r="BL354" i="3"/>
  <c r="G355" i="3"/>
  <c r="BL356" i="3"/>
  <c r="G357" i="3"/>
  <c r="BL358" i="3"/>
  <c r="G359" i="3"/>
  <c r="BA360" i="3"/>
  <c r="AZ360" i="3" s="1"/>
  <c r="BA361" i="3"/>
  <c r="BL361" i="3"/>
  <c r="G362" i="3"/>
  <c r="BA363" i="3"/>
  <c r="AZ363" i="3" s="1"/>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G132" i="3"/>
  <c r="BA134" i="3"/>
  <c r="AZ134" i="3" s="1"/>
  <c r="BL135" i="3"/>
  <c r="G136" i="3"/>
  <c r="BA138" i="3"/>
  <c r="AZ138" i="3" s="1"/>
  <c r="BL139" i="3"/>
  <c r="G140" i="3"/>
  <c r="BA142" i="3"/>
  <c r="AZ142" i="3" s="1"/>
  <c r="BL143" i="3"/>
  <c r="G144" i="3"/>
  <c r="BA146" i="3"/>
  <c r="AZ146" i="3" s="1"/>
  <c r="BL147" i="3"/>
  <c r="AZ147" i="3" s="1"/>
  <c r="G148" i="3"/>
  <c r="BA150" i="3"/>
  <c r="AZ150" i="3" s="1"/>
  <c r="BL151" i="3"/>
  <c r="BA153" i="3"/>
  <c r="AZ153" i="3" s="1"/>
  <c r="BL154" i="3"/>
  <c r="AZ154" i="3" s="1"/>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AZ179" i="3" s="1"/>
  <c r="G180" i="3"/>
  <c r="BL181" i="3"/>
  <c r="G182" i="3"/>
  <c r="BA184" i="3"/>
  <c r="AZ184" i="3" s="1"/>
  <c r="BL185" i="3"/>
  <c r="G186" i="3"/>
  <c r="BA188" i="3"/>
  <c r="AZ188" i="3" s="1"/>
  <c r="BL189" i="3"/>
  <c r="G190" i="3"/>
  <c r="BA192" i="3"/>
  <c r="AZ192" i="3" s="1"/>
  <c r="BL193" i="3"/>
  <c r="AZ193" i="3" s="1"/>
  <c r="G194" i="3"/>
  <c r="BA196" i="3"/>
  <c r="BL197" i="3"/>
  <c r="G198" i="3"/>
  <c r="BA200" i="3"/>
  <c r="AZ200" i="3" s="1"/>
  <c r="BL201" i="3"/>
  <c r="AZ102" i="3"/>
  <c r="BA298" i="3"/>
  <c r="BA299" i="3"/>
  <c r="BL299" i="3"/>
  <c r="G300" i="3"/>
  <c r="G303" i="3"/>
  <c r="BL304" i="3"/>
  <c r="BA306" i="3"/>
  <c r="AZ306" i="3" s="1"/>
  <c r="BA307" i="3"/>
  <c r="BL307" i="3"/>
  <c r="AZ307" i="3" s="1"/>
  <c r="G308" i="3"/>
  <c r="G319" i="3"/>
  <c r="BL320" i="3"/>
  <c r="BA322" i="3"/>
  <c r="BA323" i="3"/>
  <c r="AZ323" i="3" s="1"/>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AZ355" i="3" s="1"/>
  <c r="BL355" i="3"/>
  <c r="G356"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91" i="3"/>
  <c r="G523" i="3"/>
  <c r="BL297" i="3"/>
  <c r="G298" i="3"/>
  <c r="BA300" i="3"/>
  <c r="BL301" i="3"/>
  <c r="G302" i="3"/>
  <c r="BA304" i="3"/>
  <c r="AZ304" i="3" s="1"/>
  <c r="BL305" i="3"/>
  <c r="G306" i="3"/>
  <c r="BA308" i="3"/>
  <c r="BL309" i="3"/>
  <c r="AZ309" i="3" s="1"/>
  <c r="G310" i="3"/>
  <c r="BA310" i="3"/>
  <c r="BL311" i="3"/>
  <c r="G312" i="3"/>
  <c r="BA312" i="3"/>
  <c r="BL313" i="3"/>
  <c r="AZ313" i="3" s="1"/>
  <c r="G314" i="3"/>
  <c r="BA314" i="3"/>
  <c r="AZ314" i="3" s="1"/>
  <c r="BL315" i="3"/>
  <c r="G316" i="3"/>
  <c r="BA316" i="3"/>
  <c r="BL317" i="3"/>
  <c r="G318" i="3"/>
  <c r="BA320" i="3"/>
  <c r="BL321" i="3"/>
  <c r="G322" i="3"/>
  <c r="BA324" i="3"/>
  <c r="BL325" i="3"/>
  <c r="G326" i="3"/>
  <c r="BA328" i="3"/>
  <c r="AZ328" i="3" s="1"/>
  <c r="BL329" i="3"/>
  <c r="G330" i="3"/>
  <c r="BA332" i="3"/>
  <c r="BL333" i="3"/>
  <c r="G334" i="3"/>
  <c r="BA336" i="3"/>
  <c r="BL337" i="3"/>
  <c r="G338" i="3"/>
  <c r="BA340" i="3"/>
  <c r="BL341" i="3"/>
  <c r="G342" i="3"/>
  <c r="BA344" i="3"/>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21" i="3"/>
  <c r="AZ225" i="3"/>
  <c r="AZ325" i="3"/>
  <c r="AZ349" i="3"/>
  <c r="AZ357" i="3"/>
  <c r="AZ367" i="3"/>
  <c r="G368" i="3"/>
  <c r="BA370" i="3"/>
  <c r="AZ370" i="3" s="1"/>
  <c r="BL371" i="3"/>
  <c r="AZ371" i="3"/>
  <c r="G372" i="3"/>
  <c r="BA374" i="3"/>
  <c r="AZ374" i="3" s="1"/>
  <c r="BL375" i="3"/>
  <c r="G376" i="3"/>
  <c r="BA378" i="3"/>
  <c r="BL379" i="3"/>
  <c r="G380" i="3"/>
  <c r="BA382" i="3"/>
  <c r="AZ382" i="3" s="1"/>
  <c r="BL383" i="3"/>
  <c r="G384" i="3"/>
  <c r="AZ253" i="3"/>
  <c r="AZ257" i="3"/>
  <c r="AZ375" i="3"/>
  <c r="AZ290" i="3"/>
  <c r="AZ331" i="3"/>
  <c r="AZ430" i="3"/>
  <c r="AZ450" i="3"/>
  <c r="AZ459" i="3"/>
  <c r="AZ463" i="3"/>
  <c r="H7" i="48"/>
  <c r="H113" i="46"/>
  <c r="H17" i="46"/>
  <c r="F33" i="46"/>
  <c r="F35" i="46"/>
  <c r="F37" i="46"/>
  <c r="H16" i="48"/>
  <c r="H9" i="48"/>
  <c r="H8" i="48"/>
  <c r="C12" i="46"/>
  <c r="AB15" i="37"/>
  <c r="R16" i="4"/>
  <c r="P16" i="4"/>
  <c r="G4" i="4"/>
  <c r="S37" i="34"/>
  <c r="J16" i="35"/>
  <c r="W16" i="35" s="1"/>
  <c r="W25" i="35"/>
  <c r="H11" i="37"/>
  <c r="AA36" i="37"/>
  <c r="U32" i="33"/>
  <c r="AB17" i="37"/>
  <c r="AC29" i="33"/>
  <c r="AA45" i="33"/>
  <c r="AC10" i="36"/>
  <c r="AC14" i="37"/>
  <c r="S25" i="35"/>
  <c r="W44" i="33"/>
  <c r="AC29" i="37"/>
  <c r="AB28" i="33"/>
  <c r="J33" i="34"/>
  <c r="AC33" i="34" s="1"/>
  <c r="AB36" i="34"/>
  <c r="J40" i="34"/>
  <c r="W40" i="34" s="1"/>
  <c r="F16" i="35"/>
  <c r="AA16" i="35" s="1"/>
  <c r="W42" i="33"/>
  <c r="J35" i="34"/>
  <c r="W35" i="34" s="1"/>
  <c r="S30" i="36"/>
  <c r="H16" i="36"/>
  <c r="AB16" i="36" s="1"/>
  <c r="G103" i="37"/>
  <c r="H103" i="37" s="1"/>
  <c r="I103" i="37" s="1"/>
  <c r="J103" i="37" s="1"/>
  <c r="K103" i="37" s="1"/>
  <c r="L103" i="37" s="1"/>
  <c r="M103" i="37" s="1"/>
  <c r="H35" i="37"/>
  <c r="AB35" i="37" s="1"/>
  <c r="S26" i="21"/>
  <c r="H32" i="21"/>
  <c r="U32" i="21" s="1"/>
  <c r="AB26" i="21"/>
  <c r="U39"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U28" i="35"/>
  <c r="J13" i="33"/>
  <c r="W13" i="33" s="1"/>
  <c r="H13" i="33"/>
  <c r="U13" i="33" s="1"/>
  <c r="H29" i="33"/>
  <c r="AB29" i="33" s="1"/>
  <c r="F29" i="33"/>
  <c r="AA29" i="33" s="1"/>
  <c r="H12" i="34"/>
  <c r="J14" i="34"/>
  <c r="W14" i="34" s="1"/>
  <c r="H14" i="34"/>
  <c r="F30" i="34"/>
  <c r="S30" i="34" s="1"/>
  <c r="H32" i="34"/>
  <c r="AB32" i="34" s="1"/>
  <c r="J32" i="34"/>
  <c r="W32" i="34" s="1"/>
  <c r="F46" i="34"/>
  <c r="H11" i="35"/>
  <c r="U11" i="35" s="1"/>
  <c r="F96" i="37"/>
  <c r="H32" i="37"/>
  <c r="AB32" i="37" s="1"/>
  <c r="F19" i="39"/>
  <c r="H19" i="39"/>
  <c r="U19" i="39" s="1"/>
  <c r="J19" i="39"/>
  <c r="W19" i="39" s="1"/>
  <c r="H43" i="39"/>
  <c r="U43" i="39" s="1"/>
  <c r="F99" i="37"/>
  <c r="G99" i="37" s="1"/>
  <c r="F33" i="37" s="1"/>
  <c r="U25" i="35"/>
  <c r="U31" i="34"/>
  <c r="W40" i="37"/>
  <c r="S14" i="21"/>
  <c r="U43" i="34"/>
  <c r="AC34" i="37"/>
  <c r="S35" i="37"/>
  <c r="AA32" i="21"/>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J34" i="39"/>
  <c r="AC34" i="39" s="1"/>
  <c r="H39" i="39"/>
  <c r="AB39" i="39" s="1"/>
  <c r="J29" i="35"/>
  <c r="AC29" i="35" s="1"/>
  <c r="W30" i="36"/>
  <c r="AC30" i="36"/>
  <c r="F37" i="39"/>
  <c r="S37" i="39" s="1"/>
  <c r="H37" i="39"/>
  <c r="J37" i="39"/>
  <c r="W37" i="39" s="1"/>
  <c r="BL568" i="3"/>
  <c r="BL567" i="3"/>
  <c r="BA567" i="3"/>
  <c r="AZ567" i="3" s="1"/>
  <c r="BL566" i="3"/>
  <c r="BL565" i="3"/>
  <c r="BA564" i="3"/>
  <c r="BA563" i="3"/>
  <c r="AZ563" i="3" s="1"/>
  <c r="BL554" i="3"/>
  <c r="BA553" i="3"/>
  <c r="AZ553" i="3" s="1"/>
  <c r="BL549" i="3"/>
  <c r="BL548" i="3"/>
  <c r="BL547" i="3"/>
  <c r="BL539" i="3"/>
  <c r="BA539" i="3"/>
  <c r="AZ539" i="3"/>
  <c r="BA538" i="3"/>
  <c r="BL537" i="3"/>
  <c r="BA537" i="3"/>
  <c r="BL536" i="3"/>
  <c r="BA535" i="3"/>
  <c r="BA534" i="3"/>
  <c r="BA533" i="3"/>
  <c r="AZ533" i="3" s="1"/>
  <c r="BL531" i="3"/>
  <c r="BA530" i="3"/>
  <c r="BL529" i="3"/>
  <c r="BA529" i="3"/>
  <c r="BL528" i="3"/>
  <c r="BA527" i="3"/>
  <c r="BA525" i="3"/>
  <c r="BL523" i="3"/>
  <c r="BL522" i="3"/>
  <c r="BA518" i="3"/>
  <c r="BL517" i="3"/>
  <c r="BA517" i="3"/>
  <c r="BL515" i="3"/>
  <c r="BA515" i="3"/>
  <c r="BA514" i="3"/>
  <c r="AZ514" i="3" s="1"/>
  <c r="BL513" i="3"/>
  <c r="BA513" i="3"/>
  <c r="BL512" i="3"/>
  <c r="BA511" i="3"/>
  <c r="BA510" i="3"/>
  <c r="BL509" i="3"/>
  <c r="BL507" i="3"/>
  <c r="BA506" i="3"/>
  <c r="BL504" i="3"/>
  <c r="BA504" i="3"/>
  <c r="BA503" i="3"/>
  <c r="BA500" i="3"/>
  <c r="BL499" i="3"/>
  <c r="BA499" i="3"/>
  <c r="AZ499" i="3" s="1"/>
  <c r="BL497" i="3"/>
  <c r="BA497" i="3"/>
  <c r="BA495" i="3"/>
  <c r="AZ495" i="3" s="1"/>
  <c r="BA494" i="3"/>
  <c r="G494" i="3"/>
  <c r="BL490" i="3"/>
  <c r="BA489" i="3"/>
  <c r="BL487" i="3"/>
  <c r="BL486" i="3"/>
  <c r="AZ486" i="3" s="1"/>
  <c r="BA486" i="3"/>
  <c r="BA485" i="3"/>
  <c r="BA483" i="3"/>
  <c r="BA482" i="3"/>
  <c r="BL481" i="3"/>
  <c r="BA481" i="3"/>
  <c r="AZ481" i="3" s="1"/>
  <c r="BL19" i="3"/>
  <c r="F36" i="44"/>
  <c r="F114" i="34"/>
  <c r="G114" i="34" s="1"/>
  <c r="H114" i="34" s="1"/>
  <c r="I114" i="34" s="1"/>
  <c r="J114" i="34" s="1"/>
  <c r="K114" i="34" s="1"/>
  <c r="L114" i="34" s="1"/>
  <c r="M114" i="34" s="1"/>
  <c r="H38" i="34"/>
  <c r="U38" i="34" s="1"/>
  <c r="H30" i="40"/>
  <c r="AB30" i="40" s="1"/>
  <c r="F38" i="40"/>
  <c r="AA38" i="40" s="1"/>
  <c r="AA36" i="34"/>
  <c r="AB33" i="21"/>
  <c r="S35" i="21"/>
  <c r="AB10" i="21"/>
  <c r="U8"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H38" i="39"/>
  <c r="U38" i="39" s="1"/>
  <c r="J16" i="40"/>
  <c r="W16" i="40" s="1"/>
  <c r="J14" i="40"/>
  <c r="H40" i="40"/>
  <c r="U40" i="40" s="1"/>
  <c r="H34" i="40"/>
  <c r="U34" i="40" s="1"/>
  <c r="AZ415" i="3"/>
  <c r="AZ431" i="3"/>
  <c r="AZ454" i="3"/>
  <c r="B41" i="1"/>
  <c r="F27" i="43" s="1"/>
  <c r="J40" i="40"/>
  <c r="AC40" i="40" s="1"/>
  <c r="J34" i="40"/>
  <c r="AC34" i="40" s="1"/>
  <c r="H16" i="40"/>
  <c r="AB16" i="40" s="1"/>
  <c r="H14" i="40"/>
  <c r="F32" i="40"/>
  <c r="AA32" i="40" s="1"/>
  <c r="AZ433" i="3"/>
  <c r="AZ452" i="3"/>
  <c r="M1" i="46"/>
  <c r="M6" i="46"/>
  <c r="M10" i="46"/>
  <c r="N2" i="46"/>
  <c r="N5" i="46"/>
  <c r="F47" i="46"/>
  <c r="H49" i="46" s="1"/>
  <c r="N7" i="46"/>
  <c r="AZ456" i="3"/>
  <c r="AZ458" i="3"/>
  <c r="AZ461" i="3"/>
  <c r="AZ388" i="3"/>
  <c r="AZ207" i="3"/>
  <c r="AZ220" i="3"/>
  <c r="AZ223" i="3"/>
  <c r="AZ252" i="3"/>
  <c r="AZ255" i="3"/>
  <c r="AZ292" i="3"/>
  <c r="AZ121" i="3"/>
  <c r="AZ140" i="3"/>
  <c r="AZ152" i="3"/>
  <c r="M7" i="46"/>
  <c r="M11" i="46"/>
  <c r="N3" i="46"/>
  <c r="N6" i="46"/>
  <c r="N10" i="46"/>
  <c r="AZ167" i="3"/>
  <c r="AZ177" i="3"/>
  <c r="AZ48" i="3"/>
  <c r="J13" i="40"/>
  <c r="W40" i="40"/>
  <c r="F71" i="9"/>
  <c r="AB32" i="40"/>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U39" i="39"/>
  <c r="AA11" i="36"/>
  <c r="U29" i="33"/>
  <c r="AC13" i="33"/>
  <c r="W32" i="33"/>
  <c r="H15" i="33"/>
  <c r="U15" i="33" s="1"/>
  <c r="AA11" i="33"/>
  <c r="AA40" i="21"/>
  <c r="U17" i="21"/>
  <c r="W34" i="40"/>
  <c r="AB34" i="40"/>
  <c r="AC16" i="40"/>
  <c r="W32" i="40"/>
  <c r="H25" i="40"/>
  <c r="AB25" i="40" s="1"/>
  <c r="F94" i="40"/>
  <c r="G94" i="40" s="1"/>
  <c r="U47" i="39"/>
  <c r="J37" i="34"/>
  <c r="AC37" i="34" s="1"/>
  <c r="J36" i="33"/>
  <c r="W36" i="33" s="1"/>
  <c r="S15" i="34"/>
  <c r="AA34" i="33"/>
  <c r="J34" i="33"/>
  <c r="AC34" i="33" s="1"/>
  <c r="U30" i="40"/>
  <c r="AA37"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AC14" i="34"/>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AP11" i="1"/>
  <c r="J51" i="15"/>
  <c r="B11" i="1"/>
  <c r="E11" i="1" s="1"/>
  <c r="K11" i="1"/>
  <c r="M11" i="1" s="1"/>
  <c r="B9" i="1"/>
  <c r="E9" i="1" s="1"/>
  <c r="B7" i="1"/>
  <c r="E7" i="1" s="1"/>
  <c r="C20" i="43"/>
  <c r="E2" i="65"/>
  <c r="AB9" i="33" l="1"/>
  <c r="U9" i="33"/>
  <c r="W27" i="34"/>
  <c r="AC27" i="34"/>
  <c r="AB36" i="35"/>
  <c r="U36" i="35"/>
  <c r="K141" i="21"/>
  <c r="K144" i="21"/>
  <c r="K143" i="21"/>
  <c r="W23" i="40"/>
  <c r="AZ345" i="3"/>
  <c r="AZ329" i="3"/>
  <c r="AZ305" i="3"/>
  <c r="G568" i="3"/>
  <c r="G567" i="3"/>
  <c r="G566" i="3"/>
  <c r="G565" i="3"/>
  <c r="G563" i="3"/>
  <c r="G562" i="3"/>
  <c r="G561" i="3"/>
  <c r="G558" i="3"/>
  <c r="G556" i="3"/>
  <c r="G541" i="3"/>
  <c r="G540" i="3"/>
  <c r="G539" i="3"/>
  <c r="G538" i="3"/>
  <c r="G537" i="3"/>
  <c r="G532" i="3"/>
  <c r="G531" i="3"/>
  <c r="G529" i="3"/>
  <c r="G518" i="3"/>
  <c r="G516" i="3"/>
  <c r="G515" i="3"/>
  <c r="G514" i="3"/>
  <c r="G513" i="3"/>
  <c r="G505" i="3"/>
  <c r="G504" i="3"/>
  <c r="G502" i="3"/>
  <c r="G501" i="3"/>
  <c r="G499" i="3"/>
  <c r="G487" i="3"/>
  <c r="G485" i="3"/>
  <c r="G484" i="3"/>
  <c r="BA14" i="3"/>
  <c r="AZ14" i="3" s="1"/>
  <c r="AZ497" i="3"/>
  <c r="AZ504" i="3"/>
  <c r="AZ517" i="3"/>
  <c r="AZ529" i="3"/>
  <c r="AZ537" i="3"/>
  <c r="AZ336" i="3"/>
  <c r="AZ320" i="3"/>
  <c r="AZ358" i="3"/>
  <c r="AZ361" i="3"/>
  <c r="AZ300" i="3"/>
  <c r="AZ20" i="3"/>
  <c r="AZ498" i="3"/>
  <c r="AC14" i="21"/>
  <c r="S28" i="21"/>
  <c r="F9" i="35"/>
  <c r="AA9" i="35" s="1"/>
  <c r="J29" i="39"/>
  <c r="AC29" i="39" s="1"/>
  <c r="BA569" i="3"/>
  <c r="BA568" i="3"/>
  <c r="AZ568" i="3" s="1"/>
  <c r="BA552" i="3"/>
  <c r="BA551" i="3"/>
  <c r="BA549" i="3"/>
  <c r="AZ549" i="3" s="1"/>
  <c r="BA548" i="3"/>
  <c r="BA547" i="3"/>
  <c r="AZ547" i="3" s="1"/>
  <c r="BL542" i="3"/>
  <c r="BA542" i="3"/>
  <c r="G542" i="3"/>
  <c r="BA526" i="3"/>
  <c r="BA523" i="3"/>
  <c r="AZ523" i="3" s="1"/>
  <c r="BA522" i="3"/>
  <c r="AZ522" i="3" s="1"/>
  <c r="BL521" i="3"/>
  <c r="BA519" i="3"/>
  <c r="AZ519" i="3" s="1"/>
  <c r="BA508" i="3"/>
  <c r="BA507" i="3"/>
  <c r="AZ507" i="3" s="1"/>
  <c r="BL506" i="3"/>
  <c r="BL505" i="3"/>
  <c r="BA496" i="3"/>
  <c r="BL494" i="3"/>
  <c r="AZ494" i="3" s="1"/>
  <c r="BA491" i="3"/>
  <c r="BA490" i="3"/>
  <c r="AZ490" i="3" s="1"/>
  <c r="BL489" i="3"/>
  <c r="G17" i="46"/>
  <c r="BA389" i="3"/>
  <c r="AZ389" i="3" s="1"/>
  <c r="BA390" i="3"/>
  <c r="AZ390" i="3" s="1"/>
  <c r="BA391" i="3"/>
  <c r="AZ391" i="3" s="1"/>
  <c r="BL393" i="3"/>
  <c r="G394" i="3"/>
  <c r="BA395" i="3"/>
  <c r="BL395" i="3"/>
  <c r="BA396" i="3"/>
  <c r="AZ396" i="3" s="1"/>
  <c r="BA398" i="3"/>
  <c r="BL398" i="3"/>
  <c r="BL400" i="3"/>
  <c r="G401" i="3"/>
  <c r="BA402" i="3"/>
  <c r="BL402" i="3"/>
  <c r="BL404" i="3"/>
  <c r="G405" i="3"/>
  <c r="G409" i="3"/>
  <c r="BL410" i="3"/>
  <c r="G411" i="3"/>
  <c r="BL412" i="3"/>
  <c r="G413" i="3"/>
  <c r="BL414" i="3"/>
  <c r="G415" i="3"/>
  <c r="G418" i="3"/>
  <c r="G421" i="3"/>
  <c r="BL422" i="3"/>
  <c r="G423" i="3"/>
  <c r="G426" i="3"/>
  <c r="G428" i="3"/>
  <c r="G433" i="3"/>
  <c r="BL434" i="3"/>
  <c r="G435" i="3"/>
  <c r="G437" i="3"/>
  <c r="BL437" i="3"/>
  <c r="G438" i="3"/>
  <c r="BA439" i="3"/>
  <c r="AZ439" i="3" s="1"/>
  <c r="BA441" i="3"/>
  <c r="BL441" i="3"/>
  <c r="BL443" i="3"/>
  <c r="G444" i="3"/>
  <c r="BA445" i="3"/>
  <c r="BL445" i="3"/>
  <c r="BL447" i="3"/>
  <c r="G448" i="3"/>
  <c r="G450" i="3"/>
  <c r="G454" i="3"/>
  <c r="G456" i="3"/>
  <c r="G461"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09" i="3"/>
  <c r="BL310" i="3"/>
  <c r="AZ310" i="3" s="1"/>
  <c r="G311" i="3"/>
  <c r="BL312" i="3"/>
  <c r="AZ312" i="3" s="1"/>
  <c r="BA315" i="3"/>
  <c r="AZ315" i="3" s="1"/>
  <c r="BA317" i="3"/>
  <c r="AZ317" i="3" s="1"/>
  <c r="BA319" i="3"/>
  <c r="BL319" i="3"/>
  <c r="G329" i="3"/>
  <c r="BL330" i="3"/>
  <c r="AZ330" i="3" s="1"/>
  <c r="BA333" i="3"/>
  <c r="AZ333" i="3" s="1"/>
  <c r="BA335" i="3"/>
  <c r="AZ335" i="3" s="1"/>
  <c r="BL335" i="3"/>
  <c r="G341" i="3"/>
  <c r="BL342" i="3"/>
  <c r="AZ342" i="3" s="1"/>
  <c r="G352" i="3"/>
  <c r="BA353" i="3"/>
  <c r="AZ353" i="3" s="1"/>
  <c r="BA368" i="3"/>
  <c r="AZ368" i="3" s="1"/>
  <c r="BL368" i="3"/>
  <c r="BL380" i="3"/>
  <c r="AZ380" i="3" s="1"/>
  <c r="G381" i="3"/>
  <c r="BA383" i="3"/>
  <c r="AZ383" i="3" s="1"/>
  <c r="BL385" i="3"/>
  <c r="G386" i="3"/>
  <c r="G207" i="3"/>
  <c r="BA208" i="3"/>
  <c r="AZ208" i="3" s="1"/>
  <c r="BA209" i="3"/>
  <c r="AZ209" i="3" s="1"/>
  <c r="BL211" i="3"/>
  <c r="G212" i="3"/>
  <c r="BL213" i="3"/>
  <c r="G214" i="3"/>
  <c r="G216" i="3"/>
  <c r="BL217" i="3"/>
  <c r="G218" i="3"/>
  <c r="G223" i="3"/>
  <c r="G227" i="3"/>
  <c r="BL228" i="3"/>
  <c r="G229" i="3"/>
  <c r="BA230" i="3"/>
  <c r="BL230" i="3"/>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BL264" i="3"/>
  <c r="G265" i="3"/>
  <c r="BA266" i="3"/>
  <c r="BL266" i="3"/>
  <c r="G267" i="3"/>
  <c r="BL268" i="3"/>
  <c r="G269" i="3"/>
  <c r="G271" i="3"/>
  <c r="BA272" i="3"/>
  <c r="BL272" i="3"/>
  <c r="BA274" i="3"/>
  <c r="BL274" i="3"/>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L129" i="3"/>
  <c r="G130" i="3"/>
  <c r="BA131" i="3"/>
  <c r="AZ131" i="3" s="1"/>
  <c r="BA133" i="3"/>
  <c r="BL133" i="3"/>
  <c r="BA135" i="3"/>
  <c r="AZ135" i="3" s="1"/>
  <c r="G138" i="3"/>
  <c r="G142" i="3"/>
  <c r="G145" i="3"/>
  <c r="G150" i="3"/>
  <c r="G152" i="3"/>
  <c r="BA155" i="3"/>
  <c r="BL155" i="3"/>
  <c r="BL156" i="3"/>
  <c r="G157" i="3"/>
  <c r="BA158" i="3"/>
  <c r="AZ158" i="3" s="1"/>
  <c r="BA160" i="3"/>
  <c r="AZ160" i="3" s="1"/>
  <c r="BL160" i="3"/>
  <c r="BA162" i="3"/>
  <c r="AZ162" i="3" s="1"/>
  <c r="G165" i="3"/>
  <c r="G169" i="3"/>
  <c r="G172" i="3"/>
  <c r="G177" i="3"/>
  <c r="BL180" i="3"/>
  <c r="G181" i="3"/>
  <c r="BA183" i="3"/>
  <c r="BL183" i="3"/>
  <c r="BA185" i="3"/>
  <c r="AZ185" i="3" s="1"/>
  <c r="G188" i="3"/>
  <c r="G191" i="3"/>
  <c r="BA194" i="3"/>
  <c r="BL194" i="3"/>
  <c r="BL196" i="3"/>
  <c r="AZ196" i="3" s="1"/>
  <c r="G197" i="3"/>
  <c r="BA199" i="3"/>
  <c r="AZ199" i="3" s="1"/>
  <c r="BL199" i="3"/>
  <c r="BA201" i="3"/>
  <c r="AZ201" i="3" s="1"/>
  <c r="BL202" i="3"/>
  <c r="G203" i="3"/>
  <c r="BA204" i="3"/>
  <c r="BL204" i="3"/>
  <c r="BL45" i="3"/>
  <c r="G46" i="3"/>
  <c r="G48" i="3"/>
  <c r="BL58" i="3"/>
  <c r="BA60" i="3"/>
  <c r="BL60" i="3"/>
  <c r="G61" i="3"/>
  <c r="N81" i="46"/>
  <c r="D81" i="46"/>
  <c r="D86" i="46"/>
  <c r="N86" i="46"/>
  <c r="BA62" i="3"/>
  <c r="AZ62" i="3" s="1"/>
  <c r="BL62" i="3"/>
  <c r="BL64" i="3"/>
  <c r="G65" i="3"/>
  <c r="G67" i="3"/>
  <c r="BA68" i="3"/>
  <c r="BL68" i="3"/>
  <c r="BA69" i="3"/>
  <c r="BL69" i="3"/>
  <c r="BA71" i="3"/>
  <c r="BL71" i="3"/>
  <c r="BL72" i="3"/>
  <c r="G73" i="3"/>
  <c r="G75" i="3"/>
  <c r="BA76" i="3"/>
  <c r="AZ76" i="3" s="1"/>
  <c r="BL76" i="3"/>
  <c r="BA77" i="3"/>
  <c r="AZ77" i="3" s="1"/>
  <c r="BA78" i="3"/>
  <c r="AZ78" i="3" s="1"/>
  <c r="BA79" i="3"/>
  <c r="AZ79" i="3" s="1"/>
  <c r="BL81" i="3"/>
  <c r="G82" i="3"/>
  <c r="BA83" i="3"/>
  <c r="BL83" i="3"/>
  <c r="BA85" i="3"/>
  <c r="AZ85" i="3" s="1"/>
  <c r="BA86" i="3"/>
  <c r="AZ86" i="3" s="1"/>
  <c r="BA88" i="3"/>
  <c r="AZ88" i="3" s="1"/>
  <c r="BA90" i="3"/>
  <c r="AZ90" i="3" s="1"/>
  <c r="BL90" i="3"/>
  <c r="BA92" i="3"/>
  <c r="AZ92" i="3" s="1"/>
  <c r="BA94" i="3"/>
  <c r="BL94" i="3"/>
  <c r="BA95" i="3"/>
  <c r="AZ95" i="3" s="1"/>
  <c r="BL97" i="3"/>
  <c r="G98" i="3"/>
  <c r="BL99" i="3"/>
  <c r="G100" i="3"/>
  <c r="G104" i="3"/>
  <c r="BA105" i="3"/>
  <c r="BL105" i="3"/>
  <c r="BA107" i="3"/>
  <c r="BL107" i="3"/>
  <c r="BA108" i="3"/>
  <c r="AZ108" i="3" s="1"/>
  <c r="BA110" i="3"/>
  <c r="AZ110" i="3" s="1"/>
  <c r="BL110" i="3"/>
  <c r="BL111" i="3"/>
  <c r="G112" i="3"/>
  <c r="D66" i="46"/>
  <c r="D59" i="46"/>
  <c r="D62" i="46"/>
  <c r="D64" i="46"/>
  <c r="I15" i="57"/>
  <c r="F58" i="46"/>
  <c r="G20" i="46"/>
  <c r="H21" i="39"/>
  <c r="U21" i="39" s="1"/>
  <c r="G18" i="3"/>
  <c r="G16" i="3"/>
  <c r="BA19" i="3"/>
  <c r="BB5" i="3"/>
  <c r="AA39" i="39"/>
  <c r="S39" i="39"/>
  <c r="AC12" i="34"/>
  <c r="W12" i="34"/>
  <c r="S14" i="34"/>
  <c r="AA14" i="34"/>
  <c r="AB46" i="34"/>
  <c r="U46" i="34"/>
  <c r="AA47" i="39"/>
  <c r="S47" i="39"/>
  <c r="AZ506" i="3"/>
  <c r="AZ548" i="3"/>
  <c r="W23" i="37"/>
  <c r="AC23" i="37"/>
  <c r="AB19" i="21"/>
  <c r="U19" i="21"/>
  <c r="U36" i="21"/>
  <c r="AB36" i="21"/>
  <c r="S43" i="21"/>
  <c r="AA43" i="21"/>
  <c r="F19" i="6"/>
  <c r="BL572" i="3"/>
  <c r="BA572" i="3"/>
  <c r="BA571" i="3"/>
  <c r="AZ571" i="3" s="1"/>
  <c r="BL570" i="3"/>
  <c r="BE5" i="3"/>
  <c r="AA8" i="21"/>
  <c r="S8" i="21"/>
  <c r="AB42" i="21"/>
  <c r="U42" i="21"/>
  <c r="H45" i="33"/>
  <c r="J45" i="33"/>
  <c r="H12" i="35"/>
  <c r="J12" i="35"/>
  <c r="J34" i="35"/>
  <c r="AC34" i="35" s="1"/>
  <c r="H34" i="35"/>
  <c r="AB34" i="35" s="1"/>
  <c r="U27" i="35"/>
  <c r="AB27" i="35"/>
  <c r="AA40" i="33"/>
  <c r="S40" i="33"/>
  <c r="BL552" i="3"/>
  <c r="AZ552" i="3" s="1"/>
  <c r="BL551" i="3"/>
  <c r="AZ551" i="3" s="1"/>
  <c r="BL550" i="3"/>
  <c r="BA546" i="3"/>
  <c r="BL545" i="3"/>
  <c r="BA545" i="3"/>
  <c r="AZ545" i="3" s="1"/>
  <c r="BA544" i="3"/>
  <c r="BL543" i="3"/>
  <c r="BA543" i="3"/>
  <c r="BA532" i="3"/>
  <c r="BA521" i="3"/>
  <c r="AZ521" i="3" s="1"/>
  <c r="BL520" i="3"/>
  <c r="AZ520" i="3" s="1"/>
  <c r="BA520" i="3"/>
  <c r="BL508" i="3"/>
  <c r="AZ508" i="3" s="1"/>
  <c r="G506" i="3"/>
  <c r="BA505" i="3"/>
  <c r="AZ505" i="3" s="1"/>
  <c r="BA493" i="3"/>
  <c r="AZ493" i="3" s="1"/>
  <c r="BA492" i="3"/>
  <c r="BL491" i="3"/>
  <c r="AZ491" i="3" s="1"/>
  <c r="AZ489" i="3"/>
  <c r="AZ518" i="3"/>
  <c r="AA39" i="33"/>
  <c r="S39" i="33"/>
  <c r="U40" i="37"/>
  <c r="AB40" i="37"/>
  <c r="BG5" i="3"/>
  <c r="H27" i="37"/>
  <c r="F27" i="37"/>
  <c r="J27" i="37"/>
  <c r="U41" i="21"/>
  <c r="AB41" i="21"/>
  <c r="AZ569" i="3"/>
  <c r="U40" i="21"/>
  <c r="AB13" i="33"/>
  <c r="U32" i="34"/>
  <c r="S16" i="39"/>
  <c r="AB23" i="40"/>
  <c r="U16" i="40"/>
  <c r="U17" i="34"/>
  <c r="H100" i="40"/>
  <c r="I100" i="40" s="1"/>
  <c r="J100" i="40" s="1"/>
  <c r="K100" i="40" s="1"/>
  <c r="L100" i="40" s="1"/>
  <c r="M100" i="40" s="1"/>
  <c r="W35" i="40"/>
  <c r="J42" i="40"/>
  <c r="AC42" i="40" s="1"/>
  <c r="H42" i="40"/>
  <c r="J38" i="39"/>
  <c r="W38" i="39" s="1"/>
  <c r="J47" i="39"/>
  <c r="F25" i="39"/>
  <c r="AA25" i="39" s="1"/>
  <c r="H25" i="39"/>
  <c r="U25" i="39" s="1"/>
  <c r="S34" i="21"/>
  <c r="W12" i="21"/>
  <c r="BA18" i="3"/>
  <c r="AZ483" i="3"/>
  <c r="AZ513" i="3"/>
  <c r="J39" i="39"/>
  <c r="H34" i="39"/>
  <c r="AB34" i="39" s="1"/>
  <c r="H29" i="39"/>
  <c r="U29" i="39" s="1"/>
  <c r="F29" i="39"/>
  <c r="AA29" i="39" s="1"/>
  <c r="AC19" i="33"/>
  <c r="J43" i="39"/>
  <c r="W43" i="39" s="1"/>
  <c r="F43" i="39"/>
  <c r="AA43" i="39" s="1"/>
  <c r="J11" i="35"/>
  <c r="AC11" i="35" s="1"/>
  <c r="J46" i="34"/>
  <c r="AC46" i="34" s="1"/>
  <c r="J30" i="34"/>
  <c r="F12" i="34"/>
  <c r="S12" i="34" s="1"/>
  <c r="AA33" i="21"/>
  <c r="AB35" i="35"/>
  <c r="S42" i="33"/>
  <c r="W37" i="37"/>
  <c r="U43" i="21"/>
  <c r="AZ340" i="3"/>
  <c r="AZ324" i="3"/>
  <c r="AZ338" i="3"/>
  <c r="AZ322" i="3"/>
  <c r="AZ379" i="3"/>
  <c r="AZ560" i="3"/>
  <c r="S45" i="21"/>
  <c r="U28" i="36"/>
  <c r="AB28" i="36"/>
  <c r="S13" i="33"/>
  <c r="AA13" i="33"/>
  <c r="AC30" i="21"/>
  <c r="W30" i="21"/>
  <c r="AC35" i="21"/>
  <c r="W33" i="36"/>
  <c r="AC33" i="36"/>
  <c r="W22" i="36"/>
  <c r="H13" i="21"/>
  <c r="F13" i="21"/>
  <c r="AA13" i="21" s="1"/>
  <c r="J29" i="21"/>
  <c r="AC29" i="21" s="1"/>
  <c r="F29" i="21"/>
  <c r="S29" i="21" s="1"/>
  <c r="J45" i="21"/>
  <c r="H45" i="21"/>
  <c r="U45" i="21" s="1"/>
  <c r="B73" i="46"/>
  <c r="C29" i="39"/>
  <c r="F28" i="33"/>
  <c r="J28" i="33"/>
  <c r="W28" i="33" s="1"/>
  <c r="J9" i="34"/>
  <c r="H9" i="34"/>
  <c r="AB9" i="34" s="1"/>
  <c r="S28" i="34"/>
  <c r="AA28" i="34"/>
  <c r="F12" i="35"/>
  <c r="H12" i="33"/>
  <c r="U12" i="33" s="1"/>
  <c r="J12" i="33"/>
  <c r="W12" i="33" s="1"/>
  <c r="F14" i="33"/>
  <c r="AA14" i="33" s="1"/>
  <c r="H14" i="33"/>
  <c r="U14" i="33" s="1"/>
  <c r="H30" i="33"/>
  <c r="F30" i="33"/>
  <c r="W13" i="36"/>
  <c r="AC13" i="36"/>
  <c r="F32" i="36"/>
  <c r="S32" i="36" s="1"/>
  <c r="J32" i="36"/>
  <c r="AB29" i="36"/>
  <c r="U29" i="36"/>
  <c r="AB12" i="37"/>
  <c r="U12" i="37"/>
  <c r="AC41" i="21"/>
  <c r="W41" i="21"/>
  <c r="BA566" i="3"/>
  <c r="BA565" i="3"/>
  <c r="BA562" i="3"/>
  <c r="BL561" i="3"/>
  <c r="BA561" i="3"/>
  <c r="BL559" i="3"/>
  <c r="BA559" i="3"/>
  <c r="BA558" i="3"/>
  <c r="AZ558" i="3" s="1"/>
  <c r="BL557" i="3"/>
  <c r="AZ557" i="3" s="1"/>
  <c r="BA556" i="3"/>
  <c r="BL555" i="3"/>
  <c r="BA555" i="3"/>
  <c r="AZ555" i="3" s="1"/>
  <c r="BL540" i="3"/>
  <c r="AZ540" i="3" s="1"/>
  <c r="BL538" i="3"/>
  <c r="AZ538" i="3" s="1"/>
  <c r="BA536" i="3"/>
  <c r="AZ536" i="3" s="1"/>
  <c r="BL535" i="3"/>
  <c r="AZ535" i="3" s="1"/>
  <c r="BA531" i="3"/>
  <c r="AZ531" i="3" s="1"/>
  <c r="BA528" i="3"/>
  <c r="AZ528" i="3" s="1"/>
  <c r="G519" i="3"/>
  <c r="BA512" i="3"/>
  <c r="BL511" i="3"/>
  <c r="AZ511" i="3" s="1"/>
  <c r="BL510" i="3"/>
  <c r="AZ510" i="3" s="1"/>
  <c r="BL503" i="3"/>
  <c r="AZ503" i="3" s="1"/>
  <c r="BL502" i="3"/>
  <c r="BA502" i="3"/>
  <c r="BL500" i="3"/>
  <c r="AZ500" i="3" s="1"/>
  <c r="G489" i="3"/>
  <c r="BA487" i="3"/>
  <c r="AZ487" i="3" s="1"/>
  <c r="BL485" i="3"/>
  <c r="AZ485" i="3" s="1"/>
  <c r="BA484" i="3"/>
  <c r="AZ418" i="3"/>
  <c r="AZ423" i="3"/>
  <c r="AZ426" i="3"/>
  <c r="AZ427" i="3"/>
  <c r="AZ428" i="3"/>
  <c r="AZ432" i="3"/>
  <c r="AZ378" i="3"/>
  <c r="AZ373" i="3"/>
  <c r="AZ365" i="3"/>
  <c r="AZ354" i="3"/>
  <c r="AZ347" i="3"/>
  <c r="AZ344" i="3"/>
  <c r="AZ339" i="3"/>
  <c r="AZ298" i="3"/>
  <c r="BL482" i="3"/>
  <c r="AZ482" i="3" s="1"/>
  <c r="BL492" i="3"/>
  <c r="AZ492" i="3" s="1"/>
  <c r="BL496" i="3"/>
  <c r="AZ496" i="3" s="1"/>
  <c r="BL530" i="3"/>
  <c r="AZ530" i="3" s="1"/>
  <c r="G571" i="3"/>
  <c r="G569" i="3"/>
  <c r="G564" i="3"/>
  <c r="G555" i="3"/>
  <c r="BA554" i="3"/>
  <c r="G554" i="3"/>
  <c r="G543" i="3"/>
  <c r="BL541" i="3"/>
  <c r="AZ541" i="3" s="1"/>
  <c r="G535" i="3"/>
  <c r="G534" i="3"/>
  <c r="G528" i="3"/>
  <c r="BL527" i="3"/>
  <c r="AZ527" i="3" s="1"/>
  <c r="G526" i="3"/>
  <c r="BL525" i="3"/>
  <c r="AZ525" i="3" s="1"/>
  <c r="G520" i="3"/>
  <c r="G517" i="3"/>
  <c r="BA516" i="3"/>
  <c r="G511" i="3"/>
  <c r="G500" i="3"/>
  <c r="G490" i="3"/>
  <c r="G482" i="3"/>
  <c r="C92" i="9"/>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AZ408" i="3" s="1"/>
  <c r="BA409" i="3"/>
  <c r="AZ409" i="3" s="1"/>
  <c r="BA410" i="3"/>
  <c r="AZ410" i="3" s="1"/>
  <c r="BA411" i="3"/>
  <c r="AZ411" i="3" s="1"/>
  <c r="BA412" i="3"/>
  <c r="AZ412" i="3" s="1"/>
  <c r="BA413" i="3"/>
  <c r="AZ413" i="3" s="1"/>
  <c r="BA414" i="3"/>
  <c r="AZ414" i="3" s="1"/>
  <c r="G417" i="3"/>
  <c r="BL417" i="3"/>
  <c r="AZ417" i="3" s="1"/>
  <c r="G420" i="3"/>
  <c r="BL420" i="3"/>
  <c r="AZ420" i="3" s="1"/>
  <c r="BA421" i="3"/>
  <c r="AZ421" i="3" s="1"/>
  <c r="BA422" i="3"/>
  <c r="AZ422" i="3" s="1"/>
  <c r="G425" i="3"/>
  <c r="BL425" i="3"/>
  <c r="AZ425" i="3" s="1"/>
  <c r="BL427" i="3"/>
  <c r="G430" i="3"/>
  <c r="G431" i="3"/>
  <c r="G432" i="3"/>
  <c r="BL432" i="3"/>
  <c r="BA434" i="3"/>
  <c r="AZ434" i="3" s="1"/>
  <c r="BL436" i="3"/>
  <c r="AZ436" i="3" s="1"/>
  <c r="BA437" i="3"/>
  <c r="AZ437" i="3" s="1"/>
  <c r="BA438" i="3"/>
  <c r="AZ438" i="3" s="1"/>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R12" i="1"/>
  <c r="K12" i="1"/>
  <c r="M12" i="1"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BA202" i="3"/>
  <c r="AZ202" i="3" s="1"/>
  <c r="BA203" i="3"/>
  <c r="AZ203" i="3" s="1"/>
  <c r="G44" i="3"/>
  <c r="BL44" i="3"/>
  <c r="BA45" i="3"/>
  <c r="AZ45" i="3" s="1"/>
  <c r="BL47" i="3"/>
  <c r="AZ47" i="3" s="1"/>
  <c r="BL52" i="3"/>
  <c r="BL54" i="3"/>
  <c r="AZ8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D85" i="46"/>
  <c r="E26" i="57"/>
  <c r="I10" i="57"/>
  <c r="I21" i="57" s="1"/>
  <c r="G50" i="3"/>
  <c r="BL50" i="3"/>
  <c r="G51" i="3"/>
  <c r="BL55" i="3"/>
  <c r="G59" i="3"/>
  <c r="BA58" i="3"/>
  <c r="AZ58" i="3" s="1"/>
  <c r="BA59" i="3"/>
  <c r="AZ59" i="3" s="1"/>
  <c r="D9" i="12"/>
  <c r="K7" i="1"/>
  <c r="M7" i="1" s="1"/>
  <c r="O7" i="1" s="1"/>
  <c r="P7" i="1" s="1"/>
  <c r="E19" i="6"/>
  <c r="E23" i="6"/>
  <c r="G9" i="12" s="1"/>
  <c r="BL51" i="3"/>
  <c r="AZ51" i="3" s="1"/>
  <c r="BA55" i="3"/>
  <c r="AZ55" i="3" s="1"/>
  <c r="F8" i="1"/>
  <c r="G8" i="1" s="1"/>
  <c r="BA56" i="3"/>
  <c r="BL56" i="3"/>
  <c r="BL57" i="3"/>
  <c r="BL53" i="3"/>
  <c r="BJ5" i="3"/>
  <c r="BH5" i="3"/>
  <c r="BF5" i="3"/>
  <c r="G36" i="3"/>
  <c r="G38" i="3"/>
  <c r="BL41" i="3"/>
  <c r="G42" i="3"/>
  <c r="BA41" i="3"/>
  <c r="BT5" i="3"/>
  <c r="BL22" i="3"/>
  <c r="G54" i="3"/>
  <c r="G53" i="3"/>
  <c r="G52" i="3"/>
  <c r="G58" i="3"/>
  <c r="AZ57" i="3"/>
  <c r="G57" i="3"/>
  <c r="G56" i="3"/>
  <c r="G55" i="3"/>
  <c r="BA54" i="3"/>
  <c r="AZ54" i="3" s="1"/>
  <c r="BA53" i="3"/>
  <c r="AZ53" i="3" s="1"/>
  <c r="BA52" i="3"/>
  <c r="AZ52" i="3" s="1"/>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F97" i="39"/>
  <c r="H23" i="39" s="1"/>
  <c r="AB23"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D18" i="9" s="1"/>
  <c r="M44" i="9" s="1"/>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B22" i="63" s="1"/>
  <c r="H47" i="46"/>
  <c r="H27" i="39"/>
  <c r="AB27" i="39" s="1"/>
  <c r="F23" i="39"/>
  <c r="AA23" i="39" s="1"/>
  <c r="AB44" i="39"/>
  <c r="H42" i="39"/>
  <c r="AB42" i="39" s="1"/>
  <c r="J42" i="39"/>
  <c r="AC42" i="39" s="1"/>
  <c r="F42" i="39"/>
  <c r="AC43" i="39"/>
  <c r="AA33" i="39"/>
  <c r="AC33" i="39"/>
  <c r="W27" i="39"/>
  <c r="AB25" i="39"/>
  <c r="AB19" i="39"/>
  <c r="F91" i="39"/>
  <c r="J17" i="39"/>
  <c r="W17" i="39" s="1"/>
  <c r="H17" i="39"/>
  <c r="U17" i="39" s="1"/>
  <c r="W15" i="39"/>
  <c r="W14" i="39"/>
  <c r="K9" i="1"/>
  <c r="E32" i="6"/>
  <c r="E21" i="6"/>
  <c r="D3" i="35" s="1"/>
  <c r="BA21" i="3"/>
  <c r="AZ21" i="3" s="1"/>
  <c r="BA22" i="3"/>
  <c r="AZ22" i="3" s="1"/>
  <c r="BA23" i="3"/>
  <c r="AZ23" i="3" s="1"/>
  <c r="BA24" i="3"/>
  <c r="BA26" i="3"/>
  <c r="BA37" i="3"/>
  <c r="AZ37" i="3" s="1"/>
  <c r="BL37" i="3"/>
  <c r="F72" i="9"/>
  <c r="F66" i="9"/>
  <c r="P72" i="9" s="1"/>
  <c r="BL24" i="3"/>
  <c r="AZ24" i="3" s="1"/>
  <c r="BL26" i="3"/>
  <c r="BA28" i="3"/>
  <c r="BL28" i="3"/>
  <c r="BA30" i="3"/>
  <c r="BL30" i="3"/>
  <c r="BA32" i="3"/>
  <c r="BL32" i="3"/>
  <c r="BA34" i="3"/>
  <c r="BL34" i="3"/>
  <c r="AZ35" i="3"/>
  <c r="BL36" i="3"/>
  <c r="AZ36" i="3" s="1"/>
  <c r="BA38" i="3"/>
  <c r="BL38" i="3"/>
  <c r="BA40" i="3"/>
  <c r="BL40" i="3"/>
  <c r="BA42" i="3"/>
  <c r="AZ42" i="3" s="1"/>
  <c r="BA25" i="3"/>
  <c r="BA27" i="3"/>
  <c r="BA29" i="3"/>
  <c r="BA31" i="3"/>
  <c r="BA33" i="3"/>
  <c r="BA39" i="3"/>
  <c r="BL25" i="3"/>
  <c r="BL27" i="3"/>
  <c r="BL29" i="3"/>
  <c r="BL33" i="3"/>
  <c r="BL39" i="3"/>
  <c r="BL31" i="3"/>
  <c r="AZ31" i="3" s="1"/>
  <c r="AZ26" i="3"/>
  <c r="G21" i="3"/>
  <c r="G22" i="3"/>
  <c r="G23" i="3"/>
  <c r="G24" i="3"/>
  <c r="G25" i="3"/>
  <c r="G26" i="3"/>
  <c r="G27" i="3"/>
  <c r="G28" i="3"/>
  <c r="G29" i="3"/>
  <c r="G30" i="3"/>
  <c r="G31" i="3"/>
  <c r="G32" i="3"/>
  <c r="G33" i="3"/>
  <c r="G34" i="3"/>
  <c r="G35" i="3"/>
  <c r="G37" i="3"/>
  <c r="G39" i="3"/>
  <c r="G40" i="3"/>
  <c r="G41"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AB38" i="39"/>
  <c r="U31" i="39"/>
  <c r="AB31" i="39"/>
  <c r="S25" i="39"/>
  <c r="S38" i="39"/>
  <c r="S22" i="31"/>
  <c r="M20" i="15"/>
  <c r="D96" i="9"/>
  <c r="F28" i="15"/>
  <c r="C28" i="15" s="1"/>
  <c r="M18" i="15"/>
  <c r="A18" i="64"/>
  <c r="B74" i="63" s="1"/>
  <c r="C53" i="10"/>
  <c r="A25" i="64" s="1"/>
  <c r="A18" i="51"/>
  <c r="B14" i="63" s="1"/>
  <c r="BA16" i="3"/>
  <c r="BA17" i="3"/>
  <c r="AZ17" i="3" s="1"/>
  <c r="F3" i="35"/>
  <c r="K1" i="43"/>
  <c r="K1" i="12"/>
  <c r="G1" i="44"/>
  <c r="I4" i="6"/>
  <c r="AZ15" i="3"/>
  <c r="BK5" i="3"/>
  <c r="BO5" i="3"/>
  <c r="BP5" i="3"/>
  <c r="BN5" i="3"/>
  <c r="BL18" i="3"/>
  <c r="AZ18" i="3" s="1"/>
  <c r="BC5" i="3"/>
  <c r="BD5" i="3"/>
  <c r="BR5" i="3"/>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A4" i="64"/>
  <c r="A4" i="51"/>
  <c r="B6" i="63" s="1"/>
  <c r="C51" i="10"/>
  <c r="H58" i="46"/>
  <c r="H61" i="46"/>
  <c r="H62" i="46"/>
  <c r="I100" i="46"/>
  <c r="N100" i="46"/>
  <c r="H100" i="46"/>
  <c r="F108" i="46"/>
  <c r="B45" i="46"/>
  <c r="E100" i="46"/>
  <c r="G100" i="46"/>
  <c r="H65" i="46"/>
  <c r="H66" i="46"/>
  <c r="C100" i="46"/>
  <c r="J100" i="46"/>
  <c r="M100" i="46"/>
  <c r="AA12" i="36"/>
  <c r="U12" i="35"/>
  <c r="AB12" i="35"/>
  <c r="W11" i="35"/>
  <c r="AA11" i="35"/>
  <c r="S14" i="37"/>
  <c r="U13" i="37"/>
  <c r="S13" i="21"/>
  <c r="AP9" i="1"/>
  <c r="G9" i="1"/>
  <c r="AP8"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C19" i="46" s="1"/>
  <c r="K17" i="4"/>
  <c r="A22" i="51" s="1"/>
  <c r="B16" i="63" s="1"/>
  <c r="H63" i="46"/>
  <c r="H59" i="46"/>
  <c r="H64" i="46"/>
  <c r="H60" i="46"/>
  <c r="H10" i="48"/>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36"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26" i="15"/>
  <c r="M30" i="44"/>
  <c r="M11" i="44"/>
  <c r="F45" i="44"/>
  <c r="F42" i="15"/>
  <c r="M28" i="44"/>
  <c r="M22" i="15"/>
  <c r="M25" i="44"/>
  <c r="M26" i="44"/>
  <c r="F11" i="44"/>
  <c r="F7" i="15"/>
  <c r="J15" i="15"/>
  <c r="L47" i="15"/>
  <c r="F8" i="15"/>
  <c r="F8" i="44"/>
  <c r="F28" i="44"/>
  <c r="M27" i="15"/>
  <c r="F43" i="44"/>
  <c r="L49" i="44"/>
  <c r="M24" i="44"/>
  <c r="F38" i="15"/>
  <c r="M23" i="15"/>
  <c r="F6" i="15"/>
  <c r="M29" i="15"/>
  <c r="F39" i="44"/>
  <c r="M8" i="44"/>
  <c r="F10" i="44"/>
  <c r="F38" i="44"/>
  <c r="M29" i="44"/>
  <c r="M6" i="15"/>
  <c r="F18" i="44"/>
  <c r="F15" i="44"/>
  <c r="F9" i="15"/>
  <c r="M10" i="44"/>
  <c r="F40" i="44"/>
  <c r="J17" i="44"/>
  <c r="L48" i="44"/>
  <c r="F40" i="15"/>
  <c r="M8" i="15"/>
  <c r="F37" i="15"/>
  <c r="F13" i="15"/>
  <c r="AZ107" i="3" l="1"/>
  <c r="AZ105" i="3"/>
  <c r="AZ94" i="3"/>
  <c r="AZ83" i="3"/>
  <c r="AZ71" i="3"/>
  <c r="AZ69" i="3"/>
  <c r="AZ68" i="3"/>
  <c r="AZ183" i="3"/>
  <c r="AZ133" i="3"/>
  <c r="AZ278" i="3"/>
  <c r="AZ274" i="3"/>
  <c r="AZ266" i="3"/>
  <c r="AZ262" i="3"/>
  <c r="AZ234" i="3"/>
  <c r="AZ230" i="3"/>
  <c r="AZ319" i="3"/>
  <c r="AZ477" i="3"/>
  <c r="AZ441" i="3"/>
  <c r="AZ402" i="3"/>
  <c r="AZ398" i="3"/>
  <c r="AZ39" i="3"/>
  <c r="AZ32" i="3"/>
  <c r="AZ28" i="3"/>
  <c r="G97" i="39"/>
  <c r="J23" i="39"/>
  <c r="M43" i="9"/>
  <c r="C16" i="46"/>
  <c r="U23" i="39"/>
  <c r="AB21" i="39"/>
  <c r="AC17" i="39"/>
  <c r="S23" i="39"/>
  <c r="U27" i="39"/>
  <c r="AB29" i="39"/>
  <c r="S29" i="39"/>
  <c r="U34" i="39"/>
  <c r="W42" i="39"/>
  <c r="U42" i="39"/>
  <c r="S43" i="39"/>
  <c r="G28" i="6"/>
  <c r="G5" i="3"/>
  <c r="B3" i="3" s="1"/>
  <c r="AZ56" i="3"/>
  <c r="D1" i="57"/>
  <c r="E10" i="57" s="1"/>
  <c r="AZ502" i="3"/>
  <c r="AZ561" i="3"/>
  <c r="AC39" i="39"/>
  <c r="W39" i="39"/>
  <c r="AA27" i="37"/>
  <c r="S27" i="37"/>
  <c r="U45" i="33"/>
  <c r="AB45" i="33"/>
  <c r="AZ572" i="3"/>
  <c r="W32" i="36"/>
  <c r="AC32" i="36"/>
  <c r="S30" i="33"/>
  <c r="AA30" i="33"/>
  <c r="AA12" i="35"/>
  <c r="S12" i="35"/>
  <c r="W45" i="21"/>
  <c r="AC45" i="21"/>
  <c r="U13" i="21"/>
  <c r="AB13" i="21"/>
  <c r="W30" i="34"/>
  <c r="AC30" i="34"/>
  <c r="W47" i="39"/>
  <c r="AC47" i="39"/>
  <c r="U42" i="40"/>
  <c r="AB42" i="40"/>
  <c r="W27" i="37"/>
  <c r="AC27" i="37"/>
  <c r="U27" i="37"/>
  <c r="AB27" i="37"/>
  <c r="W12" i="35"/>
  <c r="AC12" i="35"/>
  <c r="W45" i="33"/>
  <c r="AC45" i="33"/>
  <c r="E413" i="3"/>
  <c r="AP7" i="1"/>
  <c r="C24" i="46"/>
  <c r="C9" i="12"/>
  <c r="K6" i="1"/>
  <c r="I20" i="46"/>
  <c r="C20" i="46" s="1"/>
  <c r="F80" i="46"/>
  <c r="F9" i="12"/>
  <c r="BL5" i="3"/>
  <c r="AZ27" i="3"/>
  <c r="AZ34" i="3"/>
  <c r="E8" i="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AO9" i="1"/>
  <c r="M10" i="1"/>
  <c r="O10" i="1" s="1"/>
  <c r="P10" i="1" s="1"/>
  <c r="K8" i="1"/>
  <c r="H16" i="1" s="1"/>
  <c r="E9" i="12"/>
  <c r="F24" i="69"/>
  <c r="C24" i="69" s="1"/>
  <c r="F24" i="71"/>
  <c r="F24" i="70"/>
  <c r="G6" i="1"/>
  <c r="L59" i="15"/>
  <c r="Q75" i="15" s="1"/>
  <c r="J53" i="15"/>
  <c r="F1" i="15" s="1"/>
  <c r="I54" i="15"/>
  <c r="I55" i="44"/>
  <c r="J54" i="44"/>
  <c r="L60" i="44"/>
  <c r="Q63" i="44" s="1"/>
  <c r="L59" i="44"/>
  <c r="Q75" i="44" s="1"/>
  <c r="J60" i="44"/>
  <c r="J58" i="44"/>
  <c r="J56" i="44" s="1"/>
  <c r="J59" i="44" s="1"/>
  <c r="Q52" i="44" s="1"/>
  <c r="L57" i="44"/>
  <c r="J61" i="44"/>
  <c r="Q50" i="44" s="1"/>
  <c r="E86" i="3"/>
  <c r="F29" i="6"/>
  <c r="F28" i="6"/>
  <c r="Q73" i="44"/>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E28" i="6"/>
  <c r="E13" i="6"/>
  <c r="E11" i="6"/>
  <c r="H70" i="46"/>
  <c r="H72" i="46"/>
  <c r="F24" i="15"/>
  <c r="C24" i="15" s="1"/>
  <c r="F26" i="44"/>
  <c r="C26" i="44" s="1"/>
  <c r="F26" i="12"/>
  <c r="F21" i="43"/>
  <c r="C23" i="43" s="1"/>
  <c r="D21" i="43" s="1"/>
  <c r="A9" i="64"/>
  <c r="A9" i="51"/>
  <c r="B9" i="63"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E4" i="4"/>
  <c r="C4" i="4"/>
  <c r="F64" i="15"/>
  <c r="C27" i="15"/>
  <c r="F50" i="15"/>
  <c r="F67" i="15"/>
  <c r="M7" i="15"/>
  <c r="F49" i="15"/>
  <c r="C6" i="15"/>
  <c r="C10" i="15" s="1"/>
  <c r="F65" i="15"/>
  <c r="G66" i="36"/>
  <c r="J18" i="36"/>
  <c r="F33" i="44"/>
  <c r="M17" i="15"/>
  <c r="F31" i="15"/>
  <c r="F58" i="15"/>
  <c r="M19" i="44"/>
  <c r="M29" i="70"/>
  <c r="F6" i="69"/>
  <c r="F7" i="70"/>
  <c r="F8" i="71"/>
  <c r="M6" i="69"/>
  <c r="M28" i="15"/>
  <c r="J15" i="71"/>
  <c r="M24" i="69"/>
  <c r="F36" i="69"/>
  <c r="M23" i="69"/>
  <c r="F9" i="44"/>
  <c r="F43" i="71"/>
  <c r="F16" i="71"/>
  <c r="M31" i="44"/>
  <c r="M24" i="70"/>
  <c r="L48" i="71"/>
  <c r="F26" i="69"/>
  <c r="M26" i="15"/>
  <c r="F16" i="69"/>
  <c r="F26" i="70"/>
  <c r="F38" i="70"/>
  <c r="M28" i="69"/>
  <c r="F6" i="71"/>
  <c r="L47" i="69"/>
  <c r="F42" i="71"/>
  <c r="M9" i="71"/>
  <c r="M23" i="71"/>
  <c r="M8" i="71"/>
  <c r="F36" i="71"/>
  <c r="F38" i="71"/>
  <c r="M27" i="70"/>
  <c r="M26" i="70"/>
  <c r="M27" i="71"/>
  <c r="F13" i="71"/>
  <c r="F40" i="69"/>
  <c r="L48" i="69"/>
  <c r="J36" i="15"/>
  <c r="M8" i="70"/>
  <c r="J36" i="69"/>
  <c r="M29" i="69"/>
  <c r="F8" i="70"/>
  <c r="F43" i="69"/>
  <c r="F13" i="69"/>
  <c r="M26" i="71"/>
  <c r="M6" i="70"/>
  <c r="M26" i="69"/>
  <c r="F38" i="69"/>
  <c r="L48" i="70"/>
  <c r="M28" i="70"/>
  <c r="F16" i="70"/>
  <c r="F13" i="70"/>
  <c r="M8" i="69"/>
  <c r="M6" i="71"/>
  <c r="F6" i="70"/>
  <c r="M24" i="71"/>
  <c r="F37" i="70"/>
  <c r="L47" i="70"/>
  <c r="J15" i="69"/>
  <c r="F36" i="70"/>
  <c r="M23" i="70"/>
  <c r="M28" i="71"/>
  <c r="F9" i="71"/>
  <c r="F42" i="69"/>
  <c r="F37" i="71"/>
  <c r="M22" i="70"/>
  <c r="M9" i="15"/>
  <c r="F36" i="15"/>
  <c r="F42" i="70"/>
  <c r="F7" i="71"/>
  <c r="L47" i="71"/>
  <c r="M24" i="15"/>
  <c r="F40" i="70"/>
  <c r="F9" i="69"/>
  <c r="F8" i="69"/>
  <c r="F7" i="69"/>
  <c r="F37" i="69"/>
  <c r="F9" i="70"/>
  <c r="M29" i="71"/>
  <c r="F16" i="15"/>
  <c r="M22" i="69"/>
  <c r="F43" i="15"/>
  <c r="J36" i="71"/>
  <c r="F43" i="70"/>
  <c r="F26" i="71"/>
  <c r="F40" i="71"/>
  <c r="M9" i="70"/>
  <c r="M22" i="71"/>
  <c r="M9" i="69"/>
  <c r="L48" i="15"/>
  <c r="J15" i="70"/>
  <c r="J36" i="70"/>
  <c r="H7" i="36" l="1"/>
  <c r="AB7" i="36" s="1"/>
  <c r="T36" i="36" s="1"/>
  <c r="G36" i="36" s="1"/>
  <c r="G40" i="36" s="1"/>
  <c r="H40" i="36" s="1"/>
  <c r="J7" i="35"/>
  <c r="AC7" i="35" s="1"/>
  <c r="V38" i="35" s="1"/>
  <c r="I38" i="35" s="1"/>
  <c r="F7" i="34"/>
  <c r="AC23" i="39"/>
  <c r="W23" i="39"/>
  <c r="T8" i="46"/>
  <c r="V8" i="46" s="1"/>
  <c r="C38" i="46"/>
  <c r="G38" i="46" s="1"/>
  <c r="I38" i="46" s="1"/>
  <c r="C39" i="46"/>
  <c r="G39" i="46" s="1"/>
  <c r="I39" i="46" s="1"/>
  <c r="T15" i="46"/>
  <c r="V15" i="46" s="1"/>
  <c r="C37" i="46"/>
  <c r="G37" i="46" s="1"/>
  <c r="I37" i="46" s="1"/>
  <c r="J7" i="36"/>
  <c r="W7" i="36" s="1"/>
  <c r="F7" i="36"/>
  <c r="H7" i="35"/>
  <c r="AB7" i="35" s="1"/>
  <c r="T38" i="35" s="1"/>
  <c r="G38" i="35" s="1"/>
  <c r="G42" i="35" s="1"/>
  <c r="H42" i="35" s="1"/>
  <c r="F7" i="35"/>
  <c r="H7" i="34"/>
  <c r="AB7" i="34" s="1"/>
  <c r="T49" i="34" s="1"/>
  <c r="G49" i="34" s="1"/>
  <c r="G53" i="34" s="1"/>
  <c r="H53" i="34" s="1"/>
  <c r="J7" i="34"/>
  <c r="C34" i="46"/>
  <c r="E34" i="46" s="1"/>
  <c r="C33" i="46"/>
  <c r="G33" i="46" s="1"/>
  <c r="I33" i="46" s="1"/>
  <c r="E27" i="6"/>
  <c r="K26" i="6" s="1"/>
  <c r="M26" i="6" s="1"/>
  <c r="I26" i="6" s="1"/>
  <c r="S26" i="6" s="1"/>
  <c r="C36" i="46"/>
  <c r="E36" i="46" s="1"/>
  <c r="T16" i="46"/>
  <c r="V16" i="46" s="1"/>
  <c r="C35" i="46"/>
  <c r="E35" i="46" s="1"/>
  <c r="F70" i="69"/>
  <c r="M7" i="69"/>
  <c r="J6" i="69" s="1"/>
  <c r="J5" i="69" s="1"/>
  <c r="J26" i="69" s="1"/>
  <c r="F49" i="69"/>
  <c r="M6" i="1"/>
  <c r="T10" i="46"/>
  <c r="V10" i="46" s="1"/>
  <c r="T11" i="46"/>
  <c r="V11" i="46" s="1"/>
  <c r="T12" i="46"/>
  <c r="V12" i="46" s="1"/>
  <c r="T13" i="46"/>
  <c r="V13" i="46" s="1"/>
  <c r="T9" i="46"/>
  <c r="V9" i="46" s="1"/>
  <c r="T14" i="46"/>
  <c r="V14" i="46" s="1"/>
  <c r="H81" i="46"/>
  <c r="H84" i="46"/>
  <c r="H87" i="46"/>
  <c r="H83" i="46"/>
  <c r="H86" i="46"/>
  <c r="H85" i="46"/>
  <c r="H80" i="46"/>
  <c r="H82" i="46"/>
  <c r="G16" i="1"/>
  <c r="J12" i="40" s="1"/>
  <c r="AC12" i="40" s="1"/>
  <c r="F30" i="6"/>
  <c r="Q16" i="1"/>
  <c r="F18" i="11" s="1"/>
  <c r="C18" i="11" s="1"/>
  <c r="C19" i="11" s="1"/>
  <c r="C20" i="11" s="1"/>
  <c r="C21" i="11" s="1"/>
  <c r="AP16" i="1"/>
  <c r="F22" i="11" s="1"/>
  <c r="F70" i="70"/>
  <c r="C8" i="44"/>
  <c r="C7" i="44" s="1"/>
  <c r="C40" i="44" s="1"/>
  <c r="M9" i="44"/>
  <c r="J8" i="44" s="1"/>
  <c r="J7" i="44" s="1"/>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H7" i="37"/>
  <c r="Q62" i="44"/>
  <c r="Q76" i="44"/>
  <c r="J7" i="37"/>
  <c r="F1" i="44"/>
  <c r="Q54" i="44"/>
  <c r="F7" i="37"/>
  <c r="AA7" i="37" s="1"/>
  <c r="R42" i="37" s="1"/>
  <c r="E42" i="37" s="1"/>
  <c r="E46" i="37" s="1"/>
  <c r="F46" i="37" s="1"/>
  <c r="H6" i="3"/>
  <c r="U7" i="35"/>
  <c r="W18" i="36"/>
  <c r="AC18" i="36"/>
  <c r="U7" i="36"/>
  <c r="W7" i="35"/>
  <c r="J6" i="15"/>
  <c r="J5" i="15" s="1"/>
  <c r="J18" i="15" s="1"/>
  <c r="E48" i="33"/>
  <c r="E52" i="33" s="1"/>
  <c r="F52" i="33" s="1"/>
  <c r="AG6" i="1"/>
  <c r="F31" i="6"/>
  <c r="AC6" i="3"/>
  <c r="D12" i="11"/>
  <c r="C12" i="11" s="1"/>
  <c r="C27" i="12"/>
  <c r="D26" i="12" s="1"/>
  <c r="E59" i="40"/>
  <c r="E29" i="6"/>
  <c r="L20" i="6" s="1"/>
  <c r="E58" i="40"/>
  <c r="E63" i="39"/>
  <c r="E16" i="6"/>
  <c r="AZ5" i="3"/>
  <c r="E60" i="40"/>
  <c r="E65" i="39"/>
  <c r="E38" i="9" s="1"/>
  <c r="K19" i="6"/>
  <c r="K24" i="6"/>
  <c r="M24" i="6" s="1"/>
  <c r="I24" i="6" s="1"/>
  <c r="S24" i="6" s="1"/>
  <c r="K20" i="6"/>
  <c r="K25" i="6"/>
  <c r="M25" i="6" s="1"/>
  <c r="I25" i="6" s="1"/>
  <c r="S25" i="6" s="1"/>
  <c r="K14" i="1"/>
  <c r="L19" i="6"/>
  <c r="E62" i="40"/>
  <c r="E67" i="39"/>
  <c r="E66" i="39"/>
  <c r="E61" i="40"/>
  <c r="E38" i="46"/>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Q62" i="15"/>
  <c r="Q53" i="15"/>
  <c r="C48" i="15"/>
  <c r="C48" i="33"/>
  <c r="C49" i="33"/>
  <c r="B3" i="33" s="1"/>
  <c r="B2" i="33" s="1"/>
  <c r="D21" i="12"/>
  <c r="C18" i="44"/>
  <c r="F41" i="15"/>
  <c r="C16" i="71"/>
  <c r="C16" i="70"/>
  <c r="M27" i="69"/>
  <c r="C16" i="69"/>
  <c r="L52" i="44"/>
  <c r="C16" i="15"/>
  <c r="F33" i="12" l="1"/>
  <c r="K21" i="6"/>
  <c r="K23" i="6"/>
  <c r="K22" i="6"/>
  <c r="E37" i="46"/>
  <c r="I53" i="34"/>
  <c r="J53" i="34" s="1"/>
  <c r="U7" i="34"/>
  <c r="AC7" i="36"/>
  <c r="V36" i="36" s="1"/>
  <c r="I36" i="36" s="1"/>
  <c r="E39" i="46"/>
  <c r="W12" i="40"/>
  <c r="F24" i="43"/>
  <c r="C26" i="43" s="1"/>
  <c r="D24" i="43" s="1"/>
  <c r="F12" i="40"/>
  <c r="AA12" i="40" s="1"/>
  <c r="F12" i="39"/>
  <c r="AA12" i="39" s="1"/>
  <c r="E33" i="46"/>
  <c r="G34" i="46"/>
  <c r="I34" i="46" s="1"/>
  <c r="C48" i="69"/>
  <c r="C47" i="69" s="1"/>
  <c r="C59" i="69" s="1"/>
  <c r="K15" i="1"/>
  <c r="K16" i="1" s="1"/>
  <c r="E30" i="6"/>
  <c r="E31" i="6" s="1"/>
  <c r="C34" i="12"/>
  <c r="D33" i="12" s="1"/>
  <c r="C21" i="12"/>
  <c r="G36" i="46"/>
  <c r="I36" i="46" s="1"/>
  <c r="G35" i="46"/>
  <c r="I35" i="46" s="1"/>
  <c r="J12" i="39"/>
  <c r="AC12" i="39" s="1"/>
  <c r="H12" i="39"/>
  <c r="U12" i="39" s="1"/>
  <c r="H12" i="40"/>
  <c r="AB12" i="40" s="1"/>
  <c r="C15" i="43"/>
  <c r="O6" i="1"/>
  <c r="P6" i="1" s="1"/>
  <c r="S7" i="37"/>
  <c r="C22" i="11"/>
  <c r="C23" i="11" s="1"/>
  <c r="B2" i="11" s="1"/>
  <c r="AB12" i="39"/>
  <c r="J18" i="69"/>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F68" i="15"/>
  <c r="O8" i="1"/>
  <c r="P8" i="1" s="1"/>
  <c r="J24" i="71"/>
  <c r="J26" i="71"/>
  <c r="J18" i="71"/>
  <c r="C38" i="71"/>
  <c r="C32" i="71"/>
  <c r="M23" i="6"/>
  <c r="I23" i="6" s="1"/>
  <c r="S23" i="6" s="1"/>
  <c r="S10" i="1"/>
  <c r="C34" i="44"/>
  <c r="U7" i="37"/>
  <c r="AB7" i="37"/>
  <c r="T42" i="37" s="1"/>
  <c r="G42" i="37" s="1"/>
  <c r="G47" i="37" s="1"/>
  <c r="H47" i="37" s="1"/>
  <c r="E6" i="3"/>
  <c r="Q69" i="44"/>
  <c r="L58" i="44"/>
  <c r="L61" i="44" s="1"/>
  <c r="E41" i="36"/>
  <c r="F41" i="36" s="1"/>
  <c r="I47" i="37"/>
  <c r="J47" i="37" s="1"/>
  <c r="E53" i="33"/>
  <c r="F53" i="33" s="1"/>
  <c r="I53" i="33"/>
  <c r="J53" i="33" s="1"/>
  <c r="L27" i="6"/>
  <c r="E38" i="35"/>
  <c r="I43" i="35" s="1"/>
  <c r="J43" i="35" s="1"/>
  <c r="I41" i="36"/>
  <c r="J41" i="36" s="1"/>
  <c r="R37" i="36"/>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AE10" i="1"/>
  <c r="AE8" i="1"/>
  <c r="AE7" i="1"/>
  <c r="C15" i="12"/>
  <c r="AE6" i="1"/>
  <c r="C19" i="44"/>
  <c r="C17" i="15"/>
  <c r="C17" i="69"/>
  <c r="C17" i="70"/>
  <c r="C17" i="71"/>
  <c r="U12" i="40" l="1"/>
  <c r="I40" i="36"/>
  <c r="J40" i="36" s="1"/>
  <c r="G41" i="36"/>
  <c r="H41" i="36" s="1"/>
  <c r="S12" i="40"/>
  <c r="W12" i="39"/>
  <c r="S12" i="39"/>
  <c r="B3" i="11"/>
  <c r="D35" i="6"/>
  <c r="E35" i="6" s="1"/>
  <c r="D1" i="46"/>
  <c r="C59" i="71"/>
  <c r="C65" i="70"/>
  <c r="C59" i="70"/>
  <c r="G46" i="37"/>
  <c r="H46" i="37" s="1"/>
  <c r="E47" i="37"/>
  <c r="F47" i="37" s="1"/>
  <c r="L47" i="44"/>
  <c r="Q59" i="44"/>
  <c r="Q68" i="44"/>
  <c r="E43" i="35"/>
  <c r="F43" i="35" s="1"/>
  <c r="E42" i="35"/>
  <c r="F42" i="35" s="1"/>
  <c r="C37" i="36"/>
  <c r="B3" i="36" s="1"/>
  <c r="B2" i="36" s="1"/>
  <c r="C36" i="36"/>
  <c r="S16" i="1"/>
  <c r="T13" i="1" s="1"/>
  <c r="D3" i="6"/>
  <c r="B27"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F41" i="69"/>
  <c r="D27" i="9" l="1"/>
  <c r="D30" i="9" s="1"/>
  <c r="B30" i="9"/>
  <c r="T7" i="1"/>
  <c r="D34" i="6"/>
  <c r="B37" i="9"/>
  <c r="J29" i="69"/>
  <c r="F68" i="69"/>
  <c r="L57" i="69"/>
  <c r="L60" i="69" s="1"/>
  <c r="E68" i="39"/>
  <c r="E63" i="40"/>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D22" i="12"/>
  <c r="C14" i="71"/>
  <c r="C14" i="69"/>
  <c r="C14" i="70"/>
  <c r="C14" i="15"/>
  <c r="C16" i="44"/>
  <c r="C24" i="9" l="1"/>
  <c r="C25" i="9"/>
  <c r="C22" i="12"/>
  <c r="C20" i="12" s="1"/>
  <c r="C15" i="70"/>
  <c r="C18" i="70"/>
  <c r="C18" i="71"/>
  <c r="C15" i="71"/>
  <c r="C18" i="69"/>
  <c r="C15" i="69"/>
  <c r="L57" i="71"/>
  <c r="L60" i="71" s="1"/>
  <c r="L57" i="70"/>
  <c r="L60" i="70" s="1"/>
  <c r="Q67" i="69"/>
  <c r="Q58" i="69"/>
  <c r="C18" i="15"/>
  <c r="C15" i="15"/>
  <c r="C20" i="44"/>
  <c r="C17" i="44"/>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0"/>
  <c r="F35" i="15"/>
  <c r="M21" i="70"/>
  <c r="M21" i="15"/>
  <c r="M21" i="71"/>
  <c r="F35" i="69"/>
  <c r="M21" i="69"/>
  <c r="F35" i="71"/>
  <c r="M23" i="44"/>
  <c r="F37" i="44"/>
  <c r="J20" i="70" l="1"/>
  <c r="F62" i="70"/>
  <c r="C61" i="70" s="1"/>
  <c r="C34" i="70"/>
  <c r="C19" i="71"/>
  <c r="C19" i="70"/>
  <c r="C19" i="69"/>
  <c r="C20" i="69" s="1"/>
  <c r="C26" i="69" s="1"/>
  <c r="J20" i="71"/>
  <c r="F62" i="71"/>
  <c r="C61" i="71" s="1"/>
  <c r="C34" i="71"/>
  <c r="C34" i="69"/>
  <c r="F62" i="69"/>
  <c r="C61" i="69" s="1"/>
  <c r="J20" i="69"/>
  <c r="C20" i="70"/>
  <c r="C26" i="70" s="1"/>
  <c r="C20" i="71"/>
  <c r="C26" i="71" s="1"/>
  <c r="Q67" i="70"/>
  <c r="Q58" i="70"/>
  <c r="Q67" i="71"/>
  <c r="Q58" i="7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I7" i="6" l="1"/>
  <c r="G3" i="46"/>
  <c r="F13" i="39"/>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H22" i="46" l="1"/>
  <c r="AI11" i="46"/>
  <c r="AI13" i="46" s="1"/>
  <c r="F101" i="46"/>
  <c r="D101" i="46"/>
  <c r="C101" i="46"/>
  <c r="Y11" i="46"/>
  <c r="Y13" i="46" s="1"/>
  <c r="H101" i="46"/>
  <c r="G22" i="46"/>
  <c r="I101" i="46"/>
  <c r="K101" i="46"/>
  <c r="AD11" i="46"/>
  <c r="AD13" i="46" s="1"/>
  <c r="AB11" i="46"/>
  <c r="AB13" i="46" s="1"/>
  <c r="G101" i="46"/>
  <c r="N104" i="45"/>
  <c r="F22" i="46"/>
  <c r="Z7" i="46"/>
  <c r="E22" i="46"/>
  <c r="Z11" i="46"/>
  <c r="Z13" i="46" s="1"/>
  <c r="AA11" i="46"/>
  <c r="AA13" i="46" s="1"/>
  <c r="J101" i="46"/>
  <c r="M101" i="46"/>
  <c r="AC11" i="46"/>
  <c r="AC13" i="46" s="1"/>
  <c r="AJ11" i="46"/>
  <c r="AJ13" i="46" s="1"/>
  <c r="AE11" i="46"/>
  <c r="AE13" i="46" s="1"/>
  <c r="B113" i="46"/>
  <c r="L101" i="46"/>
  <c r="E101" i="46"/>
  <c r="N101" i="46"/>
  <c r="AG11" i="46"/>
  <c r="AG13" i="46" s="1"/>
  <c r="AH11" i="46"/>
  <c r="AH13" i="46" s="1"/>
  <c r="AF11" i="46"/>
  <c r="AF13" i="46"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N109" i="46" l="1"/>
  <c r="N103" i="46"/>
  <c r="N106" i="46"/>
  <c r="N104" i="46"/>
  <c r="N107" i="46"/>
  <c r="N105" i="46"/>
  <c r="N102" i="46"/>
  <c r="L106" i="46"/>
  <c r="L105" i="46"/>
  <c r="L102" i="46"/>
  <c r="L104" i="46"/>
  <c r="L109" i="46"/>
  <c r="L103" i="46"/>
  <c r="L107" i="46"/>
  <c r="J104" i="46"/>
  <c r="J109" i="46"/>
  <c r="J106" i="46"/>
  <c r="J103" i="46"/>
  <c r="J105" i="46"/>
  <c r="J107" i="46"/>
  <c r="J102" i="46"/>
  <c r="K107" i="46"/>
  <c r="K102" i="46"/>
  <c r="K106" i="46"/>
  <c r="K104" i="46"/>
  <c r="K103" i="46"/>
  <c r="K109" i="46"/>
  <c r="K105" i="46"/>
  <c r="D102" i="46"/>
  <c r="D104" i="46"/>
  <c r="D109" i="46"/>
  <c r="D103" i="46"/>
  <c r="D106" i="46"/>
  <c r="D105" i="46"/>
  <c r="D107" i="46"/>
  <c r="E103" i="46"/>
  <c r="E104" i="46"/>
  <c r="E105" i="46"/>
  <c r="E106" i="46"/>
  <c r="E109" i="46"/>
  <c r="E107" i="46"/>
  <c r="E102" i="46"/>
  <c r="D118" i="46"/>
  <c r="E118" i="46" s="1"/>
  <c r="F118" i="46" s="1"/>
  <c r="I115" i="46"/>
  <c r="J115" i="46" s="1"/>
  <c r="K115" i="46" s="1"/>
  <c r="L115" i="46" s="1"/>
  <c r="M115" i="46" s="1"/>
  <c r="B117" i="46"/>
  <c r="C117" i="46" s="1"/>
  <c r="B115" i="46"/>
  <c r="D117" i="46"/>
  <c r="E117" i="46" s="1"/>
  <c r="F117" i="46" s="1"/>
  <c r="G117" i="46" s="1"/>
  <c r="H117" i="46" s="1"/>
  <c r="I117" i="46"/>
  <c r="J117" i="46" s="1"/>
  <c r="K117" i="46" s="1"/>
  <c r="L117" i="46" s="1"/>
  <c r="M117" i="46" s="1"/>
  <c r="B116" i="46"/>
  <c r="C116" i="46" s="1"/>
  <c r="B118" i="46"/>
  <c r="C118" i="46" s="1"/>
  <c r="D116" i="46"/>
  <c r="E116" i="46" s="1"/>
  <c r="F116" i="46" s="1"/>
  <c r="G116" i="46" s="1"/>
  <c r="H116" i="46" s="1"/>
  <c r="I118" i="46"/>
  <c r="J118" i="46" s="1"/>
  <c r="K118" i="46" s="1"/>
  <c r="L118" i="46" s="1"/>
  <c r="M118" i="46" s="1"/>
  <c r="G118" i="46"/>
  <c r="H118" i="46" s="1"/>
  <c r="D115" i="46"/>
  <c r="E115" i="46" s="1"/>
  <c r="F115" i="46" s="1"/>
  <c r="G115" i="46" s="1"/>
  <c r="H115" i="46" s="1"/>
  <c r="I116" i="46"/>
  <c r="J116" i="46" s="1"/>
  <c r="K116" i="46" s="1"/>
  <c r="L116" i="46" s="1"/>
  <c r="M116" i="46" s="1"/>
  <c r="M104" i="46"/>
  <c r="M103" i="46"/>
  <c r="M105" i="46"/>
  <c r="M107" i="46"/>
  <c r="M102" i="46"/>
  <c r="M109" i="46"/>
  <c r="M106" i="46"/>
  <c r="D22" i="46"/>
  <c r="G104" i="46"/>
  <c r="G103" i="46"/>
  <c r="G109" i="46"/>
  <c r="G105" i="46"/>
  <c r="G102" i="46"/>
  <c r="G107" i="46"/>
  <c r="G106" i="46"/>
  <c r="I102" i="46"/>
  <c r="I109" i="46"/>
  <c r="I107" i="46"/>
  <c r="I105" i="46"/>
  <c r="I104" i="46"/>
  <c r="I103" i="46"/>
  <c r="I106" i="46"/>
  <c r="H104" i="46"/>
  <c r="H105" i="46"/>
  <c r="H106" i="46"/>
  <c r="H109" i="46"/>
  <c r="H102" i="46"/>
  <c r="H107" i="46"/>
  <c r="H103" i="46"/>
  <c r="C106" i="46"/>
  <c r="C105" i="46"/>
  <c r="C104" i="46"/>
  <c r="C109" i="46"/>
  <c r="C103" i="46"/>
  <c r="C107" i="46"/>
  <c r="C102" i="46"/>
  <c r="F109" i="46"/>
  <c r="F106" i="46"/>
  <c r="F104" i="46"/>
  <c r="F107" i="46"/>
  <c r="F103" i="46"/>
  <c r="F105" i="46"/>
  <c r="F102" i="46"/>
  <c r="J13" i="69"/>
  <c r="J23" i="69" s="1"/>
  <c r="J16" i="69" s="1"/>
  <c r="J25" i="69" s="1"/>
  <c r="J22" i="70"/>
  <c r="J16" i="70" s="1"/>
  <c r="J25" i="70" s="1"/>
  <c r="C37" i="69"/>
  <c r="C30" i="69" s="1"/>
  <c r="C39" i="69" s="1"/>
  <c r="C40" i="69" s="1"/>
  <c r="J35" i="70"/>
  <c r="C55" i="70"/>
  <c r="C64" i="70" s="1"/>
  <c r="C63" i="70"/>
  <c r="C37" i="70"/>
  <c r="C30" i="70" s="1"/>
  <c r="C39" i="70" s="1"/>
  <c r="C63" i="69"/>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70"/>
  <c r="L51" i="69"/>
  <c r="C115" i="46" l="1"/>
  <c r="D113" i="46" s="1"/>
  <c r="J22" i="46" s="1"/>
  <c r="S5" i="46"/>
  <c r="T5" i="46" s="1"/>
  <c r="V5" i="46" s="1"/>
  <c r="S7" i="46"/>
  <c r="T7" i="46" s="1"/>
  <c r="V7" i="46" s="1"/>
  <c r="S4" i="46"/>
  <c r="T4" i="46" s="1"/>
  <c r="V4" i="46" s="1"/>
  <c r="S3" i="46"/>
  <c r="T3" i="46" s="1"/>
  <c r="V3" i="46" s="1"/>
  <c r="S2" i="46"/>
  <c r="T2" i="46" s="1"/>
  <c r="V2" i="46" s="1"/>
  <c r="C23" i="46"/>
  <c r="C21" i="46" s="1"/>
  <c r="S6" i="46"/>
  <c r="T6" i="46" s="1"/>
  <c r="V6" i="46" s="1"/>
  <c r="J39" i="71"/>
  <c r="J40" i="71" s="1"/>
  <c r="Q70" i="69"/>
  <c r="Q69" i="69" s="1"/>
  <c r="C57" i="70"/>
  <c r="C66" i="70" s="1"/>
  <c r="Q70" i="70"/>
  <c r="Q69" i="70" s="1"/>
  <c r="J39" i="70"/>
  <c r="J40" i="70" s="1"/>
  <c r="Q68" i="70"/>
  <c r="J39" i="69"/>
  <c r="J40" i="69" s="1"/>
  <c r="C57" i="69"/>
  <c r="C66" i="69" s="1"/>
  <c r="C67" i="69" s="1"/>
  <c r="C70" i="69" s="1"/>
  <c r="Q68" i="69"/>
  <c r="J16" i="71"/>
  <c r="J25" i="71" s="1"/>
  <c r="C57" i="71"/>
  <c r="C66" i="71" s="1"/>
  <c r="Q68" i="71"/>
  <c r="Q57" i="69"/>
  <c r="Q63" i="69" s="1"/>
  <c r="Q48" i="69"/>
  <c r="Q54" i="69" s="1"/>
  <c r="C43" i="69"/>
  <c r="Q66" i="69"/>
  <c r="Q76" i="69" s="1"/>
  <c r="B2" i="69"/>
  <c r="C10" i="12" s="1"/>
  <c r="J42" i="69"/>
  <c r="J43" i="69" s="1"/>
  <c r="Q70" i="71"/>
  <c r="Q69" i="71" s="1"/>
  <c r="C44" i="44"/>
  <c r="C30" i="15"/>
  <c r="C39" i="15" s="1"/>
  <c r="Q70" i="15" s="1"/>
  <c r="Q69" i="15" s="1"/>
  <c r="C58" i="15"/>
  <c r="C57" i="15" s="1"/>
  <c r="C66" i="15" s="1"/>
  <c r="C67" i="15" s="1"/>
  <c r="C70" i="15" s="1"/>
  <c r="Q70" i="44"/>
  <c r="B3" i="43"/>
  <c r="B5" i="43"/>
  <c r="B4" i="43"/>
  <c r="J9" i="40"/>
  <c r="F9" i="40"/>
  <c r="H9" i="40"/>
  <c r="J9" i="39"/>
  <c r="H9" i="39"/>
  <c r="F9" i="39"/>
  <c r="C29" i="46" l="1"/>
  <c r="C37" i="9" s="1"/>
  <c r="B3" i="69"/>
  <c r="C8" i="12" s="1"/>
  <c r="C46" i="69"/>
  <c r="C40" i="15"/>
  <c r="Q48" i="15" s="1"/>
  <c r="Q54" i="15" s="1"/>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37" i="9" l="1"/>
  <c r="E29" i="46"/>
  <c r="C30" i="46"/>
  <c r="E30" i="46" s="1"/>
  <c r="C27" i="46"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7" i="67"/>
  <c r="E39" i="9" l="1"/>
  <c r="G35" i="9" s="1"/>
  <c r="C43" i="9" s="1"/>
  <c r="E4" i="67"/>
  <c r="C26" i="46"/>
  <c r="B2" i="15"/>
  <c r="Q76" i="15"/>
  <c r="Q58" i="15"/>
  <c r="Q63" i="15" s="1"/>
  <c r="E54" i="39"/>
  <c r="F54" i="39" s="1"/>
  <c r="E53" i="39"/>
  <c r="F53" i="39" s="1"/>
  <c r="E48" i="40"/>
  <c r="F48" i="40" s="1"/>
  <c r="E49" i="40"/>
  <c r="F49" i="40" s="1"/>
  <c r="C50" i="39"/>
  <c r="C49" i="39"/>
  <c r="I54" i="39"/>
  <c r="J54" i="39" s="1"/>
  <c r="C45" i="40"/>
  <c r="C44" i="40"/>
  <c r="I49" i="40"/>
  <c r="J49" i="40" s="1"/>
  <c r="E7" i="67"/>
  <c r="K47" i="9" l="1"/>
  <c r="A14" i="55" s="1"/>
  <c r="B65" i="63" s="1"/>
  <c r="E3" i="67"/>
  <c r="B2" i="46"/>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7" i="67"/>
  <c r="B2" i="67" l="1"/>
  <c r="D4" i="46"/>
  <c r="B3" i="46"/>
  <c r="B4" i="46"/>
  <c r="F68" i="39"/>
  <c r="B2" i="39" s="1"/>
  <c r="F63" i="40"/>
  <c r="B2" i="40" s="1"/>
  <c r="C19" i="9"/>
  <c r="B3" i="67" l="1"/>
  <c r="B4" i="67"/>
  <c r="L43" i="9"/>
  <c r="B3" i="40"/>
  <c r="B4" i="40"/>
  <c r="B5" i="40"/>
  <c r="B3" i="39"/>
  <c r="B4" i="39"/>
  <c r="B5" i="39"/>
  <c r="C21" i="9"/>
  <c r="C20" i="9"/>
  <c r="C45" i="9" l="1"/>
  <c r="H14" i="66" s="1"/>
  <c r="B7" i="66" s="1"/>
  <c r="D7" i="66" l="1"/>
  <c r="C7" i="66"/>
  <c r="D45" i="9" l="1"/>
  <c r="E45" i="9"/>
  <c r="O40" i="9"/>
  <c r="F45" i="9"/>
  <c r="K31" i="9" l="1"/>
  <c r="K32" i="9" s="1"/>
  <c r="R7" i="54"/>
  <c r="B52" i="63" s="1"/>
  <c r="N76" i="9" l="1"/>
  <c r="C46" i="9" l="1"/>
  <c r="AE9" i="1"/>
  <c r="F41" i="71"/>
  <c r="F46" i="44"/>
  <c r="J31" i="44" l="1"/>
  <c r="C45" i="44"/>
  <c r="K33" i="9"/>
  <c r="F46" i="9"/>
  <c r="I14" i="66"/>
  <c r="B8" i="66" s="1"/>
  <c r="D46" i="9"/>
  <c r="O41" i="9"/>
  <c r="R8" i="54" s="1"/>
  <c r="B54" i="63" s="1"/>
  <c r="E46" i="9"/>
  <c r="J29" i="71"/>
  <c r="C40" i="71"/>
  <c r="F68" i="71"/>
  <c r="C67" i="71" s="1"/>
  <c r="F41" i="70"/>
  <c r="B2" i="44" l="1"/>
  <c r="B4" i="44" s="1"/>
  <c r="Q67" i="44"/>
  <c r="Q77" i="44" s="1"/>
  <c r="Q49" i="44"/>
  <c r="Q55" i="44" s="1"/>
  <c r="Q58" i="44"/>
  <c r="Q64" i="44" s="1"/>
  <c r="J29" i="70"/>
  <c r="F68" i="70"/>
  <c r="C67" i="70" s="1"/>
  <c r="C70" i="70" s="1"/>
  <c r="C40" i="70"/>
  <c r="C43" i="70" s="1"/>
  <c r="C8" i="66"/>
  <c r="D8" i="66"/>
  <c r="K34" i="9"/>
  <c r="B2" i="71"/>
  <c r="C43" i="71"/>
  <c r="Q48" i="71"/>
  <c r="Q54" i="71" s="1"/>
  <c r="Q57" i="71"/>
  <c r="Q63" i="71" s="1"/>
  <c r="J42" i="71"/>
  <c r="J43" i="71" s="1"/>
  <c r="Q66" i="71"/>
  <c r="Q76" i="71" s="1"/>
  <c r="C70" i="71"/>
  <c r="C46" i="71"/>
  <c r="B3" i="71" l="1"/>
  <c r="B5" i="44"/>
  <c r="B3" i="44"/>
  <c r="C46" i="70"/>
  <c r="B2" i="70"/>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19" i="9"/>
  <c r="G19" i="9" l="1"/>
  <c r="L44" i="9"/>
  <c r="D22" i="9"/>
  <c r="B5" i="12"/>
  <c r="B4" i="12"/>
  <c r="D21" i="9"/>
  <c r="D20" i="9"/>
  <c r="G20" i="9" l="1"/>
  <c r="G21" i="9"/>
  <c r="C32" i="9"/>
  <c r="G22" i="9"/>
  <c r="N43"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D47" i="9" l="1"/>
  <c r="B5" i="66"/>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<sst xmlns="http://schemas.openxmlformats.org/spreadsheetml/2006/main" count="8377" uniqueCount="3210">
  <si>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</si>
  <si>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</si>
  <si>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</si>
  <si>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</si>
  <si>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</si>
  <si>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</si>
  <si>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</si>
  <si>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</si>
  <si>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</si>
  <si>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</si>
  <si>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</si>
  <si>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</si>
  <si>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</si>
  <si>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</si>
  <si>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</si>
  <si>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</si>
  <si>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</si>
  <si>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</si>
  <si>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</si>
  <si>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</si>
  <si>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</si>
  <si>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</si>
  <si>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</si>
  <si>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</si>
  <si>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</si>
  <si>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</si>
  <si>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</si>
  <si>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</si>
  <si>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</si>
  <si>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</si>
  <si>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</si>
  <si>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</si>
  <si>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</si>
  <si>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</si>
  <si>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</si>
  <si>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</si>
  <si>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</si>
  <si>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</si>
  <si>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</si>
  <si>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</si>
  <si>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</si>
  <si>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</si>
  <si>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</si>
  <si>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</si>
  <si>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</si>
  <si>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</si>
  <si>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</si>
  <si>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</si>
  <si>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</si>
  <si>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</si>
  <si>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</si>
  <si>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</si>
  <si>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</si>
  <si>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</si>
  <si>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</si>
  <si>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</si>
  <si>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</si>
  <si>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</si>
  <si>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</si>
  <si>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</si>
  <si>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</si>
  <si>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</si>
  <si>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</si>
  <si>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</si>
  <si>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</si>
  <si>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</si>
  <si>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</si>
  <si>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</si>
  <si>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</si>
  <si>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</si>
  <si>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</si>
  <si>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</si>
  <si>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</si>
  <si>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</si>
  <si>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</si>
  <si>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</si>
  <si>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</si>
  <si>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</si>
  <si>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</si>
  <si>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</si>
  <si>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</si>
  <si>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</si>
  <si>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</si>
  <si>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</si>
  <si>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</si>
  <si>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</si>
  <si>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</si>
  <si>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</si>
  <si>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</si>
  <si>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</si>
  <si>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</si>
  <si>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</si>
  <si>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</si>
  <si>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</si>
  <si>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</si>
  <si>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</si>
  <si>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</si>
  <si>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</si>
  <si>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</si>
  <si>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</si>
  <si>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</si>
  <si>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</si>
  <si>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</si>
  <si>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</si>
  <si>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</si>
  <si>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</si>
  <si>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</si>
  <si>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</si>
  <si>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</si>
  <si>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</si>
  <si>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</si>
  <si>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</si>
  <si>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</si>
  <si>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</si>
  <si>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</si>
  <si>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</si>
  <si>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</si>
  <si>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</si>
  <si>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</si>
  <si>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</si>
  <si>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</si>
  <si>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</si>
  <si>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</si>
  <si>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</si>
  <si>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</si>
  <si>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</si>
  <si>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</si>
  <si>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</si>
  <si>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</si>
  <si>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</si>
  <si>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</si>
  <si>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</si>
  <si>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</si>
  <si>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</si>
  <si>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</si>
  <si>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</si>
  <si>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</si>
  <si>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</si>
  <si>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</si>
  <si>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</si>
  <si>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</si>
  <si>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</si>
  <si>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</si>
  <si>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</si>
  <si>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</si>
  <si>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</si>
  <si>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</si>
  <si>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</si>
  <si>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</si>
  <si>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</si>
  <si>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</si>
  <si>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</si>
  <si>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</si>
  <si>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</si>
  <si>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</si>
  <si>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</si>
  <si>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</si>
  <si>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</si>
  <si>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</si>
  <si>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</si>
  <si>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</si>
  <si>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</si>
  <si>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</si>
  <si>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</si>
  <si>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</si>
  <si>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</si>
  <si>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</si>
  <si>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</si>
  <si>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</si>
  <si>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</si>
  <si>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</si>
  <si>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</si>
  <si>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</si>
  <si>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</si>
  <si>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</si>
  <si>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</si>
  <si>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</si>
  <si>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</si>
  <si>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</si>
  <si>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</si>
  <si>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</si>
  <si>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</si>
  <si>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</si>
  <si>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</si>
  <si>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</si>
  <si>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</si>
  <si>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</si>
  <si>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</si>
  <si>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</si>
  <si>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</si>
  <si>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</si>
  <si>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</si>
  <si>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</si>
  <si>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</si>
  <si>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</si>
  <si>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</si>
  <si>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</si>
  <si>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</si>
  <si>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</si>
  <si>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</si>
  <si>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</si>
  <si>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</si>
  <si>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</si>
  <si>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</si>
  <si>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</si>
  <si>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</si>
  <si>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</si>
  <si>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</si>
  <si>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</si>
  <si>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</si>
  <si>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</si>
  <si>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</si>
  <si>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</si>
  <si>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</si>
  <si>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</si>
  <si>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</si>
  <si>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</si>
  <si>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</si>
  <si>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</si>
  <si>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</si>
  <si>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</si>
  <si>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</si>
  <si>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</si>
  <si>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</si>
  <si>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</si>
  <si>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</si>
  <si>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</si>
  <si>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</si>
  <si>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</si>
  <si>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</si>
  <si>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</si>
  <si>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</si>
  <si>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</si>
  <si>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</si>
  <si>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</si>
  <si>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</si>
  <si>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</si>
  <si>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</si>
  <si>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</si>
  <si>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</si>
  <si>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</si>
  <si>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</si>
  <si>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</si>
  <si>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</si>
  <si>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</si>
  <si>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</si>
  <si>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</si>
  <si>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</si>
  <si>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</si>
  <si>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</si>
  <si>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</si>
  <si>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</si>
  <si>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</si>
  <si>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</si>
  <si>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</si>
  <si>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</si>
  <si>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</si>
  <si>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</si>
  <si>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</si>
  <si>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</si>
  <si>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</si>
  <si>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</si>
  <si>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</si>
  <si>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</si>
  <si>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</si>
  <si>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</si>
  <si>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</si>
  <si>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</si>
  <si>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</si>
  <si>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</si>
  <si>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</si>
  <si>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</si>
  <si>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</si>
  <si>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</si>
  <si>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</si>
  <si>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</si>
  <si>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</si>
  <si>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</si>
  <si>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</si>
  <si>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</si>
  <si>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</si>
  <si>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</si>
  <si>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</si>
  <si>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</si>
  <si>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</si>
  <si>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</si>
  <si>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</si>
  <si>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</si>
  <si>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</si>
  <si>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</si>
  <si>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</si>
  <si>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</si>
  <si>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</si>
  <si>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</si>
  <si>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</si>
  <si>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</si>
  <si>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</si>
  <si>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</si>
  <si>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</si>
  <si>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</si>
  <si>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</si>
  <si>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</si>
  <si>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</si>
  <si>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</si>
  <si>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</si>
  <si>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</si>
  <si>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</si>
  <si>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</si>
  <si>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</si>
  <si>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</si>
  <si>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</si>
  <si>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</si>
  <si>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</si>
  <si>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</si>
  <si>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</si>
  <si>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</si>
  <si>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</si>
  <si>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</si>
  <si>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</si>
  <si>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</si>
  <si>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</si>
  <si>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</si>
  <si>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</si>
  <si>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</si>
  <si>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</si>
  <si>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</si>
  <si>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</si>
  <si>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</si>
  <si>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</si>
  <si>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</si>
  <si>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</si>
  <si>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</si>
  <si>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</si>
  <si>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</si>
  <si>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</si>
  <si>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</si>
  <si>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</si>
  <si>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</si>
  <si>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</si>
  <si>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</si>
  <si>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</si>
  <si>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</si>
  <si>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</si>
  <si>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</si>
  <si>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</si>
  <si>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</si>
  <si>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</si>
  <si>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</si>
  <si>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</si>
  <si>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</si>
  <si>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</si>
  <si>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</si>
  <si>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</si>
  <si>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</si>
  <si>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</si>
  <si>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</si>
  <si>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</si>
  <si>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</si>
  <si>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</si>
  <si>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</si>
  <si>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</si>
  <si>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</si>
  <si>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</si>
  <si>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</si>
  <si>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</si>
  <si>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</si>
  <si>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</si>
  <si>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</si>
  <si>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</si>
  <si>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</si>
  <si>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</si>
  <si>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</si>
  <si>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</si>
  <si>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</si>
  <si>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</si>
  <si>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</si>
  <si>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</si>
  <si>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</si>
  <si>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</si>
  <si>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</si>
  <si>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</si>
  <si>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</si>
  <si>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</si>
  <si>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</si>
  <si>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</si>
  <si>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</si>
  <si>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</si>
  <si>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</si>
  <si>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</si>
  <si>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</si>
  <si>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</si>
  <si>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</si>
  <si>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</si>
  <si>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</si>
  <si>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</si>
  <si>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</si>
  <si>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</si>
  <si>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</si>
  <si>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</si>
  <si>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</si>
  <si>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</si>
  <si>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</si>
  <si>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</si>
  <si>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</si>
  <si>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</si>
  <si>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</si>
  <si>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</si>
  <si>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</si>
  <si>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</si>
  <si>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</si>
  <si>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</si>
  <si>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</si>
  <si>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</si>
  <si>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</si>
  <si>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</si>
  <si>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</si>
  <si>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</si>
  <si>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</si>
  <si>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</si>
  <si>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</si>
  <si>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</si>
  <si>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</si>
  <si>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</si>
  <si>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</si>
  <si>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</si>
  <si>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</si>
  <si>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</si>
  <si>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</si>
  <si>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</si>
  <si>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</si>
  <si>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</si>
  <si>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</si>
  <si>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</si>
  <si>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</si>
  <si>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</si>
  <si>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</si>
  <si>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</si>
  <si>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</si>
  <si>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</si>
  <si>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</si>
  <si>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</si>
  <si>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</si>
  <si>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</si>
  <si>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</si>
  <si>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</si>
  <si>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</si>
  <si>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</si>
  <si>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</si>
  <si>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</si>
  <si>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</si>
  <si>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</si>
  <si>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</si>
  <si>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</si>
  <si>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</si>
  <si>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</si>
  <si>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</si>
  <si>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</si>
  <si>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</si>
  <si>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</si>
  <si>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</si>
  <si>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</si>
  <si>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</si>
  <si>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</si>
  <si>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</si>
  <si>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</si>
  <si>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</si>
  <si>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</si>
  <si>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</si>
  <si>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</si>
  <si>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</si>
  <si>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</si>
  <si>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</si>
  <si>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</si>
  <si>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</si>
  <si>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</si>
  <si>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</si>
  <si>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</si>
  <si>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</si>
  <si>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</si>
  <si>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</si>
  <si>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</si>
  <si>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</si>
  <si>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</si>
  <si>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</si>
  <si>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</si>
  <si>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</si>
  <si>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</si>
  <si>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</si>
  <si>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</si>
  <si>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</si>
  <si>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</si>
  <si>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</si>
  <si>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</si>
  <si>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</si>
  <si>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</si>
  <si>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</si>
  <si>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</si>
  <si>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</si>
  <si>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</si>
  <si>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</si>
  <si>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</si>
  <si>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</si>
  <si>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</si>
  <si>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</si>
  <si>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</si>
  <si>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</si>
  <si>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</si>
  <si>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</si>
  <si>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</si>
  <si>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</si>
  <si>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</si>
  <si>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</si>
  <si>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</si>
  <si>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</si>
  <si>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</si>
  <si>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</si>
  <si>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</si>
  <si>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</si>
  <si>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</si>
  <si>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</si>
  <si>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</si>
  <si>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</si>
  <si>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</si>
  <si>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</si>
  <si>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</si>
  <si>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</si>
  <si>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</si>
  <si>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</si>
  <si>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</si>
  <si>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</si>
  <si>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</si>
  <si>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</si>
  <si>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</si>
  <si>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</si>
  <si>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</si>
  <si>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</si>
  <si>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</si>
  <si>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</si>
  <si>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</si>
  <si>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</si>
  <si>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</si>
  <si>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</si>
  <si>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</si>
  <si>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</si>
  <si>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</si>
  <si>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</si>
  <si>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</si>
  <si>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</si>
  <si>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</si>
  <si>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</si>
  <si>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</si>
  <si>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</si>
  <si>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</si>
  <si>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</si>
  <si>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</si>
  <si>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</si>
  <si>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</si>
  <si>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</si>
  <si>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</si>
  <si>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</si>
  <si>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</si>
  <si>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</si>
  <si>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</si>
  <si>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</si>
  <si>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</si>
  <si>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</si>
  <si>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</si>
  <si>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</si>
  <si>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</si>
  <si>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</si>
  <si>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</si>
  <si>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</si>
  <si>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</si>
  <si>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</si>
  <si>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</si>
  <si>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</si>
  <si>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</si>
  <si>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</si>
  <si>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</si>
  <si>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</si>
  <si>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</si>
  <si>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</si>
  <si>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</si>
  <si>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</si>
  <si>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</si>
  <si>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</si>
  <si>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</si>
  <si>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</si>
  <si>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</si>
  <si>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</si>
  <si>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</si>
  <si>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</si>
  <si>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</si>
  <si>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</si>
  <si>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</si>
  <si>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</si>
  <si>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</si>
  <si>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</si>
  <si>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</si>
  <si>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</si>
  <si>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</si>
  <si>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</si>
  <si>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</si>
  <si>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</si>
  <si>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</si>
  <si>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</si>
  <si>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</si>
  <si>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</si>
  <si>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</si>
  <si>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</si>
  <si>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</si>
  <si>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</si>
  <si>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</si>
  <si>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</si>
  <si>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</si>
  <si>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</si>
  <si>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</si>
  <si>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</si>
  <si>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</si>
  <si>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</si>
  <si>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</si>
  <si>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</si>
  <si>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</si>
  <si>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</si>
  <si>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</si>
  <si>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</si>
  <si>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</si>
  <si>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</si>
  <si>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</si>
  <si>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</si>
  <si>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</si>
  <si>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</si>
  <si>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</si>
  <si>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</si>
  <si>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</si>
  <si>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</si>
  <si>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</si>
  <si>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</si>
  <si>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</si>
  <si>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</si>
  <si>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</si>
  <si>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</si>
  <si>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</si>
  <si>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</si>
  <si>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</si>
  <si>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</si>
  <si>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</si>
  <si>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</si>
  <si>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</si>
  <si>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</si>
  <si>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</si>
  <si>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</si>
  <si>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</si>
  <si>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</si>
  <si>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</si>
  <si>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</si>
  <si>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</si>
  <si>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</si>
  <si>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</si>
  <si>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</si>
  <si>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</si>
  <si>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</si>
  <si>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</si>
  <si>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</si>
  <si>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</si>
  <si>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</si>
  <si>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</si>
  <si>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</si>
  <si>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</si>
  <si>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</si>
  <si>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</si>
  <si>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</si>
  <si>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</si>
  <si>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</si>
  <si>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</si>
  <si>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</si>
  <si>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</si>
  <si>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</si>
  <si>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</si>
  <si>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</si>
  <si>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</si>
  <si>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</si>
  <si>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</si>
  <si>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</si>
  <si>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</si>
  <si>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</si>
  <si>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</si>
  <si>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</si>
  <si>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</si>
  <si>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</si>
  <si>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</si>
  <si>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</si>
  <si>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</si>
  <si>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</si>
  <si>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</si>
  <si>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</si>
  <si>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</si>
  <si>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</si>
  <si>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</si>
  <si>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</si>
  <si>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</si>
  <si>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</si>
  <si>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</si>
  <si>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</si>
  <si>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</si>
  <si>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</si>
  <si>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</si>
  <si>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</si>
  <si>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</si>
  <si>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</si>
  <si>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</si>
  <si>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</si>
  <si>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</si>
  <si>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</si>
  <si>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</si>
  <si>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</si>
  <si>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</si>
  <si>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</si>
  <si>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</si>
  <si>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</si>
  <si>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</si>
  <si>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</si>
  <si>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</si>
  <si>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</si>
  <si>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</si>
  <si>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</si>
  <si>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</si>
  <si>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</si>
  <si>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</si>
  <si>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</si>
  <si>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</si>
  <si>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</si>
  <si>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</si>
  <si>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</si>
  <si>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</si>
  <si>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</si>
  <si>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</si>
  <si>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</si>
  <si>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</si>
  <si>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</si>
  <si>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</si>
  <si>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</si>
  <si>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</si>
  <si>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</si>
  <si>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</si>
  <si>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</si>
  <si>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</si>
  <si>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</si>
  <si>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</si>
  <si>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</si>
  <si>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</si>
  <si>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</si>
  <si>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</si>
  <si>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</si>
  <si>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</si>
  <si>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</si>
  <si>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</si>
  <si>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</si>
  <si>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</si>
  <si>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</si>
  <si>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</si>
  <si>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</si>
  <si>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</si>
  <si>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</si>
  <si>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</si>
  <si>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</si>
  <si>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</si>
  <si>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</si>
  <si>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</si>
  <si>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</si>
  <si>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</si>
  <si>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</si>
  <si>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</si>
  <si>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</si>
  <si>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</si>
  <si>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</si>
  <si>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</si>
  <si>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</si>
  <si>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</si>
  <si>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</si>
  <si>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</si>
  <si>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</si>
  <si>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</si>
  <si>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</si>
  <si>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</si>
  <si>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</si>
  <si>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</si>
  <si>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</si>
  <si>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</si>
  <si>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</si>
  <si>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</si>
  <si>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</si>
  <si>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</si>
  <si>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</si>
  <si>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</si>
  <si>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</si>
  <si>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</si>
  <si>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</si>
  <si>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</si>
  <si>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</si>
  <si>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</si>
  <si>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</si>
  <si>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</si>
  <si>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</si>
  <si>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</si>
  <si>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</si>
  <si>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</si>
  <si>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</si>
  <si>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</si>
  <si>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</si>
  <si>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</si>
  <si>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</si>
  <si>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</si>
  <si>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</si>
  <si>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</si>
  <si>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</si>
  <si>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</si>
  <si>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</si>
  <si>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</si>
  <si>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</si>
  <si>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</si>
  <si>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</si>
  <si>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</si>
  <si>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</si>
  <si>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</si>
  <si>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</si>
  <si>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</si>
  <si>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</si>
  <si>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</si>
  <si>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</si>
  <si>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</si>
  <si>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</si>
  <si>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</si>
  <si>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</si>
  <si>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</si>
  <si>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</si>
  <si>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</si>
  <si>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</si>
  <si>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</si>
  <si>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</si>
  <si>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</si>
  <si>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</si>
  <si>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</si>
  <si>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</si>
  <si>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</si>
  <si>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</si>
  <si>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</si>
  <si>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</si>
  <si>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</si>
  <si>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</si>
  <si>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</si>
  <si>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</si>
  <si>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</si>
  <si>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</si>
  <si>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</si>
  <si>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</si>
  <si>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</si>
  <si>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</si>
  <si>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</si>
  <si>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</si>
  <si>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</si>
  <si>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</si>
  <si>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</si>
  <si>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</si>
  <si>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</si>
  <si>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</si>
  <si>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</si>
  <si>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</si>
  <si>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</si>
  <si>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</si>
  <si>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</si>
  <si>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</si>
  <si>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</si>
  <si>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</si>
  <si>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</si>
  <si>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</si>
  <si>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</si>
  <si>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</si>
  <si>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</si>
  <si>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</si>
  <si>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</si>
  <si>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</si>
  <si>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</si>
  <si>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</si>
  <si>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</si>
  <si>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</si>
  <si>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</si>
  <si>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</si>
  <si>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</si>
  <si>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</si>
  <si>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</si>
  <si>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</si>
  <si>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</si>
  <si>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</si>
  <si>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</si>
  <si>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</si>
  <si>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</si>
  <si>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</si>
  <si>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</si>
  <si>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</si>
  <si>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</si>
  <si>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</si>
  <si>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</si>
  <si>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</si>
  <si>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</si>
  <si>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</si>
  <si>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</si>
  <si>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</si>
  <si>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</si>
  <si>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</si>
  <si>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</si>
  <si>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</si>
  <si>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</si>
  <si>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</si>
  <si>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</si>
  <si>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</si>
  <si>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</si>
  <si>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</si>
  <si>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</si>
  <si>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</si>
  <si>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</si>
  <si>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</si>
  <si>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</si>
  <si>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</si>
  <si>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</si>
  <si>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</si>
  <si>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</si>
  <si>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</si>
  <si>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</si>
  <si>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</si>
  <si>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</si>
  <si>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</si>
  <si>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</si>
  <si>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</si>
  <si>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</si>
  <si>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</si>
  <si>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</si>
  <si>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</si>
  <si>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</si>
  <si>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</si>
  <si>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</si>
  <si>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</si>
  <si>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</si>
  <si>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</si>
  <si>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</si>
  <si>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</si>
  <si>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</si>
  <si>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</si>
  <si>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</si>
  <si>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</si>
  <si>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</si>
  <si>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</si>
  <si>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</si>
  <si>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</si>
  <si>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</si>
  <si>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</si>
  <si>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</si>
  <si>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</si>
  <si>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</si>
  <si>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</si>
  <si>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</si>
  <si>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</si>
  <si>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</si>
  <si>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</si>
  <si>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</si>
  <si>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</si>
  <si>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</si>
  <si>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</si>
  <si>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</si>
  <si>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</si>
  <si>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</si>
  <si>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</si>
  <si>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</si>
  <si>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</si>
  <si>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</si>
  <si>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</si>
  <si>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</si>
  <si>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</si>
  <si>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</si>
  <si>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</si>
  <si>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</si>
  <si>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</si>
  <si>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</si>
  <si>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</si>
  <si>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</si>
  <si>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</si>
  <si>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</si>
  <si>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</si>
  <si>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</si>
  <si>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</si>
  <si>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</si>
  <si>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</si>
  <si>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</si>
  <si>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</si>
  <si>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</si>
  <si>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</si>
  <si>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</si>
  <si>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</si>
  <si>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</si>
  <si>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</si>
  <si>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</si>
  <si>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</si>
  <si>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</si>
  <si>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</si>
  <si>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</si>
  <si>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</si>
  <si>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</si>
  <si>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</si>
  <si>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</si>
  <si>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</si>
  <si>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</si>
  <si>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</si>
  <si>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</si>
  <si>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</si>
  <si>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</si>
  <si>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</si>
  <si>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</si>
  <si>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</si>
  <si>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</si>
  <si>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</si>
  <si>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</si>
  <si>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</si>
  <si>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</si>
  <si>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</si>
  <si>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</si>
  <si>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</si>
  <si>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</si>
  <si>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</si>
  <si>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</si>
  <si>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</si>
  <si>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</si>
  <si>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</si>
  <si>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</si>
  <si>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</si>
  <si>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</si>
  <si>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</si>
  <si>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</si>
  <si>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</si>
  <si>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</si>
  <si>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</si>
  <si>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</si>
  <si>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</si>
  <si>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</si>
  <si>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</si>
  <si>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</si>
  <si>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</si>
  <si>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</si>
  <si>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</si>
  <si>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</si>
  <si>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</si>
  <si>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</si>
  <si>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</si>
  <si>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</si>
  <si>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</si>
  <si>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</si>
  <si>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</si>
  <si>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</si>
  <si>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</si>
  <si>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</si>
  <si>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</si>
  <si>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</si>
  <si>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</si>
  <si>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</si>
  <si>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</si>
  <si>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</si>
  <si>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</si>
  <si>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</si>
  <si>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</si>
  <si>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</si>
  <si>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</si>
  <si>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</si>
  <si>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</si>
  <si>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</si>
  <si>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</si>
  <si>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</si>
  <si>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</si>
  <si>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</si>
  <si>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</si>
  <si>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</si>
  <si>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</si>
  <si>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</si>
  <si>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</si>
  <si>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</si>
  <si>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</si>
  <si>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</si>
  <si>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</si>
  <si>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</si>
  <si>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</si>
  <si>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</si>
  <si>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</si>
  <si>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</si>
  <si>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</si>
  <si>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</si>
  <si>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</si>
  <si>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</si>
  <si>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</si>
  <si>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</si>
  <si>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</si>
  <si>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</si>
  <si>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</si>
  <si>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</si>
  <si>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</si>
  <si>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</si>
  <si>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</si>
  <si>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</si>
  <si>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</si>
  <si>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</si>
  <si>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</si>
  <si>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</si>
  <si>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</si>
  <si>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</si>
  <si>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</si>
  <si>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</si>
  <si>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</si>
  <si>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</si>
  <si>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</si>
  <si>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</si>
  <si>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</si>
  <si>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</si>
  <si>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</si>
  <si>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</si>
  <si>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</si>
  <si>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</si>
  <si>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</si>
  <si>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</si>
  <si>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</si>
  <si>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</si>
  <si>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</si>
  <si>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</si>
  <si>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</si>
  <si>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</si>
  <si>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</si>
  <si>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</si>
  <si>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</si>
  <si>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</si>
  <si>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</si>
  <si>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</si>
  <si>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</si>
  <si>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</si>
  <si>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</si>
  <si>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</si>
  <si>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</si>
  <si>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</si>
  <si>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</si>
  <si>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</si>
  <si>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</si>
  <si>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</si>
  <si>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</si>
  <si>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</si>
  <si>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</si>
  <si>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</si>
  <si>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</si>
  <si>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</si>
  <si>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</si>
  <si>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</si>
  <si>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</si>
  <si>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</si>
  <si>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</si>
  <si>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</si>
  <si>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</si>
  <si>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</si>
  <si>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</si>
  <si>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</si>
  <si>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</si>
  <si>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</si>
  <si>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</si>
  <si>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</si>
  <si>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</si>
  <si>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</si>
  <si>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</si>
  <si>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</si>
  <si>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</si>
  <si>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</si>
  <si>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</si>
  <si>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</si>
  <si>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</si>
  <si>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</si>
  <si>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</si>
  <si>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</si>
  <si>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</si>
  <si>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</si>
  <si>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</si>
  <si>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</si>
  <si>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</si>
  <si>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</si>
  <si>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</si>
  <si>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</si>
  <si>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</si>
  <si>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</si>
  <si>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</si>
  <si>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</si>
  <si>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</si>
  <si>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</si>
  <si>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</si>
  <si>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</si>
  <si>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</si>
  <si>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</si>
  <si>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</si>
  <si>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</si>
  <si>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</si>
  <si>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</si>
  <si>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</si>
  <si>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</si>
  <si>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</si>
  <si>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</si>
  <si>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</si>
  <si>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</si>
  <si>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</si>
  <si>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</si>
  <si>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</si>
  <si>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</si>
  <si>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</si>
  <si>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</si>
  <si>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</si>
  <si>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</si>
  <si>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</si>
  <si>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</si>
  <si>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</si>
  <si>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</si>
  <si>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</si>
  <si>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</si>
  <si>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</si>
  <si>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</si>
  <si>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</si>
  <si>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</si>
  <si>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</si>
  <si>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</si>
  <si>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</si>
  <si>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</si>
  <si>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</si>
  <si>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</si>
  <si>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</si>
  <si>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</si>
  <si>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</si>
  <si>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</si>
  <si>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</si>
  <si>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</si>
  <si>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</si>
  <si>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</si>
  <si>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</si>
  <si>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</si>
  <si>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</si>
  <si>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</si>
  <si>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</si>
  <si>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</si>
  <si>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</si>
  <si>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</si>
  <si>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</si>
  <si>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</si>
  <si>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</si>
  <si>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</si>
  <si>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</si>
  <si>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</si>
  <si>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</si>
  <si>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</si>
  <si>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</si>
  <si>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</si>
  <si>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</si>
  <si>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</si>
  <si>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</si>
  <si>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</si>
  <si>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</si>
  <si>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</si>
  <si>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</si>
  <si>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</si>
  <si>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</si>
  <si>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</si>
  <si>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</si>
  <si>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</si>
  <si>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</si>
  <si>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</si>
  <si>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</si>
  <si>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</si>
  <si>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</si>
  <si>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</si>
  <si>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</si>
  <si>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</si>
  <si>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</si>
  <si>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</si>
  <si>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</si>
  <si>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</si>
  <si>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</si>
  <si>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</si>
  <si>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</si>
  <si>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</si>
  <si>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</si>
  <si>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</si>
  <si>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</si>
  <si>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</si>
  <si>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</si>
  <si>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</si>
  <si>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</si>
  <si>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</si>
  <si>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</si>
  <si>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</si>
  <si>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</si>
  <si>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</si>
  <si>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</si>
  <si>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</si>
  <si>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</si>
  <si>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</si>
  <si>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</si>
  <si>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</si>
  <si>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</si>
  <si>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</si>
  <si>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</si>
  <si>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</si>
  <si>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</si>
  <si>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</si>
  <si>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</si>
  <si>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</si>
  <si>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</si>
  <si>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</si>
  <si>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</si>
  <si>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</si>
  <si>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</si>
  <si>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</si>
  <si>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</si>
  <si>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</si>
  <si>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</si>
  <si>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</si>
  <si>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</si>
  <si>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</si>
  <si>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</si>
  <si>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</si>
  <si>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</si>
  <si>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</si>
  <si>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</si>
  <si>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</si>
  <si>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</si>
  <si>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</si>
  <si>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</si>
  <si>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</si>
  <si>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</si>
  <si>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</si>
  <si>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</si>
  <si>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</si>
  <si>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</si>
  <si>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</si>
  <si>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</si>
  <si>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</si>
  <si>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</si>
  <si>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</si>
  <si>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</si>
  <si>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</si>
  <si>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</si>
  <si>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</si>
  <si>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</si>
  <si>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</si>
  <si>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</si>
  <si>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</si>
  <si>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</si>
  <si>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</si>
  <si>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</si>
  <si>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</si>
  <si>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</si>
  <si>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</si>
  <si>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</si>
  <si>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</si>
  <si>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</si>
  <si>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</si>
  <si>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</si>
  <si>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</si>
  <si>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</si>
  <si>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</si>
  <si>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</si>
  <si>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</si>
  <si>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</si>
  <si>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</si>
  <si>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</si>
  <si>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</si>
  <si>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</si>
  <si>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</si>
  <si>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</si>
  <si>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</si>
  <si>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</si>
  <si>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</si>
  <si>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</si>
  <si>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</si>
  <si>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</si>
  <si>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</si>
  <si>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</si>
  <si>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</si>
  <si>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</si>
  <si>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</si>
  <si>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</si>
  <si>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</si>
  <si>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</si>
  <si>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</si>
  <si>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</si>
  <si>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</si>
  <si>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</si>
  <si>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</si>
  <si>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</si>
  <si>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</si>
  <si>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</si>
  <si>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</si>
  <si>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</si>
  <si>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</si>
  <si>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</si>
  <si>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</si>
  <si>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</si>
  <si>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</si>
  <si>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</si>
  <si>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</si>
  <si>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</si>
  <si>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</si>
  <si>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</si>
  <si>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</si>
  <si>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</si>
  <si>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</si>
  <si>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</si>
  <si>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</si>
  <si>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</si>
  <si>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</si>
  <si>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</si>
  <si>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</si>
  <si>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</si>
  <si>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</si>
  <si>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</si>
  <si>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</si>
  <si>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</si>
  <si>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</si>
  <si>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</si>
  <si>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</si>
  <si>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</si>
  <si>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</si>
  <si>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</si>
  <si>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</si>
  <si>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</si>
  <si>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</si>
  <si>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</si>
  <si>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</si>
  <si>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</si>
  <si>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</si>
  <si>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</si>
  <si>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</si>
  <si>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</si>
  <si>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</si>
  <si>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</si>
  <si>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</si>
  <si>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</si>
  <si>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</si>
  <si>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</si>
  <si>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</si>
  <si>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</si>
  <si>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</si>
  <si>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</si>
  <si>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</si>
  <si>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</si>
  <si>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</si>
  <si>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</si>
  <si>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</si>
  <si>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</si>
  <si>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</si>
  <si>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</si>
  <si>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</si>
  <si>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</si>
  <si>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</si>
  <si>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</si>
  <si>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</si>
  <si>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</si>
  <si>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</si>
  <si>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</si>
  <si>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</si>
  <si>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</si>
  <si>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</si>
  <si>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</si>
  <si>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</si>
  <si>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</si>
  <si>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</si>
  <si>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</si>
  <si>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</si>
  <si>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</si>
  <si>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</si>
  <si>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</si>
  <si>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</si>
  <si>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</si>
  <si>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</si>
  <si>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</si>
  <si>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</si>
  <si>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</si>
  <si>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</si>
  <si>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</si>
  <si>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</si>
  <si>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</si>
  <si>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</si>
  <si>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</si>
  <si>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</si>
  <si>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</si>
  <si>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</si>
  <si>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</si>
  <si>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</si>
  <si>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</si>
  <si>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</si>
  <si>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</si>
  <si>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</si>
  <si>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</si>
  <si>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</si>
  <si>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</si>
  <si>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</si>
  <si>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</si>
  <si>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</si>
  <si>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</si>
  <si>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</si>
  <si>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</si>
  <si>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</si>
  <si>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</si>
  <si>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</si>
  <si>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</si>
  <si>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</si>
  <si>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</si>
  <si>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</si>
  <si>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</si>
  <si>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</si>
  <si>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</si>
  <si>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</si>
  <si>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</si>
  <si>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</si>
  <si>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</si>
  <si>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</si>
  <si>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</si>
  <si>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</si>
  <si>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</si>
  <si>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</si>
  <si>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</si>
  <si>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</si>
  <si>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</si>
  <si>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</si>
  <si>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</si>
  <si>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</si>
  <si>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</si>
  <si>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</si>
  <si>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</si>
  <si>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</si>
  <si>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</si>
  <si>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</si>
  <si>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</si>
  <si>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</si>
  <si>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</si>
  <si>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</si>
  <si>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</si>
  <si>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</si>
  <si>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</si>
  <si>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</si>
  <si>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</si>
  <si>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</si>
  <si>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</si>
  <si>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</si>
  <si>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</si>
  <si>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</si>
  <si>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</si>
  <si>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</si>
  <si>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</si>
  <si>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</si>
  <si>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</si>
  <si>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</si>
  <si>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</si>
  <si>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</si>
  <si>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</si>
  <si>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</si>
  <si>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</si>
  <si>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</si>
  <si>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</si>
  <si>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</si>
  <si>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</si>
  <si>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</si>
  <si>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</si>
  <si>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</si>
  <si>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</si>
  <si>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</si>
  <si>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</si>
  <si>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</si>
  <si>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</si>
  <si>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</si>
  <si>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</si>
  <si>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</si>
  <si>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</si>
  <si>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</si>
  <si>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</si>
  <si>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</si>
  <si>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</si>
  <si>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</si>
  <si>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</si>
  <si>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</si>
  <si>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</si>
  <si>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</si>
  <si>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</si>
  <si>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</si>
  <si>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</si>
  <si>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</si>
  <si>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</si>
  <si>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</si>
  <si>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</si>
  <si>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</si>
  <si>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</si>
  <si>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</si>
  <si>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</si>
  <si>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</si>
  <si>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</si>
  <si>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</si>
  <si>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</si>
  <si>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</si>
  <si>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</si>
  <si>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</si>
  <si>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</si>
  <si>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</si>
  <si>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</si>
  <si>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</si>
  <si>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</si>
  <si>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</si>
  <si>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</si>
  <si>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</si>
  <si>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</si>
  <si>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</si>
  <si>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</si>
  <si>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</si>
  <si>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</si>
  <si>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</si>
  <si>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</si>
  <si>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</si>
  <si>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</si>
  <si>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</si>
  <si>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</si>
  <si>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</si>
  <si>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</si>
  <si>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</si>
  <si>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</si>
  <si>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</si>
  <si>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</si>
  <si>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</si>
  <si>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</si>
  <si>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</si>
  <si>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</si>
  <si>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</si>
  <si>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</si>
  <si>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</si>
  <si>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</si>
  <si>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</si>
  <si>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</si>
  <si>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</si>
  <si>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</si>
  <si>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</si>
  <si>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</si>
  <si>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</si>
  <si>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</si>
  <si>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</si>
  <si>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</si>
  <si>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</si>
  <si>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</si>
  <si>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</si>
  <si>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</si>
  <si>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</si>
  <si>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</si>
  <si>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</si>
  <si>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</si>
  <si>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</si>
  <si>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</si>
  <si>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</si>
  <si>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</si>
  <si>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</si>
  <si>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</si>
  <si>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</si>
  <si>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</si>
  <si>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</si>
  <si>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</si>
  <si>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</si>
  <si>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</si>
  <si>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</si>
  <si>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</si>
  <si>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</si>
  <si>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</si>
  <si>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</si>
  <si>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</si>
  <si>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</si>
  <si>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</si>
  <si>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</si>
  <si>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</si>
  <si>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</si>
  <si>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</si>
  <si>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</si>
  <si>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</si>
  <si>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</si>
  <si>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</si>
  <si>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</si>
  <si>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</si>
  <si>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</si>
  <si>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</si>
  <si>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</si>
  <si>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</si>
  <si>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</si>
  <si>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</si>
  <si>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</si>
  <si>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</si>
  <si>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</si>
  <si>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</si>
  <si>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</si>
  <si>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</si>
  <si>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</si>
  <si>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</si>
  <si>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</si>
  <si>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</si>
  <si>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</si>
  <si>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</si>
  <si>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</si>
  <si>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</si>
  <si>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</si>
  <si>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</si>
  <si>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</si>
  <si>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</si>
  <si>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</si>
  <si>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</si>
  <si>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</si>
  <si>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</si>
  <si>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</si>
  <si>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</si>
  <si>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</si>
  <si>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</si>
  <si>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</si>
  <si>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</si>
  <si>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</si>
  <si>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</si>
  <si>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</si>
  <si>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</si>
  <si>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</si>
  <si>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</si>
  <si>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</si>
  <si>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</si>
  <si>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</si>
  <si>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</si>
  <si>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</si>
  <si>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</si>
  <si>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</si>
  <si>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</si>
  <si>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</si>
  <si>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</si>
  <si>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</si>
  <si>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</si>
  <si>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</si>
  <si>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</si>
  <si>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</si>
  <si>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</si>
  <si>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</si>
  <si>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</si>
  <si>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</si>
  <si>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</si>
  <si>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</si>
  <si>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</si>
  <si>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</si>
  <si>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</si>
  <si>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</si>
  <si>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</si>
  <si>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</si>
  <si>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</si>
  <si>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</si>
  <si>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</si>
  <si>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</si>
  <si>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</si>
  <si>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</si>
  <si>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</si>
  <si>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</si>
  <si>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</si>
  <si>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</si>
  <si>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</si>
  <si>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</si>
  <si>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</si>
  <si>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</si>
  <si>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</si>
  <si>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</si>
  <si>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</si>
  <si>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</si>
  <si>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</si>
  <si>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</si>
  <si>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</si>
  <si>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</si>
  <si>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</si>
  <si>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</si>
  <si>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</si>
  <si>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</si>
  <si>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</si>
  <si>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</si>
  <si>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</si>
  <si>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</si>
  <si>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</si>
  <si>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</si>
  <si>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</si>
  <si>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</si>
  <si>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</si>
  <si>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</si>
  <si>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</si>
  <si>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</si>
  <si>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</si>
  <si>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</si>
  <si>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</si>
  <si>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</si>
  <si>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</si>
  <si>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</si>
  <si>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</si>
  <si>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</si>
  <si>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</si>
  <si>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</si>
  <si>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</si>
  <si>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</si>
  <si>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</si>
  <si>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</si>
  <si>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</si>
  <si>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</si>
  <si>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</si>
  <si>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</si>
  <si>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</si>
  <si>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</si>
  <si>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</si>
  <si>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</si>
  <si>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</si>
  <si>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</si>
  <si>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</si>
  <si>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</si>
  <si>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</si>
  <si>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</si>
  <si>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</si>
  <si>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</si>
  <si>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</si>
  <si>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</si>
  <si>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</si>
  <si>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</si>
  <si>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</si>
  <si>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</si>
  <si>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</si>
  <si>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</si>
  <si>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</si>
  <si>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</si>
  <si>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</si>
  <si>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</si>
  <si>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</si>
  <si>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</si>
  <si>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</si>
  <si>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</si>
  <si>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</si>
  <si>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</si>
  <si>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</si>
  <si>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</si>
  <si>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</si>
  <si>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</si>
  <si>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</si>
  <si>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</si>
  <si>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</si>
  <si>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</si>
  <si>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</si>
  <si>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</si>
  <si>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</si>
  <si>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</si>
  <si>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</si>
  <si>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</si>
  <si>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</si>
  <si>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</si>
  <si>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</si>
  <si>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</si>
  <si>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</si>
  <si>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</si>
  <si>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</si>
  <si>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</si>
  <si>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</si>
  <si>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</si>
  <si>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</si>
  <si>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</si>
  <si>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</si>
  <si>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</si>
  <si>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</si>
  <si>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</si>
  <si>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</si>
  <si>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</si>
  <si>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</si>
  <si>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</si>
  <si>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</si>
  <si>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</si>
  <si>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</si>
  <si>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</si>
  <si>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</si>
  <si>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</si>
  <si>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</si>
  <si>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</si>
  <si>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</si>
  <si>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</si>
  <si>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</si>
  <si>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</si>
  <si>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</si>
  <si>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</si>
  <si>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</si>
  <si>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</si>
  <si>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</si>
  <si>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</si>
  <si>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</si>
  <si>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</si>
  <si>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</si>
  <si>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</si>
  <si>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</si>
  <si>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</si>
  <si>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</si>
  <si>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</si>
  <si>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</si>
  <si>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</si>
  <si>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</si>
  <si>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</si>
  <si>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</si>
  <si>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</si>
  <si>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</si>
  <si>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</si>
  <si>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</si>
  <si>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</si>
  <si>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</si>
  <si>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</si>
  <si>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</si>
  <si>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</si>
  <si>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</si>
  <si>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</si>
  <si>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</si>
  <si>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</si>
  <si>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</si>
  <si>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</si>
  <si>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</si>
  <si>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</si>
  <si>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</si>
  <si>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</si>
  <si>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</si>
  <si>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</si>
  <si>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</si>
  <si>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</si>
  <si>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</si>
  <si>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</si>
  <si>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</si>
  <si>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</si>
  <si>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</si>
  <si>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</si>
  <si>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</si>
  <si>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</si>
  <si>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</si>
  <si>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</si>
  <si>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</si>
  <si>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</si>
  <si>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</si>
  <si>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</si>
  <si>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</si>
  <si>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</si>
  <si>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</si>
  <si>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</si>
  <si>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</si>
  <si>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</si>
  <si>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</si>
  <si>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</si>
  <si>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</si>
  <si>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</si>
  <si>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</si>
  <si>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</si>
  <si>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</si>
  <si>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</si>
  <si>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</si>
  <si>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</si>
  <si>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</si>
  <si>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</si>
  <si>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</si>
  <si>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</si>
  <si>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</si>
  <si>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</si>
  <si>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</si>
  <si>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</si>
  <si>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</si>
  <si>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</si>
  <si>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</si>
  <si>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</si>
  <si>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</si>
  <si>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</si>
  <si>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</si>
  <si>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</si>
  <si>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</si>
  <si>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</si>
  <si>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</si>
  <si>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</si>
  <si>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</si>
  <si>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</si>
  <si>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</si>
  <si>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</si>
  <si>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</si>
  <si>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</si>
  <si>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</si>
  <si>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</si>
  <si>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</si>
  <si>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</si>
  <si>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</si>
  <si>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</si>
  <si>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</si>
  <si>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</si>
  <si>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</si>
  <si>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</si>
  <si>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</si>
  <si>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</si>
  <si>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</si>
  <si>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</si>
  <si>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</si>
  <si>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</si>
  <si>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</si>
  <si>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</si>
  <si>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</si>
  <si>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</si>
  <si>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</si>
  <si>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</si>
  <si>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</si>
  <si>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</si>
  <si>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</si>
  <si>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</si>
  <si>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</si>
  <si>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</si>
  <si>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</si>
  <si>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</si>
  <si>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</si>
  <si>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</si>
  <si>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</si>
  <si>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</si>
  <si>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</si>
  <si>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</si>
  <si>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</si>
  <si>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</si>
  <si>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</si>
  <si>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</si>
  <si>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</si>
  <si>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</si>
  <si>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</si>
  <si>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</si>
  <si>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</si>
  <si>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</si>
  <si>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</si>
  <si>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</si>
  <si>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</si>
  <si>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</si>
  <si>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</si>
  <si>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</si>
  <si>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</si>
  <si>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</si>
  <si>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</si>
  <si>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</si>
  <si>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</si>
  <si>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</si>
  <si>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</si>
  <si>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</si>
  <si>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</si>
  <si>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</si>
  <si>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</si>
  <si>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</si>
  <si>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</si>
  <si>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</si>
  <si>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</si>
  <si>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</si>
  <si>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</si>
  <si>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</si>
  <si>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</si>
  <si>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</si>
  <si>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</si>
  <si>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</si>
  <si>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</si>
  <si>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</si>
  <si>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</si>
  <si>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</si>
  <si>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</si>
  <si>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</si>
  <si>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</si>
  <si>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</si>
  <si>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</si>
  <si>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</si>
  <si>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</si>
  <si>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</si>
  <si>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</si>
  <si>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</si>
  <si>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</si>
  <si>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</si>
  <si>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</si>
  <si>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</si>
  <si>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</si>
  <si>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</si>
  <si>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</si>
  <si>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</si>
  <si>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</si>
  <si>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</si>
  <si>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</si>
  <si>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</si>
  <si>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</si>
  <si>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</si>
  <si>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</si>
  <si>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</si>
  <si>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</si>
  <si>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</si>
  <si>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</si>
  <si>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</si>
  <si>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</si>
  <si>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</si>
  <si>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</si>
  <si>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</si>
  <si>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</si>
  <si>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</si>
  <si>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</si>
  <si>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</si>
  <si>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</si>
  <si>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</si>
  <si>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</si>
  <si>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</si>
  <si>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</si>
  <si>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</si>
  <si>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</si>
  <si>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</si>
  <si>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</si>
  <si>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</si>
  <si>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</si>
  <si>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</si>
  <si>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</si>
  <si>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</si>
  <si>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</si>
  <si>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</si>
  <si>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</si>
  <si>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</si>
  <si>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</si>
  <si>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</si>
  <si>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</si>
  <si>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</si>
  <si>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</si>
  <si>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</si>
  <si>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</si>
  <si>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</si>
  <si>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</si>
  <si>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</si>
  <si>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</si>
  <si>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</si>
  <si>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</si>
  <si>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</si>
  <si>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</si>
  <si>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</si>
  <si>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</si>
  <si>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</si>
  <si>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</si>
  <si>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</si>
  <si>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</si>
  <si>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</si>
  <si>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</si>
  <si>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</si>
  <si>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</si>
  <si>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</si>
  <si>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</si>
  <si>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</si>
  <si>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</si>
  <si>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</si>
  <si>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</si>
  <si>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</si>
  <si>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</si>
  <si>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</si>
  <si>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</si>
  <si>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</si>
  <si>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</si>
  <si>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</si>
  <si>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</si>
  <si>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</si>
  <si>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</si>
  <si>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</si>
  <si>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</si>
  <si>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</si>
  <si>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</si>
  <si>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</si>
  <si>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</si>
  <si>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</si>
  <si>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</si>
  <si>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</si>
  <si>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</si>
  <si>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</si>
  <si>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</si>
  <si>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</si>
  <si>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</si>
  <si>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</si>
  <si>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</si>
  <si>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</si>
  <si>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</si>
  <si>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</si>
  <si>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</si>
  <si>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</si>
  <si>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</si>
  <si>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</si>
  <si>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</si>
  <si>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</si>
  <si>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</si>
  <si>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</si>
  <si>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</si>
  <si>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</si>
  <si>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</si>
  <si>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</si>
  <si>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</si>
  <si>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</si>
  <si>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</si>
  <si>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</si>
  <si>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</si>
  <si>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</si>
  <si>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</si>
  <si>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</si>
  <si>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</si>
  <si>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</si>
  <si>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</si>
  <si>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</si>
  <si>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</si>
  <si>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</si>
  <si>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</si>
  <si>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</si>
  <si>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</si>
  <si>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</si>
  <si>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</si>
  <si>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</si>
  <si>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</si>
  <si>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</si>
  <si>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</si>
  <si>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</si>
  <si>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</si>
  <si>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</si>
  <si>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</si>
  <si>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</si>
  <si>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</si>
  <si>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</si>
  <si>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</si>
  <si>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</si>
  <si>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</si>
  <si>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</si>
  <si>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</si>
  <si>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</si>
  <si>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</si>
  <si>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</si>
  <si>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</si>
  <si>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</si>
  <si>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</si>
  <si>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</si>
  <si>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</si>
  <si>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</si>
  <si>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</si>
  <si>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</si>
  <si>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</si>
  <si>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</si>
  <si>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</si>
  <si>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</si>
  <si>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</si>
  <si>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</si>
  <si>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</si>
  <si>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</si>
  <si>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</si>
  <si>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</si>
  <si>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</si>
  <si>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</si>
  <si>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</si>
  <si>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</si>
  <si>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</si>
  <si>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</si>
  <si>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</si>
  <si>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</si>
  <si>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</si>
  <si>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</si>
  <si>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</si>
  <si>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</si>
  <si>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</si>
  <si>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</si>
  <si>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</si>
  <si>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</si>
  <si>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</si>
  <si>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</si>
  <si>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</si>
  <si>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</si>
  <si>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</si>
  <si>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</si>
  <si>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</si>
  <si>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</si>
  <si>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</si>
  <si>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</si>
  <si>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</si>
  <si>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</si>
  <si>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</si>
  <si>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</si>
  <si>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</si>
  <si>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</si>
  <si>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</si>
  <si>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</si>
  <si>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</si>
  <si>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</si>
  <si>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</si>
  <si>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</si>
  <si>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</si>
  <si>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</si>
  <si>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</si>
  <si>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</si>
  <si>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</si>
  <si>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</si>
  <si>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</si>
  <si>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</si>
  <si>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</si>
  <si>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</si>
  <si>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</si>
  <si>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</si>
  <si>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</si>
  <si>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</si>
  <si>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</si>
  <si>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</si>
  <si>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</si>
  <si>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</si>
  <si>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</si>
  <si>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</si>
  <si>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</si>
  <si>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</si>
  <si>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</si>
  <si>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</si>
  <si>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</si>
  <si>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</si>
  <si>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</si>
  <si>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</si>
  <si>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</si>
  <si>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</si>
  <si>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</si>
  <si>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</si>
  <si>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</si>
  <si>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</si>
  <si>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</si>
  <si>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</si>
  <si>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</si>
  <si>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</si>
  <si>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</si>
  <si>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</si>
  <si>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</si>
  <si>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</si>
  <si>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</si>
  <si>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</si>
  <si>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</si>
  <si>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</si>
  <si>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</si>
  <si>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</si>
  <si>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</si>
  <si>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</si>
  <si>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</si>
  <si>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</si>
  <si>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</si>
  <si>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</si>
  <si>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</si>
  <si>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</si>
  <si>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</si>
  <si>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</si>
  <si>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</si>
  <si>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</si>
  <si>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</si>
  <si>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</si>
  <si>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</si>
  <si>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</si>
  <si>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</si>
  <si>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</si>
  <si>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</si>
  <si>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</si>
  <si>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</si>
  <si>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</si>
  <si>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</si>
  <si>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</si>
  <si>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</si>
  <si>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</si>
  <si>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</si>
  <si>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</si>
  <si>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</si>
  <si>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</si>
  <si>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</si>
  <si>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</si>
  <si>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</si>
  <si>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</si>
  <si>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</si>
  <si>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</si>
  <si>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</si>
  <si>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</si>
  <si>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</si>
  <si>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</si>
  <si>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</si>
  <si>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</si>
  <si>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</si>
  <si>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</si>
  <si>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</si>
  <si>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</si>
  <si>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</si>
  <si>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</si>
  <si>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</si>
  <si>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</si>
  <si>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</si>
  <si>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</si>
  <si>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</si>
  <si>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</si>
  <si>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</si>
  <si>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</si>
  <si>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</si>
  <si>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</si>
  <si>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</si>
  <si>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</si>
  <si>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</si>
  <si>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</si>
  <si>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</si>
  <si>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</si>
  <si>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</si>
  <si>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</si>
  <si>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</si>
  <si>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</si>
  <si>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</si>
  <si>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</si>
  <si>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</si>
  <si>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</si>
  <si>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</si>
  <si>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</si>
  <si>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</si>
  <si>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</si>
  <si>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</si>
  <si>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</si>
  <si>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</si>
  <si>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</si>
  <si>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</si>
  <si>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</si>
  <si>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</si>
  <si>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</si>
  <si>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</si>
  <si>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</si>
  <si>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</si>
  <si>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</si>
  <si>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</si>
  <si>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</si>
  <si>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</si>
  <si>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</si>
  <si>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</si>
  <si>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</si>
  <si>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</si>
  <si>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</si>
  <si>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</si>
  <si>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</si>
  <si>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</si>
  <si>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</si>
  <si>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</si>
  <si>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</si>
  <si>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</si>
  <si>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</si>
  <si>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</si>
  <si>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</si>
  <si>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</si>
  <si>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</si>
  <si>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</si>
  <si>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</si>
  <si>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</si>
  <si>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</si>
  <si>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</si>
  <si>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</si>
  <si>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</si>
  <si>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</si>
  <si>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</si>
  <si>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</si>
  <si>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</si>
  <si>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</si>
  <si>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</si>
  <si>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</si>
  <si>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</si>
  <si>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</si>
  <si>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</si>
  <si>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</si>
  <si>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</si>
  <si>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</si>
  <si>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</si>
  <si>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</si>
  <si>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</si>
  <si>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</si>
  <si>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</si>
  <si>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</si>
  <si>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</si>
  <si>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</si>
  <si>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</si>
  <si>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</si>
  <si>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</si>
  <si>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</si>
  <si>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</si>
  <si>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</si>
  <si>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</si>
  <si>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</si>
  <si>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</si>
  <si>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</si>
  <si>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</si>
  <si>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</si>
  <si>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</si>
  <si>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</si>
  <si>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</si>
  <si>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</si>
  <si>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</si>
  <si>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</si>
  <si>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</si>
  <si>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</si>
  <si>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</si>
  <si>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</si>
  <si>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</si>
  <si>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</si>
  <si>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</si>
  <si>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</si>
  <si>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</si>
  <si>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</si>
  <si>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</si>
  <si>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</si>
  <si>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</si>
  <si>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</si>
  <si>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</si>
  <si>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</si>
  <si>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</si>
  <si>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</si>
  <si>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</si>
  <si>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</si>
  <si>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</si>
  <si>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</si>
  <si>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</si>
  <si>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</si>
  <si>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</si>
  <si>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</si>
  <si>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</si>
  <si>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</si>
  <si>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</si>
  <si>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</si>
  <si>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</si>
  <si>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</si>
  <si>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</si>
  <si>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</si>
  <si>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</si>
  <si>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</si>
  <si>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</si>
  <si>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</si>
  <si>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</si>
  <si>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</si>
  <si>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</si>
  <si>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</si>
  <si>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</si>
  <si>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</si>
  <si>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</si>
  <si>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</si>
  <si>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</si>
  <si>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</si>
  <si>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</si>
  <si>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</si>
  <si>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</si>
  <si>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</si>
  <si>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</si>
  <si>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</si>
  <si>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</si>
  <si>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</si>
  <si>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</si>
  <si>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</si>
  <si>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</si>
  <si>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</si>
  <si>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</si>
  <si>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</si>
  <si>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</si>
  <si>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</si>
  <si>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</si>
  <si>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</si>
  <si>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</si>
  <si>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</si>
  <si>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</si>
  <si>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</si>
  <si>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</si>
  <si>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</si>
  <si>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</si>
  <si>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</si>
  <si>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</si>
  <si>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</si>
  <si>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</si>
  <si>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</si>
  <si>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</si>
  <si>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</si>
  <si>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</si>
  <si>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</si>
  <si>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</si>
  <si>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</si>
  <si>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</si>
  <si>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</si>
  <si>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</si>
  <si>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</si>
  <si>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</si>
  <si>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</si>
  <si>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</si>
  <si>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</si>
  <si>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</si>
  <si>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</si>
  <si>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</si>
  <si>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</si>
  <si>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</si>
  <si>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</si>
  <si>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</si>
  <si>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</si>
  <si>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</si>
  <si>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</si>
  <si>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</si>
  <si>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</si>
  <si>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</si>
  <si>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</si>
  <si>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</si>
  <si>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</si>
  <si>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</si>
  <si>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</si>
  <si>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</si>
  <si>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</si>
  <si>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</si>
  <si>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</si>
  <si>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</si>
  <si>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</si>
  <si>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</si>
  <si>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</si>
  <si>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</si>
  <si>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</si>
  <si>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</si>
  <si>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</si>
  <si>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</si>
  <si>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</si>
  <si>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</si>
  <si>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</si>
  <si>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</si>
  <si>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</si>
  <si>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</si>
  <si>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</si>
  <si>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</si>
  <si>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</si>
  <si>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</si>
  <si>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</si>
  <si>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</si>
  <si>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</si>
  <si>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</si>
  <si>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</si>
  <si>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</si>
  <si>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</si>
  <si>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</si>
  <si>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</si>
  <si>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</si>
  <si>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</si>
  <si>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</si>
  <si>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</si>
  <si>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</si>
  <si>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</si>
  <si>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</si>
  <si>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</si>
  <si>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</si>
  <si>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</si>
  <si>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</si>
  <si>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</si>
  <si>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</si>
  <si>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</si>
  <si>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</si>
  <si>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</si>
  <si>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</si>
  <si>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</si>
  <si>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</si>
  <si>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</si>
  <si>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</si>
  <si>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</si>
  <si>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</si>
  <si>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</si>
  <si>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</si>
  <si>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</si>
  <si>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</si>
  <si>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</si>
  <si>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</si>
  <si>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</si>
  <si>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</si>
  <si>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</si>
  <si>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</si>
  <si>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</si>
  <si>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</si>
  <si>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</si>
  <si>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</si>
  <si>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</si>
  <si>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</si>
  <si>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</si>
  <si>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</si>
  <si>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</si>
  <si>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</si>
  <si>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</si>
  <si>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</si>
  <si>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</si>
  <si>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</si>
  <si>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</si>
  <si>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</si>
  <si>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</si>
  <si>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</si>
  <si>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</si>
  <si>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</si>
  <si>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</si>
  <si>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</si>
  <si>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</si>
  <si>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</si>
  <si>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</si>
  <si>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</si>
  <si>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</si>
  <si>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</si>
  <si>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</si>
  <si>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</si>
  <si>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</si>
  <si>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</si>
  <si>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</si>
  <si>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</si>
  <si>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</si>
  <si>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</si>
  <si>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</si>
  <si>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</si>
  <si>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</si>
  <si>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</si>
  <si>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</si>
  <si>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</si>
  <si>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</si>
  <si>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</si>
  <si>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</si>
  <si>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</si>
  <si>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</si>
  <si>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</si>
  <si>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</si>
  <si>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</si>
  <si>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</si>
  <si>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</si>
  <si>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</si>
  <si>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</si>
  <si>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</si>
  <si>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</si>
  <si>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</si>
  <si>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</si>
  <si>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</si>
  <si>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</si>
  <si>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</si>
  <si>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</si>
  <si>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</si>
  <si>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</si>
  <si>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</si>
  <si>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</si>
  <si>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</si>
  <si>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</si>
  <si>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</si>
  <si>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</si>
  <si>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</si>
  <si>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</si>
  <si>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</si>
  <si>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</si>
  <si>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</si>
  <si>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</si>
  <si>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</si>
  <si>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</si>
  <si>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</si>
  <si>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</si>
  <si>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</si>
  <si>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</si>
  <si>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</si>
  <si>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</si>
  <si>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</si>
  <si>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</si>
  <si>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</si>
  <si>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</si>
  <si>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</si>
  <si>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</si>
  <si>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</si>
  <si>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</si>
  <si>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</si>
  <si>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</si>
  <si>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</si>
  <si>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</si>
  <si>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</si>
  <si>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</si>
  <si>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</si>
  <si>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</si>
  <si>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</si>
  <si>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</si>
  <si>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</si>
  <si>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</si>
  <si>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</si>
  <si>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</si>
  <si>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</si>
  <si>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</si>
  <si>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</si>
  <si>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</si>
  <si>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</si>
  <si>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</si>
  <si>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</si>
  <si>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</si>
  <si>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</si>
  <si>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</si>
  <si>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</si>
  <si>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</si>
  <si>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</si>
  <si>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</si>
  <si>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</si>
  <si>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</si>
  <si>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</si>
  <si>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</si>
  <si>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</si>
  <si>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</si>
  <si>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</si>
  <si>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</si>
  <si>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</si>
  <si>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</si>
  <si>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</si>
  <si>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</si>
  <si>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</si>
  <si>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</si>
  <si>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</si>
  <si>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</si>
  <si>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</si>
  <si>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</si>
  <si>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</si>
  <si>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</si>
  <si>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</si>
  <si>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</si>
  <si>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</si>
  <si>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</si>
  <si>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</si>
  <si>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</si>
  <si>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</si>
  <si>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</si>
  <si>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</si>
  <si>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</si>
  <si>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</si>
  <si>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</si>
  <si>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</si>
  <si>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</si>
  <si>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</si>
  <si>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</si>
  <si>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</si>
  <si>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</si>
  <si>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</si>
  <si>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</si>
  <si>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</si>
  <si>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</si>
  <si>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</si>
  <si>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</si>
  <si>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</si>
  <si>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</si>
  <si>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</si>
  <si>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</si>
  <si>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</si>
  <si>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</si>
  <si>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</si>
  <si>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</si>
  <si>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</si>
  <si>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</si>
  <si>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</si>
  <si>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</si>
  <si>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</si>
  <si>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</si>
  <si>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</si>
  <si>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</si>
  <si>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</si>
  <si>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</si>
  <si>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</si>
  <si>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</si>
  <si>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</si>
  <si>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</si>
  <si>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</si>
  <si>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</si>
  <si>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</si>
  <si>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</si>
  <si>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</si>
  <si>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</si>
  <si>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</si>
  <si>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</si>
  <si>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</si>
  <si>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</si>
  <si>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</si>
  <si>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</si>
  <si>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</si>
  <si>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</si>
  <si>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</si>
  <si>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</si>
  <si>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</si>
  <si>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</si>
  <si>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</si>
  <si>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</si>
  <si>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</si>
  <si>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</si>
  <si>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</si>
  <si>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</si>
  <si>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</si>
  <si>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</si>
  <si>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</si>
  <si>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</si>
  <si>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</si>
  <si>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</si>
  <si>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</si>
  <si>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</si>
  <si>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</si>
  <si>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</si>
  <si>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</si>
  <si>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</si>
  <si>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</si>
  <si>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</si>
  <si>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</si>
  <si>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</si>
  <si>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</si>
  <si>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</si>
  <si>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</si>
  <si>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</si>
  <si>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</si>
  <si>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</si>
  <si>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</si>
  <si>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</si>
  <si>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</si>
  <si>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</si>
  <si>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</si>
  <si>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</si>
  <si>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</si>
  <si>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</si>
  <si>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</si>
  <si>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</si>
  <si>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</si>
  <si>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</si>
  <si>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</si>
  <si>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</si>
  <si>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</si>
  <si>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</si>
  <si>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</si>
  <si>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</si>
  <si>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</si>
  <si>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</si>
  <si>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</si>
  <si>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</si>
  <si>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</si>
  <si>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</si>
  <si>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</si>
  <si>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</si>
  <si>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</si>
  <si>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</si>
  <si>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</si>
  <si>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</si>
  <si>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</si>
  <si>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</si>
  <si>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</si>
  <si>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</si>
  <si>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</si>
  <si>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</si>
  <si>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</si>
  <si>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</si>
  <si>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</si>
  <si>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</si>
  <si>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</si>
  <si>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</si>
  <si>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</si>
  <si>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</si>
  <si>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</si>
  <si>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</si>
  <si>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</si>
  <si>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</si>
  <si>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</si>
  <si>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</si>
  <si>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</si>
  <si>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</si>
  <si>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</si>
  <si>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</si>
  <si>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</si>
  <si>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</si>
  <si>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</si>
  <si>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</si>
  <si>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</si>
  <si>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</si>
  <si>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</si>
  <si>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</si>
  <si>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</si>
  <si>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</si>
  <si>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</si>
  <si>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</si>
  <si>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</si>
  <si>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</si>
  <si>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</si>
  <si>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</si>
  <si>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</si>
  <si>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</si>
  <si>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</si>
  <si>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</si>
  <si>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</si>
  <si>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</si>
  <si>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</si>
  <si>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</si>
  <si>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</si>
  <si>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</si>
  <si>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</si>
  <si>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</si>
  <si>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</si>
  <si>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</si>
  <si>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</si>
  <si>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</si>
  <si>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</si>
  <si>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</si>
  <si>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</si>
  <si>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无</t>
  </si>
  <si>
    <t>宗地内已开工建设</t>
  </si>
  <si>
    <t>平整</t>
  </si>
  <si>
    <t>通路</t>
  </si>
  <si>
    <t>通电</t>
  </si>
  <si>
    <t>通讯</t>
  </si>
  <si>
    <t>通上水</t>
  </si>
  <si>
    <t>通下水</t>
  </si>
  <si>
    <t>地上</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</si>
  <si>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</si>
  <si>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</si>
  <si>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</si>
  <si>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</si>
  <si>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</si>
  <si>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</si>
  <si>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</si>
  <si>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</si>
  <si>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</si>
  <si>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</si>
  <si>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</si>
  <si>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</si>
  <si>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</si>
  <si>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</si>
  <si>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</si>
  <si>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</si>
  <si>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</si>
  <si>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</si>
  <si>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</si>
  <si>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</si>
  <si>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</si>
  <si>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</si>
  <si>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</si>
  <si>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</si>
  <si>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</si>
  <si>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</si>
  <si>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</si>
  <si>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</si>
  <si>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</si>
  <si>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</si>
  <si>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</si>
  <si>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</si>
  <si>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</si>
  <si>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</si>
  <si>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</si>
  <si>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</si>
  <si>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</si>
  <si>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</si>
  <si>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</si>
  <si>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</si>
  <si>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</si>
  <si>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</si>
  <si>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</si>
  <si>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</si>
  <si>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</si>
  <si>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</si>
  <si>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</si>
  <si>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</si>
  <si>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</si>
  <si>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</si>
  <si>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</si>
  <si>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</si>
  <si>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</si>
  <si>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</si>
  <si>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</si>
  <si>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</si>
  <si>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</si>
  <si>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</si>
  <si>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</si>
  <si>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</si>
  <si>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</si>
  <si>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</si>
  <si>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</si>
  <si>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</si>
  <si>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</si>
  <si>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</si>
  <si>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</si>
  <si>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车库</t>
  </si>
  <si>
    <t>住宅自持</t>
  </si>
  <si>
    <t>不动产收益法车</t>
    <phoneticPr fontId="14" type="noConversion"/>
  </si>
  <si>
    <t>不动产收益法仓</t>
    <phoneticPr fontId="14" type="noConversion"/>
  </si>
  <si>
    <t>钢混</t>
  </si>
  <si>
    <t>土地（套用方法）</t>
  </si>
  <si>
    <t>押一</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</si>
  <si>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</si>
  <si>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</si>
  <si>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</si>
  <si>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</si>
  <si>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</si>
  <si>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</si>
  <si>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</si>
  <si>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</si>
  <si>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双面临街</t>
  </si>
  <si>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</si>
  <si>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</si>
  <si>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</si>
  <si>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</si>
  <si>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</si>
  <si>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</si>
  <si>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</si>
  <si>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</si>
  <si>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</si>
  <si>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好</t>
  </si>
  <si>
    <t>差</t>
  </si>
  <si>
    <t>六通</t>
  </si>
  <si>
    <t>五通</t>
  </si>
  <si>
    <t>四通</t>
  </si>
  <si>
    <t>三通</t>
  </si>
  <si>
    <t>楼面地价</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</si>
  <si>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</si>
  <si>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</si>
  <si>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</si>
  <si>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</si>
  <si>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</si>
  <si>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</si>
  <si>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</si>
  <si>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</si>
  <si>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</si>
  <si>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</si>
  <si>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</si>
  <si>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</si>
  <si>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</si>
  <si>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</si>
  <si>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</si>
  <si>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</si>
  <si>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</si>
  <si>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</si>
  <si>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</si>
  <si>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</si>
  <si>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</si>
  <si>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</si>
  <si>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宿舍</t>
  </si>
  <si>
    <t>不临58条商业街</t>
  </si>
  <si>
    <t>容积率修正</t>
  </si>
  <si>
    <t>燃气</t>
  </si>
  <si>
    <r>
      <rPr>
        <sz val="11"/>
        <color theme="9" tint="-0.249977111117893"/>
        <rFont val="仿宋_GB2312"/>
        <family val="3"/>
        <charset val="134"/>
      </rPr>
      <t>估价对象位于顺义区明珠大街</t>
    </r>
    <r>
      <rPr>
        <sz val="11"/>
        <color theme="9" tint="-0.249977111117893"/>
        <rFont val="Arial"/>
        <family val="2"/>
      </rPr>
      <t>75</t>
    </r>
    <r>
      <rPr>
        <sz val="11"/>
        <color theme="9" tint="-0.249977111117893"/>
        <rFont val="仿宋_GB2312"/>
        <family val="3"/>
        <charset val="134"/>
      </rPr>
      <t>号，周边工业项目较少，产业集聚程度较差</t>
    </r>
    <phoneticPr fontId="3" type="noConversion"/>
  </si>
  <si>
    <t>估价对象周边道路状况、公共交通通达情况：882、顺18、停车便捷程度较好，综合评价交通便捷度较差</t>
    <phoneticPr fontId="3" type="noConversion"/>
  </si>
  <si>
    <t>估价对象所在区域公共配套设施齐备情况较差</t>
    <phoneticPr fontId="3" type="noConversion"/>
  </si>
  <si>
    <t>七通</t>
    <phoneticPr fontId="3" type="noConversion"/>
  </si>
  <si>
    <t>该园区内是否有污染型企业，绿化情况，卫生条件，整体环境状况判断一般</t>
    <phoneticPr fontId="3" type="noConversion"/>
  </si>
  <si>
    <r>
      <rPr>
        <sz val="11"/>
        <color indexed="8"/>
        <rFont val="宋体"/>
        <family val="3"/>
        <charset val="134"/>
      </rPr>
      <t>次干道</t>
    </r>
    <r>
      <rPr>
        <sz val="11"/>
        <color indexed="8"/>
        <rFont val="Arial"/>
        <family val="2"/>
      </rPr>
      <t>-</t>
    </r>
    <r>
      <rPr>
        <sz val="11"/>
        <color indexed="8"/>
        <rFont val="宋体"/>
        <family val="3"/>
        <charset val="134"/>
      </rPr>
      <t>木燕路</t>
    </r>
    <phoneticPr fontId="21" type="noConversion"/>
  </si>
  <si>
    <t>宗地形状较不规则，但对宗地利用影响较小</t>
    <phoneticPr fontId="3" type="noConversion"/>
  </si>
  <si>
    <t>估价对象容积率</t>
  </si>
  <si>
    <t>北京市大兴区旧宫镇旧忠路19号</t>
    <phoneticPr fontId="6" type="noConversion"/>
  </si>
  <si>
    <t>办公项目</t>
  </si>
  <si>
    <t>办公楼</t>
  </si>
  <si>
    <t>办公</t>
    <phoneticPr fontId="7" type="noConversion"/>
  </si>
  <si>
    <t>不动产收益法住</t>
    <phoneticPr fontId="14" type="noConversion"/>
  </si>
  <si>
    <t>不动产收益法</t>
  </si>
  <si>
    <t>不动产收益法</t>
    <phoneticPr fontId="14" type="noConversion"/>
  </si>
  <si>
    <t>开发区</t>
    <phoneticPr fontId="26" type="noConversion"/>
  </si>
  <si>
    <t>办公</t>
    <phoneticPr fontId="26" type="noConversion"/>
  </si>
  <si>
    <t>商业、办公</t>
  </si>
  <si>
    <t>商业、办公</t>
    <phoneticPr fontId="26" type="noConversion"/>
  </si>
  <si>
    <t>生物医药基地</t>
    <phoneticPr fontId="26" type="noConversion"/>
  </si>
  <si>
    <t>开发区北区</t>
    <phoneticPr fontId="26" type="noConversion"/>
  </si>
  <si>
    <t>比较法-住宅、综合</t>
  </si>
  <si>
    <t>地块名称</t>
  </si>
  <si>
    <t>城市</t>
  </si>
  <si>
    <t>用地性质</t>
  </si>
  <si>
    <t>出让方式</t>
  </si>
  <si>
    <t>建设用地面积(㎡)</t>
  </si>
  <si>
    <t>规划建筑面积(㎡)</t>
  </si>
  <si>
    <t>成交日期</t>
  </si>
  <si>
    <t>受让单位</t>
  </si>
  <si>
    <t>起始价(万元)</t>
  </si>
  <si>
    <t>成交价(万元)</t>
  </si>
  <si>
    <t>成交楼面价(元/㎡)</t>
  </si>
  <si>
    <t>溢价率</t>
  </si>
  <si>
    <t>北京经济技术开发区路东区E16街区E16C-3、E16C-5、E16S-1地块</t>
  </si>
  <si>
    <t>商业/办公用地</t>
  </si>
  <si>
    <t>挂牌</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</si>
  <si>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</si>
  <si>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</si>
  <si>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</si>
  <si>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</si>
  <si>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</si>
  <si>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</si>
  <si>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</si>
  <si>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</si>
  <si>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</si>
  <si>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</si>
  <si>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</si>
  <si>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</si>
  <si>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</si>
  <si>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</si>
  <si>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</si>
  <si>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</si>
  <si>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</si>
  <si>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</si>
  <si>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</si>
  <si>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</si>
  <si>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</si>
  <si>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</si>
  <si>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</si>
  <si>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</si>
  <si>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</si>
  <si>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</si>
  <si>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</si>
  <si>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</si>
  <si>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</si>
  <si>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</si>
  <si>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</si>
  <si>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</si>
  <si>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</si>
  <si>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</si>
  <si>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</si>
  <si>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</si>
  <si>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</si>
  <si>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</si>
  <si>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</si>
  <si>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</si>
  <si>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多面临街</t>
  </si>
  <si>
    <t>支</t>
  </si>
  <si>
    <t>较规则</t>
  </si>
  <si>
    <t>商务金融用地（办公类）</t>
  </si>
  <si>
    <t>五通一平</t>
  </si>
  <si>
    <t>缺少</t>
  </si>
  <si>
    <t>通热</t>
  </si>
  <si>
    <t>季度增幅（自定义）</t>
  </si>
  <si>
    <t>北</t>
    <phoneticPr fontId="3" type="noConversion"/>
  </si>
  <si>
    <t>规则</t>
  </si>
  <si>
    <t>办公集聚程度一般</t>
    <phoneticPr fontId="21" type="noConversion"/>
  </si>
  <si>
    <t>交通便捷度较差</t>
    <phoneticPr fontId="21" type="noConversion"/>
  </si>
  <si>
    <t>公共配套设施齐备度较差</t>
    <phoneticPr fontId="21" type="noConversion"/>
  </si>
  <si>
    <t>七通</t>
    <phoneticPr fontId="21" type="noConversion"/>
  </si>
  <si>
    <t>自然人文环境较差</t>
    <phoneticPr fontId="21" type="noConversion"/>
  </si>
  <si>
    <t>旧忠路</t>
    <phoneticPr fontId="21" type="noConversion"/>
  </si>
  <si>
    <t>单面临街</t>
  </si>
  <si>
    <t>平整</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</si>
</sst>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180" fontId="71" fillId="0" borderId="0" xfId="0" applyNumberFormat="1" applyFont="1" applyProtection="1">
      <alignment vertical="center"/>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184" fillId="6" borderId="27" xfId="3" applyFont="1" applyFill="1" applyBorder="1" applyAlignment="1" applyProtection="1">
      <alignment horizontal="center" vertical="center" wrapText="1"/>
      <protection locked="0"/>
    </xf>
    <xf numFmtId="0" fontId="153" fillId="6" borderId="9" xfId="0" applyFont="1" applyFill="1" applyBorder="1" applyAlignment="1" applyProtection="1">
      <alignment vertical="center"/>
      <protection locked="0"/>
    </xf>
    <xf numFmtId="0" fontId="147" fillId="0" borderId="0" xfId="0" applyFont="1" applyAlignment="1"/>
    <xf numFmtId="0" fontId="282" fillId="0" borderId="0" xfId="0" applyFont="1" applyAlignment="1"/>
    <xf numFmtId="0" fontId="86" fillId="2" borderId="2" xfId="0" applyFont="1" applyFill="1" applyBorder="1" applyAlignment="1" applyProtection="1">
      <alignment horizontal="left" vertical="center" wrapText="1"/>
      <protection locked="0"/>
    </xf>
    <xf numFmtId="0" fontId="84" fillId="6" borderId="1" xfId="0" applyNumberFormat="1" applyFont="1" applyFill="1" applyBorder="1" applyAlignment="1" applyProtection="1">
      <alignment horizontal="center" vertical="center" wrapText="1"/>
      <protection locked="0"/>
    </xf>
    <xf numFmtId="0" fontId="84" fillId="6" borderId="7" xfId="0" applyNumberFormat="1" applyFont="1" applyFill="1" applyBorder="1" applyAlignment="1" applyProtection="1">
      <alignment horizontal="center" vertical="center" wrapText="1"/>
    </xf>
    <xf numFmtId="0" fontId="84" fillId="6" borderId="6" xfId="0" applyNumberFormat="1" applyFont="1" applyFill="1" applyBorder="1" applyAlignment="1" applyProtection="1">
      <alignment horizontal="center" vertical="center" wrapText="1"/>
      <protection locked="0"/>
    </xf>
    <xf numFmtId="49" fontId="281" fillId="0" borderId="12" xfId="0" applyNumberFormat="1" applyFont="1" applyFill="1" applyBorder="1" applyAlignment="1" applyProtection="1">
      <alignment horizontal="center" vertical="center" wrapText="1"/>
      <protection locked="0"/>
    </xf>
    <xf numFmtId="0" fontId="281" fillId="0" borderId="12" xfId="0" applyFont="1" applyBorder="1" applyAlignment="1" applyProtection="1">
      <alignment horizontal="center" vertical="center" wrapText="1"/>
      <protection locked="0"/>
    </xf>
    <xf numFmtId="0" fontId="281" fillId="0" borderId="46" xfId="0" applyFont="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29992;&#36884;&#22303;&#22320;-&#20013;2018.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08;&#21512;&#29992;&#36884;&#22303;&#22320;-&#21335;2018.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19994;&#29616;&#25151;2018.8.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2)"/>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容积率修正"/>
      <sheetName val="因素修正幅度"/>
      <sheetName val="基准地价（汇总）"/>
      <sheetName val="收益还原法"/>
      <sheetName val="不动产收益法住"/>
      <sheetName val="不动产收益法"/>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收益法车"/>
      <sheetName val="不动产比较法-仓储"/>
      <sheetName val="典型户型修正"/>
      <sheetName val="存贷款利率"/>
      <sheetName val="基准地价"/>
      <sheetName val="地价信息"/>
      <sheetName val="地价"/>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6630</v>
          </cell>
          <cell r="L38">
            <v>19890</v>
          </cell>
        </row>
        <row r="42">
          <cell r="C42">
            <v>23090</v>
          </cell>
        </row>
        <row r="44">
          <cell r="C44">
            <v>12989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2)"/>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容积率修正"/>
      <sheetName val="因素修正幅度"/>
      <sheetName val="基准地价（汇总）"/>
      <sheetName val="收益还原法"/>
      <sheetName val="不动产收益法住"/>
      <sheetName val="不动产收益法"/>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收益法车"/>
      <sheetName val="不动产比较法-仓储"/>
      <sheetName val="典型户型修正"/>
      <sheetName val="存贷款利率"/>
      <sheetName val="基准地价"/>
      <sheetName val="地价信息"/>
      <sheetName val="地价"/>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5576.32</v>
          </cell>
          <cell r="L38">
            <v>16728.96</v>
          </cell>
        </row>
        <row r="42">
          <cell r="C42">
            <v>19263</v>
          </cell>
        </row>
        <row r="44">
          <cell r="C44">
            <v>10851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汇总）"/>
      <sheetName val="收益法-出租"/>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2748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2656</v>
      </c>
      <c r="B1" s="2912" t="s">
        <v>2753</v>
      </c>
    </row>
    <row r="2" spans="1:55" s="2916" customFormat="1" ht="16.2" thickTop="1">
      <c r="A2" s="2914" t="s">
        <v>2660</v>
      </c>
      <c r="B2" s="2915" t="str">
        <f>'预评函-封皮'!B37</f>
        <v>北京市北京市大兴区旧宫镇旧忠路19号出让国有建设用地使用权抵押价格预评估</v>
      </c>
      <c r="AX2" s="2917"/>
      <c r="AZ2" s="2917"/>
      <c r="BA2" s="2918"/>
      <c r="BC2" s="2918"/>
    </row>
    <row r="3" spans="1:55" s="2919" customFormat="1">
      <c r="A3" s="2898" t="s">
        <v>2661</v>
      </c>
      <c r="B3" s="2901">
        <f>'预评函-封皮'!B40</f>
        <v>0</v>
      </c>
    </row>
    <row r="4" spans="1:55" s="2900" customFormat="1">
      <c r="A4" s="2898" t="s">
        <v>2662</v>
      </c>
      <c r="B4" s="2899" t="str">
        <f>'预评函-封皮'!B46</f>
        <v>土地估价师、土地估价师</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6.2" thickBot="1">
      <c r="A5" s="2920" t="s">
        <v>2663</v>
      </c>
      <c r="B5" s="2921" t="str">
        <f>'预评函-封皮'!B49</f>
        <v>康正预评字号</v>
      </c>
    </row>
    <row r="6" spans="1:55" s="2922" customFormat="1" ht="16.2" thickTop="1">
      <c r="A6" s="2914" t="s">
        <v>2705</v>
      </c>
      <c r="B6" s="2915" t="str">
        <f>'预评函-1'!A4</f>
        <v>受贵公司委托，我公司对北京市北京市大兴区旧宫镇旧忠路19号出让国有建设用地使用权抵押价格进行了预评估。</v>
      </c>
      <c r="AM6" s="2923"/>
    </row>
    <row r="7" spans="1:55" s="2897" customFormat="1">
      <c r="A7" s="2898" t="s">
        <v>2657</v>
      </c>
      <c r="B7" s="2899" t="str">
        <f>'预评函-1'!A6</f>
        <v>估价对象为0使用的、位于北京市北京市大兴区旧宫镇旧忠路19号出让国有建设用地使用权。根据《国有土地使用证》[]，估价对象（分摊）出让国有建设用地使用权面积为2990平方米。根据《建设工程规划许可证》[]、《出让合同》[]，估价对象规划建筑面积为8970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0拟使用北京市北京市大兴区旧宫镇旧忠路19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7" customFormat="1">
      <c r="A10" s="2898" t="s">
        <v>2659</v>
      </c>
      <c r="B10" s="2899" t="str">
        <f>'预评函-1'!A11</f>
        <v>2018年8月28日（评估专业人员勘察现场之日）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根据《国有土地使用证》[]，估价对象（分摊）出让国有建设用地使用权面积为2990平方米。根据《建设工程规划许可证》[]、《出让合同》[]，估价对象规划建筑面积为8970平方米。</v>
      </c>
    </row>
    <row r="16" spans="1:55" s="2897" customFormat="1">
      <c r="A16" s="2898" t="s">
        <v>2669</v>
      </c>
      <c r="B16" s="2899" t="str">
        <f>'预评函-1'!A22</f>
        <v>本次估价对象为出让国有建设用地使用权，《国有土地使用证》[]证载土地终止日期为办公2052年4月22日。截至估价期日，出让国有建设用地使用权剩余土地使用年限为。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8月28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6.2"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估价期日：2018年8月28日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2990</v>
      </c>
    </row>
    <row r="44" spans="1:2">
      <c r="A44" s="2898" t="s">
        <v>2740</v>
      </c>
      <c r="B44" s="2899" t="str">
        <f>'预评函-2'!O3</f>
        <v>规划建筑面积/㎡</v>
      </c>
    </row>
    <row r="45" spans="1:2">
      <c r="A45" s="2898" t="s">
        <v>2722</v>
      </c>
      <c r="B45" s="2899">
        <f>'预评函-2'!O5</f>
        <v>8970</v>
      </c>
    </row>
    <row r="46" spans="1:2">
      <c r="A46" s="2898" t="s">
        <v>2723</v>
      </c>
      <c r="B46" s="2899">
        <f ca="1">'预评函-2'!P5</f>
        <v>35077</v>
      </c>
    </row>
    <row r="47" spans="1:2">
      <c r="A47" s="2898" t="s">
        <v>2724</v>
      </c>
      <c r="B47" s="2899">
        <f ca="1">'预评函-2'!Q5</f>
        <v>11692</v>
      </c>
    </row>
    <row r="48" spans="1:2">
      <c r="A48" s="2898" t="s">
        <v>2725</v>
      </c>
      <c r="B48" s="2899">
        <f ca="1">'预评函-2'!R5</f>
        <v>10488</v>
      </c>
    </row>
    <row r="49" spans="1:2">
      <c r="A49" s="2898" t="s">
        <v>2741</v>
      </c>
      <c r="B49" s="2899" t="str">
        <f>'预评函-2'!A6</f>
        <v>抵押价格</v>
      </c>
    </row>
    <row r="50" spans="1:2">
      <c r="A50" s="2898" t="s">
        <v>2726</v>
      </c>
      <c r="B50" s="2899">
        <f ca="1">'预评函-2'!R6</f>
        <v>5933</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6.2" thickBot="1">
      <c r="A54" s="2920" t="s">
        <v>2728</v>
      </c>
      <c r="B54" s="2921" t="str">
        <f>'预评函-2'!R8</f>
        <v>——</v>
      </c>
    </row>
    <row r="55" spans="1:2" ht="16.2"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6.2" thickBot="1">
      <c r="A58" s="2920" t="s">
        <v>2729</v>
      </c>
      <c r="B58" s="2921" t="str">
        <f>'预评函-3'!A5</f>
        <v>4.影响价格的其他限定条件：无。</v>
      </c>
    </row>
    <row r="59" spans="1:2" ht="16.2"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 ca="1">'预评函-3'!A14</f>
        <v>综上，本次评估估价师知悉的法定优先受偿款为人民币4555万元整。</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2692</v>
      </c>
      <c r="B68" s="2924">
        <f>'预评函-3'!D30</f>
        <v>42558</v>
      </c>
    </row>
    <row r="69" spans="1:2" ht="16.2" thickTop="1">
      <c r="A69" s="2909" t="s">
        <v>2690</v>
      </c>
      <c r="B69" s="2910" t="str">
        <f>'预评函-3'!A20</f>
        <v>土地估价师</v>
      </c>
    </row>
    <row r="70" spans="1:2">
      <c r="A70" s="2898" t="s">
        <v>2690</v>
      </c>
      <c r="B70" s="2905">
        <f>'预评函-3'!B20</f>
        <v>0</v>
      </c>
    </row>
    <row r="71" spans="1:2">
      <c r="A71" s="2898" t="s">
        <v>2691</v>
      </c>
      <c r="B71" s="2899" t="str">
        <f>'预评函-3'!A21</f>
        <v>土地估价师</v>
      </c>
    </row>
    <row r="72" spans="1:2" s="2913" customFormat="1" ht="16.2" thickBot="1">
      <c r="A72" s="2920" t="s">
        <v>2691</v>
      </c>
      <c r="B72" s="2926">
        <f>'预评函-3'!B21</f>
        <v>0</v>
      </c>
    </row>
    <row r="73" spans="1:2" ht="16.2"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2786</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86" customWidth="1"/>
    <col min="2" max="2" width="11.33203125" style="1686" customWidth="1"/>
    <col min="3" max="3" width="12.6640625" style="1686" customWidth="1"/>
    <col min="4" max="4" width="12.777343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1936</v>
      </c>
      <c r="B1" s="3251" t="str">
        <f>IF(B10="北京市","北京市",C10)&amp;F10&amp;B16&amp;"国有建设用地使用权"&amp;B9&amp;"预评估"</f>
        <v>北京市北京市大兴区旧宫镇旧忠路19号出让国有建设用地使用权抵押价格预评估</v>
      </c>
      <c r="C1" s="3252"/>
      <c r="D1" s="3252"/>
      <c r="E1" s="3252"/>
      <c r="F1" s="3252"/>
      <c r="G1" s="3252"/>
      <c r="H1" s="3252"/>
      <c r="I1" s="3253"/>
      <c r="J1" s="1689"/>
      <c r="K1" s="2475" t="str">
        <f>IF(B10="北京市","北京市",C10)&amp;F10&amp;B16&amp;"国有建设用地使用权"&amp;B9</f>
        <v>北京市北京市大兴区旧宫镇旧忠路19号出让国有建设用地使用权抵押价格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北京市北京市大兴区旧宫镇旧忠路19号出让国有建设用地使用权</v>
      </c>
      <c r="L2" s="1718"/>
      <c r="M2" s="1718"/>
      <c r="N2" s="1689"/>
      <c r="O2" s="1690"/>
      <c r="P2" s="1689"/>
      <c r="Q2" s="1689"/>
      <c r="R2" s="1689"/>
      <c r="S2" s="1689"/>
      <c r="T2" s="1689"/>
      <c r="U2" s="1689"/>
    </row>
    <row r="3" spans="1:21">
      <c r="A3" s="1656" t="s">
        <v>1938</v>
      </c>
      <c r="B3" s="1657">
        <v>43340</v>
      </c>
      <c r="C3" s="1658" t="s">
        <v>1994</v>
      </c>
      <c r="D3" s="1657">
        <f>B3</f>
        <v>43340</v>
      </c>
      <c r="E3" s="1689"/>
      <c r="F3" s="1689"/>
      <c r="G3" s="1689"/>
      <c r="H3" s="1655"/>
      <c r="I3" s="1690"/>
      <c r="J3" s="1689"/>
      <c r="K3" s="1769"/>
      <c r="L3" s="1718"/>
      <c r="M3" s="1718"/>
      <c r="N3" s="1689"/>
      <c r="O3" s="1690"/>
      <c r="P3" s="1689"/>
      <c r="Q3" s="1689"/>
      <c r="R3" s="1689"/>
      <c r="S3" s="1689"/>
      <c r="T3" s="1689"/>
      <c r="U3" s="1689"/>
    </row>
    <row r="4" spans="1:21" ht="31.8" thickBot="1">
      <c r="A4" s="1659" t="s">
        <v>1939</v>
      </c>
      <c r="B4" s="1838" t="s">
        <v>2888</v>
      </c>
      <c r="C4" s="1841">
        <f>SUMIF(土地估价师,B4,估价师及机构信息!E3:E24)</f>
        <v>0</v>
      </c>
      <c r="D4" s="1838" t="s">
        <v>2888</v>
      </c>
      <c r="E4" s="1841">
        <f>SUMIF(土地估价师,D4,估价师及机构信息!E3:E24)</f>
        <v>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6.2" thickTop="1">
      <c r="A5" s="1660" t="s">
        <v>1940</v>
      </c>
      <c r="B5" s="1784"/>
      <c r="C5" s="1661"/>
      <c r="D5" s="1662"/>
      <c r="E5" s="1689"/>
      <c r="F5" s="1689"/>
      <c r="G5" s="1689"/>
      <c r="H5" s="1655"/>
      <c r="I5" s="1690"/>
      <c r="J5" s="1689"/>
      <c r="K5" s="1769"/>
      <c r="L5" s="1718"/>
      <c r="M5" s="1718"/>
      <c r="N5" s="1689"/>
      <c r="O5" s="1690"/>
      <c r="P5" s="1689"/>
      <c r="Q5" s="1689"/>
      <c r="R5" s="1689"/>
      <c r="S5" s="1689"/>
      <c r="T5" s="1689"/>
      <c r="U5" s="1689"/>
    </row>
    <row r="6" spans="1:21" ht="27.6">
      <c r="A6" s="1658" t="s">
        <v>2706</v>
      </c>
      <c r="B6" s="1784"/>
      <c r="C6" s="1756"/>
      <c r="D6" s="1663"/>
      <c r="E6" s="1689"/>
      <c r="F6" s="1689"/>
      <c r="G6" s="1689"/>
      <c r="H6" s="1655"/>
      <c r="I6" s="1690"/>
      <c r="J6" s="1689"/>
      <c r="K6" s="3071" t="str">
        <f>IF(COUNTIF(B6,"*上海银行*"),"上海银行","")</f>
        <v/>
      </c>
      <c r="L6" s="1718"/>
      <c r="M6" s="1718"/>
      <c r="N6" s="1689"/>
      <c r="O6" s="1690"/>
      <c r="P6" s="1689"/>
      <c r="Q6" s="1689"/>
      <c r="R6" s="1689"/>
      <c r="S6" s="1689"/>
      <c r="T6" s="1689"/>
      <c r="U6" s="1689"/>
    </row>
    <row r="7" spans="1:21">
      <c r="A7" s="1664" t="s">
        <v>2707</v>
      </c>
      <c r="B7" s="1784">
        <f>B5</f>
        <v>0</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2972</v>
      </c>
      <c r="C8" s="1666"/>
      <c r="D8" s="3257" t="s">
        <v>1943</v>
      </c>
      <c r="E8" s="1839" t="s">
        <v>2973</v>
      </c>
      <c r="F8" s="1667"/>
      <c r="G8" s="1655"/>
      <c r="H8" s="1655"/>
      <c r="I8" s="1702"/>
      <c r="J8" s="1689"/>
      <c r="K8" s="1769"/>
      <c r="L8" s="1718"/>
      <c r="M8" s="1718"/>
      <c r="N8" s="1689"/>
      <c r="O8" s="1690"/>
      <c r="P8" s="1689"/>
      <c r="Q8" s="1689"/>
      <c r="R8" s="1689"/>
      <c r="S8" s="1689"/>
      <c r="T8" s="1689"/>
      <c r="U8" s="1689"/>
    </row>
    <row r="9" spans="1:21" ht="16.2" thickBot="1">
      <c r="A9" s="1668" t="s">
        <v>1942</v>
      </c>
      <c r="B9" s="1669" t="s">
        <v>2973</v>
      </c>
      <c r="C9" s="1670"/>
      <c r="D9" s="3258"/>
      <c r="E9" s="1669"/>
      <c r="F9" s="1742"/>
      <c r="G9" s="1737"/>
      <c r="H9" s="1737"/>
      <c r="I9" s="1738"/>
      <c r="J9" s="1689"/>
      <c r="K9" s="1769"/>
      <c r="L9" s="1718"/>
      <c r="M9" s="1718"/>
      <c r="N9" s="1689"/>
      <c r="O9" s="1690"/>
      <c r="P9" s="1689"/>
      <c r="Q9" s="1689"/>
      <c r="R9" s="1689"/>
      <c r="S9" s="1689"/>
      <c r="T9" s="1689"/>
      <c r="U9" s="1689"/>
    </row>
    <row r="10" spans="1:21" ht="16.2" thickTop="1">
      <c r="A10" s="1739" t="s">
        <v>1998</v>
      </c>
      <c r="B10" s="1714" t="s">
        <v>1944</v>
      </c>
      <c r="C10" s="1671"/>
      <c r="D10" s="1662"/>
      <c r="E10" s="1672" t="s">
        <v>1945</v>
      </c>
      <c r="F10" s="1673" t="s">
        <v>3123</v>
      </c>
      <c r="G10" s="1740"/>
      <c r="H10" s="1741"/>
      <c r="I10" s="1662"/>
      <c r="J10" s="1689"/>
      <c r="K10" s="1769"/>
      <c r="L10" s="1718"/>
      <c r="M10" s="1718"/>
      <c r="N10" s="1689"/>
      <c r="O10" s="1690"/>
      <c r="P10" s="1689"/>
      <c r="Q10" s="1689"/>
      <c r="R10" s="1689"/>
      <c r="S10" s="1689"/>
      <c r="T10" s="1689"/>
      <c r="U10" s="1689"/>
    </row>
    <row r="11" spans="1:21">
      <c r="A11" s="1692" t="s">
        <v>1999</v>
      </c>
      <c r="B11" s="1693" t="s">
        <v>2974</v>
      </c>
      <c r="C11" s="1674">
        <f>B5</f>
        <v>0</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54"/>
      <c r="C12" s="3255"/>
      <c r="D12" s="3256"/>
      <c r="E12" s="1694" t="s">
        <v>2060</v>
      </c>
      <c r="F12" s="3272" t="s">
        <v>2889</v>
      </c>
      <c r="G12" s="3273"/>
      <c r="H12" s="3273"/>
      <c r="I12" s="3274"/>
      <c r="J12" s="1689"/>
      <c r="K12" s="1769"/>
      <c r="L12" s="1718"/>
      <c r="M12" s="1718"/>
      <c r="N12" s="1689"/>
      <c r="O12" s="1690"/>
      <c r="P12" s="1689"/>
      <c r="Q12" s="1689"/>
      <c r="R12" s="1689"/>
      <c r="S12" s="1689"/>
      <c r="T12" s="1689"/>
      <c r="U12" s="1689"/>
    </row>
    <row r="13" spans="1:21">
      <c r="A13" s="1682" t="s">
        <v>2058</v>
      </c>
      <c r="B13" s="3254"/>
      <c r="C13" s="3255"/>
      <c r="D13" s="3256"/>
      <c r="E13" s="1694" t="s">
        <v>2060</v>
      </c>
      <c r="F13" s="3272" t="s">
        <v>2890</v>
      </c>
      <c r="G13" s="3273"/>
      <c r="H13" s="3273"/>
      <c r="I13" s="3274"/>
      <c r="J13" s="1689"/>
      <c r="K13" s="1769"/>
      <c r="L13" s="1718"/>
      <c r="M13" s="1718"/>
      <c r="N13" s="1689"/>
      <c r="O13" s="1690"/>
      <c r="P13" s="1689"/>
      <c r="Q13" s="1689"/>
      <c r="R13" s="1689"/>
      <c r="S13" s="1689"/>
      <c r="T13" s="1689"/>
      <c r="U13" s="1689"/>
    </row>
    <row r="14" spans="1:21">
      <c r="A14" s="1656" t="s">
        <v>2061</v>
      </c>
      <c r="B14" s="1694"/>
      <c r="C14" s="1840" t="s">
        <v>2975</v>
      </c>
      <c r="D14" s="1728" t="str">
        <f>IF(C14="不一致","是否符合证载地类范围","")</f>
        <v/>
      </c>
      <c r="E14" s="1694"/>
      <c r="F14" s="1785" t="s">
        <v>2976</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6.8">
      <c r="A16" s="1675" t="s">
        <v>1946</v>
      </c>
      <c r="B16" s="1676" t="s">
        <v>2977</v>
      </c>
      <c r="C16" s="1694" t="s">
        <v>1947</v>
      </c>
      <c r="D16" s="2666" t="s">
        <v>1948</v>
      </c>
      <c r="E16" s="1717" t="s">
        <v>2978</v>
      </c>
      <c r="F16" s="1717" t="s">
        <v>1674</v>
      </c>
      <c r="G16" s="1717" t="s">
        <v>35</v>
      </c>
      <c r="H16" s="1717" t="s">
        <v>2979</v>
      </c>
      <c r="I16" s="1681" t="s">
        <v>1953</v>
      </c>
      <c r="J16" s="1689"/>
      <c r="K16" s="2476" t="str">
        <f>IF(D17="","",D16&amp;TEXT(D17,"yyyy年m月d日;;"))</f>
        <v/>
      </c>
      <c r="L16" s="1694" t="str">
        <f>IF(OR(K16="",M16=""),"","、")</f>
        <v/>
      </c>
      <c r="M16" s="2476" t="str">
        <f>IF(E17="","",E16&amp;TEXT(E17,"yyyy年m月d日;;"))</f>
        <v/>
      </c>
      <c r="N16" s="1694" t="str">
        <f>IF(OR(M16="",O16=""),"","、")</f>
        <v/>
      </c>
      <c r="O16" s="2476" t="str">
        <f>IF(F17="","",F16&amp;TEXT(F17,"yyyy年m月d日;;"))</f>
        <v>办公2052年4月22日</v>
      </c>
      <c r="P16" s="1694" t="str">
        <f>IF(OR(O16="",Q16=""),"","、")</f>
        <v/>
      </c>
      <c r="Q16" s="2476" t="str">
        <f>IF(G17="","",G16&amp;TEXT(G17,"yyyy年m月d日;;"))</f>
        <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c r="F17" s="1695">
        <v>55631</v>
      </c>
      <c r="G17" s="1695"/>
      <c r="H17" s="1695"/>
      <c r="I17" s="1695"/>
      <c r="J17" s="1689"/>
      <c r="K17" s="2475" t="str">
        <f>CONCATENATE(K16,L16,M16,N16,O16,P16,Q16,R16,S16,T16,,U16)</f>
        <v>办公2052年4月22日</v>
      </c>
      <c r="L17" s="1718"/>
      <c r="M17" s="1718"/>
      <c r="N17" s="1689"/>
      <c r="O17" s="1690"/>
      <c r="P17" s="1689"/>
      <c r="Q17" s="1689"/>
      <c r="R17" s="1689"/>
      <c r="S17" s="1689"/>
      <c r="T17" s="1689"/>
      <c r="U17" s="1689"/>
    </row>
    <row r="18" spans="1:21">
      <c r="A18" s="1758"/>
      <c r="B18" s="1677"/>
      <c r="C18" s="1678" t="s">
        <v>1955</v>
      </c>
      <c r="D18" s="1679">
        <v>70</v>
      </c>
      <c r="E18" s="1679">
        <v>40</v>
      </c>
      <c r="F18" s="1679">
        <v>50</v>
      </c>
      <c r="G18" s="1679">
        <v>50</v>
      </c>
      <c r="H18" s="1679">
        <v>50</v>
      </c>
      <c r="I18" s="1679">
        <v>50</v>
      </c>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t="str">
        <f>IF(B16="出让",IF(E17="","",ROUNDDOWN(MIN((E17-$D$3)/365,E18),2)),E18)</f>
        <v/>
      </c>
      <c r="F19" s="1680">
        <f>IF(B16="出让",IF(F17="","",ROUNDDOWN(MIN((F17-$D$3)/365,F18),2)),F18)</f>
        <v>33.67</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69"/>
      <c r="E20" s="3270"/>
      <c r="F20" s="3270"/>
      <c r="G20" s="3270"/>
      <c r="H20" s="3270"/>
      <c r="I20" s="3271"/>
      <c r="J20" s="1689"/>
      <c r="K20" s="1769"/>
      <c r="L20" s="1718"/>
      <c r="M20" s="1718"/>
      <c r="N20" s="1689"/>
      <c r="O20" s="1690"/>
      <c r="P20" s="1689"/>
      <c r="Q20" s="1689"/>
      <c r="R20" s="1689"/>
      <c r="S20" s="1689"/>
      <c r="T20" s="1689"/>
      <c r="U20" s="1689"/>
    </row>
    <row r="21" spans="1:21">
      <c r="A21" s="1758" t="s">
        <v>1957</v>
      </c>
      <c r="B21" s="1759" t="s">
        <v>1958</v>
      </c>
      <c r="C21" s="1754">
        <f>'数据-汇总表'!E3</f>
        <v>8970</v>
      </c>
      <c r="D21" s="1755" t="s">
        <v>1959</v>
      </c>
      <c r="E21" s="3259" t="s">
        <v>1997</v>
      </c>
      <c r="F21" s="3260"/>
      <c r="G21" s="3260"/>
      <c r="H21" s="3260"/>
      <c r="I21" s="3261"/>
      <c r="J21" s="1689"/>
      <c r="K21" s="1769"/>
      <c r="L21" s="1718"/>
      <c r="M21" s="1718"/>
      <c r="N21" s="1689"/>
      <c r="O21" s="1690"/>
      <c r="P21" s="1689"/>
      <c r="Q21" s="1689"/>
      <c r="R21" s="1689"/>
      <c r="S21" s="1689"/>
      <c r="T21" s="1689"/>
      <c r="U21" s="1689"/>
    </row>
    <row r="22" spans="1:21">
      <c r="A22" s="3166" t="s">
        <v>948</v>
      </c>
      <c r="B22" s="1656" t="s">
        <v>1960</v>
      </c>
      <c r="C22" s="1681">
        <f>'数据-汇总表'!D3</f>
        <v>2990</v>
      </c>
      <c r="D22" s="1682" t="s">
        <v>1959</v>
      </c>
      <c r="E22" s="3259" t="s">
        <v>2891</v>
      </c>
      <c r="F22" s="3260"/>
      <c r="G22" s="3260"/>
      <c r="H22" s="3260"/>
      <c r="I22" s="3261"/>
      <c r="J22" s="1689"/>
      <c r="K22" s="1769"/>
      <c r="L22" s="1718"/>
      <c r="M22" s="1718"/>
      <c r="N22" s="1689"/>
      <c r="O22" s="1690"/>
      <c r="P22" s="1689"/>
      <c r="Q22" s="1689"/>
      <c r="R22" s="1689"/>
      <c r="S22" s="1689"/>
      <c r="T22" s="1689"/>
      <c r="U22" s="1689"/>
    </row>
    <row r="23" spans="1:21" ht="47.4" thickBot="1">
      <c r="A23" s="1760" t="s">
        <v>1961</v>
      </c>
      <c r="B23" s="1696" t="s">
        <v>1962</v>
      </c>
      <c r="C23" s="1697" t="s">
        <v>2980</v>
      </c>
      <c r="D23" s="1698" t="s">
        <v>1963</v>
      </c>
      <c r="E23" s="1699" t="s">
        <v>2980</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62" t="s">
        <v>1965</v>
      </c>
      <c r="C24" s="3263"/>
      <c r="D24" s="3264" t="s">
        <v>1966</v>
      </c>
      <c r="E24" s="3265"/>
      <c r="F24" s="1703" t="s">
        <v>1967</v>
      </c>
      <c r="G24" s="1689"/>
      <c r="H24" s="1689"/>
      <c r="I24" s="1702"/>
      <c r="J24" s="1689"/>
      <c r="K24" s="3250"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31.2">
      <c r="A25" s="1746"/>
      <c r="B25" s="1743" t="s">
        <v>2324</v>
      </c>
      <c r="C25" s="1704" t="s">
        <v>1969</v>
      </c>
      <c r="D25" s="1705"/>
      <c r="E25" s="1706" t="s">
        <v>948</v>
      </c>
      <c r="F25" s="1707"/>
      <c r="G25" s="1689"/>
      <c r="H25" s="1689"/>
      <c r="I25" s="1702"/>
      <c r="J25" s="1689"/>
      <c r="K25" s="3250"/>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47.4" thickBot="1">
      <c r="A26" s="1747"/>
      <c r="B26" s="1744" t="s">
        <v>1970</v>
      </c>
      <c r="C26" s="1704" t="s">
        <v>2325</v>
      </c>
      <c r="D26" s="1655"/>
      <c r="E26" s="1655"/>
      <c r="F26" s="1683"/>
      <c r="G26" s="1689"/>
      <c r="H26" s="1689"/>
      <c r="I26" s="1702"/>
      <c r="J26" s="1689"/>
      <c r="K26" s="3250"/>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6.2" thickTop="1">
      <c r="A31" s="3277" t="s">
        <v>2000</v>
      </c>
      <c r="B31" s="1759" t="s">
        <v>2001</v>
      </c>
      <c r="C31" s="3275" t="s">
        <v>3124</v>
      </c>
      <c r="D31" s="3276"/>
      <c r="E31" s="1689"/>
      <c r="F31" s="1689"/>
      <c r="G31" s="1689"/>
      <c r="H31" s="1689"/>
      <c r="I31" s="1702"/>
      <c r="J31" s="1689"/>
      <c r="K31" s="2478"/>
      <c r="L31" s="1689"/>
      <c r="M31" s="1689"/>
      <c r="N31" s="1689"/>
      <c r="O31" s="1689"/>
      <c r="P31" s="1689"/>
      <c r="Q31" s="1689"/>
      <c r="R31" s="1689"/>
      <c r="S31" s="1689"/>
      <c r="T31" s="1689"/>
      <c r="U31" s="1689"/>
    </row>
    <row r="32" spans="1:21">
      <c r="A32" s="3277"/>
      <c r="B32" s="1656" t="s">
        <v>2002</v>
      </c>
      <c r="C32" s="1714" t="s">
        <v>2981</v>
      </c>
      <c r="D32" s="1715"/>
      <c r="E32" s="1689"/>
      <c r="F32" s="1689"/>
      <c r="G32" s="1689"/>
      <c r="H32" s="1689"/>
      <c r="I32" s="1702"/>
      <c r="J32" s="1689"/>
      <c r="K32" s="2478"/>
      <c r="L32" s="1689"/>
      <c r="M32" s="1689"/>
      <c r="N32" s="1689"/>
      <c r="O32" s="1689"/>
      <c r="P32" s="1689"/>
      <c r="Q32" s="1689"/>
      <c r="R32" s="1689"/>
      <c r="S32" s="1689"/>
      <c r="T32" s="1689"/>
      <c r="U32" s="1689"/>
    </row>
    <row r="33" spans="1:21">
      <c r="A33" s="3277"/>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8"/>
      <c r="B34" s="1656" t="s">
        <v>2004</v>
      </c>
      <c r="C34" s="3279"/>
      <c r="D34" s="3280"/>
      <c r="E34" s="1689"/>
      <c r="F34" s="1689"/>
      <c r="G34" s="1689"/>
      <c r="H34" s="1689"/>
      <c r="I34" s="1702"/>
      <c r="J34" s="1689"/>
      <c r="K34" s="2478"/>
      <c r="L34" s="1689"/>
      <c r="M34" s="1689"/>
      <c r="N34" s="1689"/>
      <c r="O34" s="1689"/>
      <c r="P34" s="1689"/>
      <c r="Q34" s="1689"/>
      <c r="R34" s="1689"/>
      <c r="S34" s="1689"/>
      <c r="T34" s="1689"/>
      <c r="U34" s="1689"/>
    </row>
    <row r="35" spans="1:21" ht="31.2">
      <c r="A35" s="3281" t="s">
        <v>843</v>
      </c>
      <c r="B35" s="1717" t="s">
        <v>2982</v>
      </c>
      <c r="C35" s="1771" t="str">
        <f>IF(B35="场地平整","——","具体情况：")</f>
        <v>具体情况：</v>
      </c>
      <c r="D35" s="3283"/>
      <c r="E35" s="3284"/>
      <c r="F35" s="3284"/>
      <c r="G35" s="3284"/>
      <c r="H35" s="3284"/>
      <c r="I35" s="3285"/>
      <c r="J35" s="1689"/>
      <c r="K35" s="1770"/>
      <c r="L35" s="1718"/>
      <c r="M35" s="1718"/>
      <c r="N35" s="1689"/>
      <c r="O35" s="1690"/>
      <c r="P35" s="1689"/>
      <c r="Q35" s="1689"/>
      <c r="R35" s="1689"/>
      <c r="S35" s="1689"/>
      <c r="T35" s="1689"/>
      <c r="U35" s="1689"/>
    </row>
    <row r="36" spans="1:21">
      <c r="A36" s="3277"/>
      <c r="B36" s="3286" t="s">
        <v>2053</v>
      </c>
      <c r="C36" s="3287"/>
      <c r="D36" s="1787" t="s">
        <v>2983</v>
      </c>
      <c r="E36" s="3288"/>
      <c r="F36" s="3288"/>
      <c r="G36" s="1682" t="str">
        <f>IF(B35="场地未平整","估价结果处理","")</f>
        <v/>
      </c>
      <c r="H36" s="3289"/>
      <c r="I36" s="3289"/>
      <c r="J36" s="1689"/>
      <c r="K36" s="1770"/>
      <c r="L36" s="1718"/>
      <c r="M36" s="1718"/>
      <c r="N36" s="1689"/>
      <c r="O36" s="1690"/>
      <c r="P36" s="1689"/>
      <c r="Q36" s="1689"/>
      <c r="R36" s="1689"/>
      <c r="S36" s="1689"/>
      <c r="T36" s="1689"/>
      <c r="U36" s="1689"/>
    </row>
    <row r="37" spans="1:21" ht="31.2">
      <c r="A37" s="3277"/>
      <c r="B37" s="3266" t="s">
        <v>844</v>
      </c>
      <c r="C37" s="1719" t="s">
        <v>845</v>
      </c>
      <c r="D37" s="1720"/>
      <c r="E37" s="1721"/>
      <c r="F37" s="1689"/>
      <c r="G37" s="1689"/>
      <c r="H37" s="1689"/>
      <c r="I37" s="1702"/>
      <c r="J37" s="1689"/>
      <c r="K37" s="1770"/>
      <c r="L37" s="1689"/>
      <c r="M37" s="1689"/>
      <c r="N37" s="1689"/>
      <c r="O37" s="1689"/>
      <c r="P37" s="1689"/>
      <c r="Q37" s="1689"/>
      <c r="R37" s="1689"/>
      <c r="S37" s="1689"/>
      <c r="T37" s="1689"/>
      <c r="U37" s="1689"/>
    </row>
    <row r="38" spans="1:21">
      <c r="A38" s="3277"/>
      <c r="B38" s="3267"/>
      <c r="C38" s="1664" t="s">
        <v>846</v>
      </c>
      <c r="D38" s="1786">
        <f>ROUNDDOWN(MIN(('数据-取费表'!$B$2-D37)/365,D34),1)</f>
        <v>118.7</v>
      </c>
      <c r="E38" s="1722" t="s">
        <v>847</v>
      </c>
      <c r="F38" s="1689"/>
      <c r="G38" s="1689"/>
      <c r="H38" s="1689"/>
      <c r="I38" s="1702"/>
      <c r="J38" s="1689"/>
      <c r="K38" s="1770"/>
      <c r="L38" s="1689"/>
      <c r="M38" s="1689"/>
      <c r="N38" s="1689"/>
      <c r="O38" s="1689"/>
      <c r="P38" s="1689"/>
      <c r="Q38" s="1689"/>
      <c r="R38" s="1689"/>
      <c r="S38" s="1689"/>
      <c r="T38" s="1689"/>
      <c r="U38" s="1689"/>
    </row>
    <row r="39" spans="1:21">
      <c r="A39" s="3278"/>
      <c r="B39" s="3268"/>
      <c r="C39" s="1692" t="str">
        <f>IF(D38&lt;1,"不存在土地闲置",IF(B35="宗地内已开工建设","已开工，不存在土地闲置","估价对象已涉嫌土地闲置"))</f>
        <v>已开工，不存在土地闲置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2984</v>
      </c>
      <c r="C40" s="1685" t="s">
        <v>2985</v>
      </c>
      <c r="D40" s="1685" t="s">
        <v>2986</v>
      </c>
      <c r="E40" s="1685" t="s">
        <v>2987</v>
      </c>
      <c r="F40" s="1685" t="s">
        <v>2988</v>
      </c>
      <c r="G40" s="1685"/>
      <c r="H40" s="1685"/>
      <c r="I40" s="1702"/>
      <c r="J40" s="1689"/>
      <c r="K40" s="1725">
        <f>COUNTIF(B40:H40,"——")</f>
        <v>0</v>
      </c>
      <c r="L40" s="1694" t="s">
        <v>1977</v>
      </c>
      <c r="M40" s="1691" t="s">
        <v>1978</v>
      </c>
      <c r="N40" s="1691" t="s">
        <v>1979</v>
      </c>
      <c r="O40" s="1691" t="s">
        <v>1980</v>
      </c>
      <c r="P40" s="1691" t="s">
        <v>1981</v>
      </c>
      <c r="Q40" s="1691" t="s">
        <v>1982</v>
      </c>
      <c r="R40" s="1691" t="s">
        <v>1983</v>
      </c>
      <c r="S40" s="3249" t="s">
        <v>1984</v>
      </c>
      <c r="T40" s="1726" t="str">
        <f>NUMBERSTRING(7-K40,1)&amp;"通"</f>
        <v>七通</v>
      </c>
      <c r="U40" s="1689"/>
    </row>
    <row r="41" spans="1:21">
      <c r="A41" s="1658"/>
      <c r="B41" s="3282" t="s">
        <v>1718</v>
      </c>
      <c r="C41" s="3282"/>
      <c r="D41" s="3282"/>
      <c r="E41" s="3282"/>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49"/>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c r="C43" s="1733" t="s">
        <v>1408</v>
      </c>
      <c r="D43" s="1733"/>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c r="C44" s="1733" t="s">
        <v>1277</v>
      </c>
      <c r="D44" s="1733"/>
      <c r="E44" s="1787"/>
      <c r="F44" s="1734"/>
      <c r="G44" s="1689"/>
      <c r="H44" s="1689"/>
      <c r="I44" s="1702"/>
      <c r="J44" s="1689"/>
      <c r="K44" s="1769"/>
      <c r="L44" s="1718"/>
      <c r="M44" s="1718"/>
      <c r="N44" s="1689"/>
      <c r="O44" s="1690"/>
      <c r="P44" s="1689"/>
      <c r="Q44" s="1689"/>
      <c r="R44" s="1689"/>
      <c r="S44" s="1689"/>
      <c r="T44" s="1689"/>
      <c r="U44" s="1689"/>
    </row>
    <row r="45" spans="1:21" s="3088" customFormat="1" ht="21" thickBot="1">
      <c r="A45" s="3089" t="s">
        <v>2892</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ColWidth="9" defaultRowHeight="13.8"/>
  <cols>
    <col min="1" max="1" width="9" style="3188"/>
    <col min="2" max="2" width="7.109375" style="3188" customWidth="1"/>
    <col min="3" max="3" width="16.33203125" style="3188" customWidth="1"/>
    <col min="4" max="4" width="8.21875" style="3188" customWidth="1"/>
    <col min="5" max="5" width="9.109375" style="3188" customWidth="1"/>
    <col min="6" max="16384" width="9" style="3188"/>
  </cols>
  <sheetData>
    <row r="1" spans="2:19" ht="14.4">
      <c r="B1" s="3291" t="s">
        <v>2992</v>
      </c>
      <c r="C1" s="3291" t="s">
        <v>2993</v>
      </c>
      <c r="D1" s="3291" t="s">
        <v>2994</v>
      </c>
      <c r="E1" s="3290" t="s">
        <v>2990</v>
      </c>
      <c r="F1" s="3290"/>
      <c r="G1" s="3290"/>
      <c r="H1" s="3290"/>
      <c r="I1" s="3290"/>
      <c r="J1" s="3290"/>
      <c r="K1" s="3290"/>
      <c r="L1" s="3290" t="s">
        <v>2991</v>
      </c>
      <c r="M1" s="3290"/>
      <c r="N1" s="3290"/>
      <c r="O1" s="3290"/>
      <c r="P1" s="3290"/>
      <c r="Q1" s="3193"/>
    </row>
    <row r="2" spans="2:19" ht="14.4">
      <c r="B2" s="3291"/>
      <c r="C2" s="3291"/>
      <c r="D2" s="3291"/>
      <c r="E2" s="3189" t="s">
        <v>2995</v>
      </c>
      <c r="F2" s="3189" t="s">
        <v>2996</v>
      </c>
      <c r="G2" s="3191" t="s">
        <v>3043</v>
      </c>
      <c r="H2" s="3191" t="s">
        <v>3041</v>
      </c>
      <c r="I2" s="3191" t="s">
        <v>3051</v>
      </c>
      <c r="J2" s="3191" t="s">
        <v>3013</v>
      </c>
      <c r="K2" s="3189" t="s">
        <v>2997</v>
      </c>
      <c r="L2" s="3189" t="s">
        <v>2998</v>
      </c>
      <c r="M2" s="3189" t="s">
        <v>2999</v>
      </c>
      <c r="N2" s="3191" t="s">
        <v>3048</v>
      </c>
      <c r="O2" s="3189" t="s">
        <v>2997</v>
      </c>
      <c r="P2" s="3191" t="s">
        <v>3013</v>
      </c>
      <c r="Q2" s="3191" t="s">
        <v>3014</v>
      </c>
      <c r="R2" s="3188" t="s">
        <v>3000</v>
      </c>
    </row>
    <row r="3" spans="2:19">
      <c r="B3" s="3194">
        <v>1</v>
      </c>
      <c r="C3" s="3189" t="s">
        <v>3001</v>
      </c>
      <c r="D3" s="3189">
        <f>SUM(E3,L3)</f>
        <v>7954.44</v>
      </c>
      <c r="E3" s="3189">
        <f>SUM(F3:K3)</f>
        <v>5304.99</v>
      </c>
      <c r="F3" s="3189">
        <v>5304.99</v>
      </c>
      <c r="G3" s="3189"/>
      <c r="H3" s="3189"/>
      <c r="I3" s="3189"/>
      <c r="J3" s="3189"/>
      <c r="K3" s="3189"/>
      <c r="L3" s="3189">
        <f>SUM(M3:P3)</f>
        <v>2649.45</v>
      </c>
      <c r="M3" s="3189">
        <v>1209.7</v>
      </c>
      <c r="N3" s="3189"/>
      <c r="O3" s="3189">
        <v>1439.75</v>
      </c>
      <c r="P3" s="3189"/>
      <c r="Q3" s="3189">
        <v>4418.1899999999996</v>
      </c>
      <c r="R3" s="3188">
        <v>6</v>
      </c>
    </row>
    <row r="4" spans="2:19">
      <c r="B4" s="3194">
        <v>2</v>
      </c>
      <c r="C4" s="3189" t="s">
        <v>3002</v>
      </c>
      <c r="D4" s="3189">
        <f t="shared" ref="D4:D51" si="0">SUM(E4,L4)</f>
        <v>7952.61</v>
      </c>
      <c r="E4" s="3189">
        <f t="shared" ref="E4:E51" si="1">SUM(F4:K4)</f>
        <v>5304.99</v>
      </c>
      <c r="F4" s="3189">
        <v>5304.99</v>
      </c>
      <c r="G4" s="3189"/>
      <c r="H4" s="3189"/>
      <c r="I4" s="3189"/>
      <c r="J4" s="3189"/>
      <c r="K4" s="3189"/>
      <c r="L4" s="3189">
        <f t="shared" ref="L4:L51" si="2">SUM(M4:P4)</f>
        <v>2647.62</v>
      </c>
      <c r="M4" s="3189">
        <v>1209.7</v>
      </c>
      <c r="N4" s="3189"/>
      <c r="O4" s="3189">
        <v>1437.92</v>
      </c>
      <c r="P4" s="3189"/>
      <c r="Q4" s="3189"/>
      <c r="R4" s="3188">
        <v>6</v>
      </c>
    </row>
    <row r="5" spans="2:19">
      <c r="B5" s="3194">
        <v>3</v>
      </c>
      <c r="C5" s="3189" t="s">
        <v>3003</v>
      </c>
      <c r="D5" s="3189">
        <f t="shared" si="0"/>
        <v>11166.619999999999</v>
      </c>
      <c r="E5" s="3189">
        <f t="shared" si="1"/>
        <v>7477.88</v>
      </c>
      <c r="F5" s="3189">
        <v>7417.88</v>
      </c>
      <c r="G5" s="3189"/>
      <c r="H5" s="3189"/>
      <c r="I5" s="3189"/>
      <c r="J5" s="3189"/>
      <c r="K5" s="3189">
        <v>60</v>
      </c>
      <c r="L5" s="3189">
        <f t="shared" si="2"/>
        <v>3688.74</v>
      </c>
      <c r="M5" s="3189">
        <v>1689.32</v>
      </c>
      <c r="N5" s="3189"/>
      <c r="O5" s="3189">
        <f>1999.42</f>
        <v>1999.42</v>
      </c>
      <c r="P5" s="3189"/>
      <c r="Q5" s="3189"/>
      <c r="R5" s="3188">
        <v>6</v>
      </c>
    </row>
    <row r="6" spans="2:19">
      <c r="B6" s="3194">
        <v>4</v>
      </c>
      <c r="C6" s="3189" t="s">
        <v>3004</v>
      </c>
      <c r="D6" s="3189">
        <f t="shared" si="0"/>
        <v>4812.1500000000005</v>
      </c>
      <c r="E6" s="3189">
        <f t="shared" si="1"/>
        <v>3194.26</v>
      </c>
      <c r="F6" s="3189">
        <v>3194.26</v>
      </c>
      <c r="G6" s="3189"/>
      <c r="H6" s="3189"/>
      <c r="I6" s="3189"/>
      <c r="J6" s="3189"/>
      <c r="K6" s="3189"/>
      <c r="L6" s="3189">
        <f t="shared" si="2"/>
        <v>1617.89</v>
      </c>
      <c r="M6" s="3189">
        <v>826.19</v>
      </c>
      <c r="N6" s="3189"/>
      <c r="O6" s="3189">
        <v>791.7</v>
      </c>
      <c r="P6" s="3189"/>
      <c r="Q6" s="3189"/>
      <c r="R6" s="3188">
        <v>6</v>
      </c>
    </row>
    <row r="7" spans="2:19">
      <c r="B7" s="3194">
        <v>5</v>
      </c>
      <c r="C7" s="3189" t="s">
        <v>3005</v>
      </c>
      <c r="D7" s="3189">
        <f t="shared" si="0"/>
        <v>6394.5</v>
      </c>
      <c r="E7" s="3189">
        <f t="shared" si="1"/>
        <v>4262.7299999999996</v>
      </c>
      <c r="F7" s="3189">
        <v>4262.7299999999996</v>
      </c>
      <c r="G7" s="3189"/>
      <c r="H7" s="3189"/>
      <c r="I7" s="3189"/>
      <c r="J7" s="3189"/>
      <c r="K7" s="3189"/>
      <c r="L7" s="3189">
        <f t="shared" si="2"/>
        <v>2131.77</v>
      </c>
      <c r="M7" s="3189">
        <v>1063.9100000000001</v>
      </c>
      <c r="N7" s="3189"/>
      <c r="O7" s="3189">
        <v>1067.8599999999999</v>
      </c>
      <c r="P7" s="3189"/>
      <c r="Q7" s="3189"/>
      <c r="R7" s="3188">
        <v>6</v>
      </c>
    </row>
    <row r="8" spans="2:19">
      <c r="B8" s="3194">
        <v>6</v>
      </c>
      <c r="C8" s="3189" t="s">
        <v>3006</v>
      </c>
      <c r="D8" s="3189">
        <f t="shared" si="0"/>
        <v>8152.09</v>
      </c>
      <c r="E8" s="3189">
        <f t="shared" si="1"/>
        <v>5596.41</v>
      </c>
      <c r="F8" s="3189">
        <v>5570.41</v>
      </c>
      <c r="G8" s="3189"/>
      <c r="H8" s="3189"/>
      <c r="I8" s="3189"/>
      <c r="J8" s="3189">
        <v>26</v>
      </c>
      <c r="K8" s="3189"/>
      <c r="L8" s="3189">
        <f t="shared" si="2"/>
        <v>2555.6800000000003</v>
      </c>
      <c r="M8" s="3189">
        <v>1155.48</v>
      </c>
      <c r="N8" s="3189"/>
      <c r="O8" s="3189">
        <v>1400.2</v>
      </c>
      <c r="P8" s="3189"/>
      <c r="Q8" s="3189"/>
      <c r="R8" s="3188">
        <v>6</v>
      </c>
    </row>
    <row r="9" spans="2:19" ht="14.4">
      <c r="B9" s="3194">
        <v>7</v>
      </c>
      <c r="C9" s="3189" t="s">
        <v>3007</v>
      </c>
      <c r="D9" s="3189">
        <f t="shared" si="0"/>
        <v>11406.08</v>
      </c>
      <c r="E9" s="3189">
        <f t="shared" si="1"/>
        <v>7690.47</v>
      </c>
      <c r="F9" s="3189">
        <v>7690.47</v>
      </c>
      <c r="G9" s="3189"/>
      <c r="H9" s="3189"/>
      <c r="I9" s="3189"/>
      <c r="J9" s="3189"/>
      <c r="K9" s="3189"/>
      <c r="L9" s="3189">
        <f t="shared" si="2"/>
        <v>3715.6099999999997</v>
      </c>
      <c r="M9" s="3189">
        <v>1789.87</v>
      </c>
      <c r="N9" s="3189"/>
      <c r="O9" s="3189">
        <v>1925.74</v>
      </c>
      <c r="P9" s="3189"/>
      <c r="Q9" s="3189">
        <v>6397.59</v>
      </c>
      <c r="R9" s="3188">
        <v>6</v>
      </c>
      <c r="S9" s="3190"/>
    </row>
    <row r="10" spans="2:19">
      <c r="B10" s="3194">
        <v>8</v>
      </c>
      <c r="C10" s="3189" t="s">
        <v>3008</v>
      </c>
      <c r="D10" s="3189">
        <f t="shared" si="0"/>
        <v>9657.2900000000009</v>
      </c>
      <c r="E10" s="3189">
        <f t="shared" si="1"/>
        <v>6561.51</v>
      </c>
      <c r="F10" s="3189">
        <v>6561.51</v>
      </c>
      <c r="G10" s="3189"/>
      <c r="H10" s="3189"/>
      <c r="I10" s="3189"/>
      <c r="J10" s="3189"/>
      <c r="K10" s="3189"/>
      <c r="L10" s="3189">
        <f t="shared" si="2"/>
        <v>3095.7799999999997</v>
      </c>
      <c r="M10" s="3189">
        <v>1401.08</v>
      </c>
      <c r="N10" s="3189"/>
      <c r="O10" s="3189">
        <v>1694.7</v>
      </c>
      <c r="P10" s="3189"/>
      <c r="Q10" s="3189">
        <v>5446.12</v>
      </c>
      <c r="R10" s="3188">
        <v>6</v>
      </c>
    </row>
    <row r="11" spans="2:19">
      <c r="B11" s="3194">
        <v>9</v>
      </c>
      <c r="C11" s="3189" t="s">
        <v>3009</v>
      </c>
      <c r="D11" s="3189">
        <f t="shared" si="0"/>
        <v>8170.09</v>
      </c>
      <c r="E11" s="3189">
        <f t="shared" si="1"/>
        <v>5591.71</v>
      </c>
      <c r="F11" s="3189">
        <v>5591.71</v>
      </c>
      <c r="G11" s="3189"/>
      <c r="H11" s="3189"/>
      <c r="I11" s="3189"/>
      <c r="J11" s="3189"/>
      <c r="K11" s="3189"/>
      <c r="L11" s="3189">
        <f t="shared" si="2"/>
        <v>2578.38</v>
      </c>
      <c r="M11" s="3189">
        <v>1155.48</v>
      </c>
      <c r="N11" s="3189"/>
      <c r="O11" s="3189">
        <v>1422.9</v>
      </c>
      <c r="P11" s="3189"/>
      <c r="Q11" s="3189"/>
      <c r="R11" s="3188">
        <v>6</v>
      </c>
    </row>
    <row r="12" spans="2:19">
      <c r="B12" s="3194">
        <v>10</v>
      </c>
      <c r="C12" s="3189" t="s">
        <v>3010</v>
      </c>
      <c r="D12" s="3189">
        <f t="shared" si="0"/>
        <v>4335.25</v>
      </c>
      <c r="E12" s="3189">
        <f t="shared" si="1"/>
        <v>1877.66</v>
      </c>
      <c r="F12" s="3189">
        <v>1877.66</v>
      </c>
      <c r="G12" s="3189"/>
      <c r="H12" s="3189"/>
      <c r="I12" s="3189"/>
      <c r="J12" s="3189"/>
      <c r="K12" s="3189"/>
      <c r="L12" s="3189">
        <f t="shared" si="2"/>
        <v>2457.59</v>
      </c>
      <c r="M12" s="3189">
        <v>1464.72</v>
      </c>
      <c r="N12" s="3189"/>
      <c r="O12" s="3189">
        <v>992.87</v>
      </c>
      <c r="P12" s="3189"/>
      <c r="Q12" s="3189"/>
      <c r="R12" s="3188">
        <v>4</v>
      </c>
    </row>
    <row r="13" spans="2:19">
      <c r="B13" s="3194">
        <v>11</v>
      </c>
      <c r="C13" s="3189" t="s">
        <v>3011</v>
      </c>
      <c r="D13" s="3189">
        <f t="shared" si="0"/>
        <v>3255.17</v>
      </c>
      <c r="E13" s="3189">
        <f t="shared" si="1"/>
        <v>1410.79</v>
      </c>
      <c r="F13" s="3189">
        <v>1410.79</v>
      </c>
      <c r="G13" s="3189"/>
      <c r="H13" s="3189"/>
      <c r="I13" s="3189"/>
      <c r="J13" s="3189"/>
      <c r="K13" s="3189"/>
      <c r="L13" s="3189">
        <f t="shared" si="2"/>
        <v>1844.3799999999999</v>
      </c>
      <c r="M13" s="3189">
        <v>1098.0899999999999</v>
      </c>
      <c r="N13" s="3189"/>
      <c r="O13" s="3189">
        <v>746.29</v>
      </c>
      <c r="P13" s="3189"/>
      <c r="Q13" s="3189"/>
      <c r="R13" s="3188">
        <v>4</v>
      </c>
    </row>
    <row r="14" spans="2:19">
      <c r="B14" s="3194">
        <v>12</v>
      </c>
      <c r="C14" s="3189" t="s">
        <v>3012</v>
      </c>
      <c r="D14" s="3189">
        <f t="shared" si="0"/>
        <v>4335.25</v>
      </c>
      <c r="E14" s="3189">
        <f t="shared" si="1"/>
        <v>1877.66</v>
      </c>
      <c r="F14" s="3189">
        <v>1877.66</v>
      </c>
      <c r="G14" s="3189"/>
      <c r="H14" s="3189"/>
      <c r="I14" s="3189"/>
      <c r="J14" s="3189"/>
      <c r="K14" s="3189"/>
      <c r="L14" s="3189">
        <f t="shared" si="2"/>
        <v>2457.59</v>
      </c>
      <c r="M14" s="3189">
        <v>1464.72</v>
      </c>
      <c r="N14" s="3189"/>
      <c r="O14" s="3189">
        <v>992.87</v>
      </c>
      <c r="P14" s="3189"/>
      <c r="Q14" s="3189"/>
      <c r="R14" s="3188">
        <v>4</v>
      </c>
    </row>
    <row r="15" spans="2:19">
      <c r="B15" s="3194">
        <v>13</v>
      </c>
      <c r="C15" s="3189" t="s">
        <v>3015</v>
      </c>
      <c r="D15" s="3189">
        <f t="shared" si="0"/>
        <v>8244.5299999999988</v>
      </c>
      <c r="E15" s="3189">
        <f t="shared" si="1"/>
        <v>5591.71</v>
      </c>
      <c r="F15" s="3189">
        <v>5591.71</v>
      </c>
      <c r="G15" s="3189"/>
      <c r="H15" s="3189"/>
      <c r="I15" s="3189"/>
      <c r="J15" s="3189"/>
      <c r="K15" s="3189"/>
      <c r="L15" s="3189">
        <f t="shared" si="2"/>
        <v>2652.8199999999997</v>
      </c>
      <c r="M15" s="3189">
        <v>1310.1099999999999</v>
      </c>
      <c r="N15" s="3189"/>
      <c r="O15" s="3189">
        <v>1342.71</v>
      </c>
      <c r="P15" s="3189"/>
      <c r="Q15" s="3189"/>
      <c r="R15" s="3188">
        <v>6</v>
      </c>
    </row>
    <row r="16" spans="2:19">
      <c r="B16" s="3194">
        <v>14</v>
      </c>
      <c r="C16" s="3189" t="s">
        <v>3016</v>
      </c>
      <c r="D16" s="3189">
        <f t="shared" si="0"/>
        <v>8128.57</v>
      </c>
      <c r="E16" s="3189">
        <f t="shared" si="1"/>
        <v>5461.5</v>
      </c>
      <c r="F16" s="3189">
        <v>5461.5</v>
      </c>
      <c r="G16" s="3189"/>
      <c r="H16" s="3189"/>
      <c r="I16" s="3189"/>
      <c r="J16" s="3189"/>
      <c r="K16" s="3189"/>
      <c r="L16" s="3189">
        <f t="shared" si="2"/>
        <v>2667.0699999999997</v>
      </c>
      <c r="M16" s="3189">
        <v>1288.52</v>
      </c>
      <c r="N16" s="3189"/>
      <c r="O16" s="3189">
        <v>1378.55</v>
      </c>
      <c r="P16" s="3189"/>
      <c r="Q16" s="3189">
        <v>4507.37</v>
      </c>
      <c r="R16" s="3188">
        <v>6</v>
      </c>
    </row>
    <row r="17" spans="2:18">
      <c r="B17" s="3194">
        <v>15</v>
      </c>
      <c r="C17" s="3189" t="s">
        <v>3017</v>
      </c>
      <c r="D17" s="3189">
        <f t="shared" si="0"/>
        <v>6540.0499999999993</v>
      </c>
      <c r="E17" s="3189">
        <f t="shared" si="1"/>
        <v>4401.03</v>
      </c>
      <c r="F17" s="3189">
        <v>4401.03</v>
      </c>
      <c r="G17" s="3189"/>
      <c r="H17" s="3189"/>
      <c r="I17" s="3189"/>
      <c r="J17" s="3189"/>
      <c r="K17" s="3189"/>
      <c r="L17" s="3189">
        <f t="shared" si="2"/>
        <v>2139.02</v>
      </c>
      <c r="M17" s="3189">
        <v>1064.05</v>
      </c>
      <c r="N17" s="3189"/>
      <c r="O17" s="3189">
        <v>1074.97</v>
      </c>
      <c r="P17" s="3189"/>
      <c r="Q17" s="3189">
        <v>3645.77</v>
      </c>
      <c r="R17" s="3188">
        <v>6</v>
      </c>
    </row>
    <row r="18" spans="2:18">
      <c r="B18" s="3194">
        <v>16</v>
      </c>
      <c r="C18" s="3189" t="s">
        <v>3018</v>
      </c>
      <c r="D18" s="3189">
        <f t="shared" si="0"/>
        <v>8522.1899999999987</v>
      </c>
      <c r="E18" s="3189">
        <f t="shared" si="1"/>
        <v>5816.41</v>
      </c>
      <c r="F18" s="3189">
        <v>5816.41</v>
      </c>
      <c r="G18" s="3189"/>
      <c r="H18" s="3189"/>
      <c r="I18" s="3189"/>
      <c r="J18" s="3189"/>
      <c r="K18" s="3189"/>
      <c r="L18" s="3189">
        <f t="shared" si="2"/>
        <v>2705.7799999999997</v>
      </c>
      <c r="M18" s="3189">
        <v>1410.52</v>
      </c>
      <c r="N18" s="3189"/>
      <c r="O18" s="3189">
        <v>1295.26</v>
      </c>
      <c r="P18" s="3189"/>
      <c r="Q18" s="3189"/>
      <c r="R18" s="3188">
        <v>6</v>
      </c>
    </row>
    <row r="19" spans="2:18">
      <c r="B19" s="3194">
        <v>17</v>
      </c>
      <c r="C19" s="3189" t="s">
        <v>3019</v>
      </c>
      <c r="D19" s="3189">
        <f t="shared" si="0"/>
        <v>4335.25</v>
      </c>
      <c r="E19" s="3189">
        <f t="shared" si="1"/>
        <v>1877.66</v>
      </c>
      <c r="F19" s="3189">
        <v>1877.66</v>
      </c>
      <c r="G19" s="3189"/>
      <c r="H19" s="3189"/>
      <c r="I19" s="3189"/>
      <c r="J19" s="3189"/>
      <c r="K19" s="3189"/>
      <c r="L19" s="3189">
        <f t="shared" si="2"/>
        <v>2457.59</v>
      </c>
      <c r="M19" s="3189">
        <v>1464.72</v>
      </c>
      <c r="N19" s="3189"/>
      <c r="O19" s="3189">
        <v>992.87</v>
      </c>
      <c r="P19" s="3189"/>
      <c r="Q19" s="3189"/>
      <c r="R19" s="3188">
        <v>4</v>
      </c>
    </row>
    <row r="20" spans="2:18">
      <c r="B20" s="3194">
        <v>18</v>
      </c>
      <c r="C20" s="3189" t="s">
        <v>3020</v>
      </c>
      <c r="D20" s="3189">
        <f t="shared" si="0"/>
        <v>3255.17</v>
      </c>
      <c r="E20" s="3189">
        <f t="shared" si="1"/>
        <v>1410.79</v>
      </c>
      <c r="F20" s="3189">
        <v>1410.79</v>
      </c>
      <c r="G20" s="3189"/>
      <c r="H20" s="3189"/>
      <c r="I20" s="3189"/>
      <c r="J20" s="3189"/>
      <c r="K20" s="3189"/>
      <c r="L20" s="3189">
        <f t="shared" si="2"/>
        <v>1844.3799999999999</v>
      </c>
      <c r="M20" s="3189">
        <v>1098.0899999999999</v>
      </c>
      <c r="N20" s="3189"/>
      <c r="O20" s="3189">
        <v>746.29</v>
      </c>
      <c r="P20" s="3189"/>
      <c r="Q20" s="3189"/>
      <c r="R20" s="3188">
        <v>4</v>
      </c>
    </row>
    <row r="21" spans="2:18">
      <c r="B21" s="3194">
        <v>19</v>
      </c>
      <c r="C21" s="3189" t="s">
        <v>3021</v>
      </c>
      <c r="D21" s="3189">
        <f t="shared" si="0"/>
        <v>3255.17</v>
      </c>
      <c r="E21" s="3189">
        <f t="shared" si="1"/>
        <v>1410.79</v>
      </c>
      <c r="F21" s="3189">
        <v>1410.79</v>
      </c>
      <c r="G21" s="3189"/>
      <c r="H21" s="3189"/>
      <c r="I21" s="3189"/>
      <c r="J21" s="3189"/>
      <c r="K21" s="3189"/>
      <c r="L21" s="3189">
        <f t="shared" si="2"/>
        <v>1844.3799999999999</v>
      </c>
      <c r="M21" s="3189">
        <v>1098.0899999999999</v>
      </c>
      <c r="N21" s="3189"/>
      <c r="O21" s="3189">
        <v>746.29</v>
      </c>
      <c r="P21" s="3189"/>
      <c r="Q21" s="3189"/>
      <c r="R21" s="3188">
        <v>4</v>
      </c>
    </row>
    <row r="22" spans="2:18">
      <c r="B22" s="3194">
        <v>20</v>
      </c>
      <c r="C22" s="3189" t="s">
        <v>3022</v>
      </c>
      <c r="D22" s="3189">
        <f t="shared" si="0"/>
        <v>4335.25</v>
      </c>
      <c r="E22" s="3189">
        <f t="shared" si="1"/>
        <v>1877.66</v>
      </c>
      <c r="F22" s="3189">
        <v>1877.66</v>
      </c>
      <c r="G22" s="3189"/>
      <c r="H22" s="3189"/>
      <c r="I22" s="3189"/>
      <c r="J22" s="3189"/>
      <c r="K22" s="3189"/>
      <c r="L22" s="3189">
        <f t="shared" si="2"/>
        <v>2457.59</v>
      </c>
      <c r="M22" s="3189">
        <v>1464.72</v>
      </c>
      <c r="N22" s="3189"/>
      <c r="O22" s="3189">
        <v>992.87</v>
      </c>
      <c r="P22" s="3189"/>
      <c r="Q22" s="3189"/>
      <c r="R22" s="3188">
        <v>4</v>
      </c>
    </row>
    <row r="23" spans="2:18">
      <c r="B23" s="3194">
        <v>21</v>
      </c>
      <c r="C23" s="3189" t="s">
        <v>3023</v>
      </c>
      <c r="D23" s="3189">
        <f t="shared" si="0"/>
        <v>4987.71</v>
      </c>
      <c r="E23" s="3189">
        <f t="shared" si="1"/>
        <v>3352.58</v>
      </c>
      <c r="F23" s="3189">
        <v>3352.58</v>
      </c>
      <c r="G23" s="3189"/>
      <c r="H23" s="3189"/>
      <c r="I23" s="3189"/>
      <c r="J23" s="3189"/>
      <c r="K23" s="3189"/>
      <c r="L23" s="3189">
        <f t="shared" si="2"/>
        <v>1635.13</v>
      </c>
      <c r="M23" s="3189">
        <v>826.19</v>
      </c>
      <c r="N23" s="3189"/>
      <c r="O23" s="3189">
        <v>808.94</v>
      </c>
      <c r="P23" s="3189"/>
      <c r="Q23" s="3189">
        <v>2776.12</v>
      </c>
      <c r="R23" s="3188">
        <v>6</v>
      </c>
    </row>
    <row r="24" spans="2:18">
      <c r="B24" s="3194">
        <v>22</v>
      </c>
      <c r="C24" s="3189" t="s">
        <v>3024</v>
      </c>
      <c r="D24" s="3189">
        <f t="shared" si="0"/>
        <v>8573</v>
      </c>
      <c r="E24" s="3189">
        <f t="shared" si="1"/>
        <v>5857.15</v>
      </c>
      <c r="F24" s="3189">
        <v>5857.15</v>
      </c>
      <c r="G24" s="3189"/>
      <c r="H24" s="3189"/>
      <c r="I24" s="3189"/>
      <c r="J24" s="3189"/>
      <c r="K24" s="3189"/>
      <c r="L24" s="3189">
        <f t="shared" si="2"/>
        <v>2715.85</v>
      </c>
      <c r="M24" s="3189">
        <v>1410.52</v>
      </c>
      <c r="N24" s="3189"/>
      <c r="O24" s="3189">
        <v>1305.33</v>
      </c>
      <c r="P24" s="3189"/>
      <c r="Q24" s="3189">
        <v>3233.43</v>
      </c>
      <c r="R24" s="3188">
        <v>6</v>
      </c>
    </row>
    <row r="25" spans="2:18">
      <c r="B25" s="3194">
        <v>23</v>
      </c>
      <c r="C25" s="3189" t="s">
        <v>3025</v>
      </c>
      <c r="D25" s="3189">
        <f t="shared" si="0"/>
        <v>5476.2000000000007</v>
      </c>
      <c r="E25" s="3189">
        <f t="shared" si="1"/>
        <v>2352.98</v>
      </c>
      <c r="F25" s="3189">
        <v>2352.98</v>
      </c>
      <c r="G25" s="3189"/>
      <c r="H25" s="3189"/>
      <c r="I25" s="3189"/>
      <c r="J25" s="3189"/>
      <c r="K25" s="3189"/>
      <c r="L25" s="3189">
        <f t="shared" si="2"/>
        <v>3123.2200000000003</v>
      </c>
      <c r="M25" s="3189">
        <v>1870.48</v>
      </c>
      <c r="N25" s="3189"/>
      <c r="O25" s="3189">
        <v>1252.74</v>
      </c>
      <c r="P25" s="3189"/>
      <c r="Q25" s="3189"/>
      <c r="R25" s="3188">
        <v>4</v>
      </c>
    </row>
    <row r="26" spans="2:18">
      <c r="B26" s="3194">
        <v>24</v>
      </c>
      <c r="C26" s="3189" t="s">
        <v>3040</v>
      </c>
      <c r="D26" s="3189">
        <f t="shared" si="0"/>
        <v>69.760000000000005</v>
      </c>
      <c r="E26" s="3189">
        <f t="shared" si="1"/>
        <v>69.760000000000005</v>
      </c>
      <c r="F26" s="3189"/>
      <c r="G26" s="3189"/>
      <c r="H26" s="3189">
        <v>69.760000000000005</v>
      </c>
      <c r="I26" s="3189"/>
      <c r="J26" s="3189"/>
      <c r="K26" s="3189"/>
      <c r="L26" s="3189">
        <f t="shared" si="2"/>
        <v>0</v>
      </c>
      <c r="M26" s="3189"/>
      <c r="N26" s="3189"/>
      <c r="O26" s="3189"/>
      <c r="P26" s="3189"/>
      <c r="Q26" s="3189"/>
    </row>
    <row r="27" spans="2:18">
      <c r="B27" s="3194">
        <v>25</v>
      </c>
      <c r="C27" s="3189" t="s">
        <v>3042</v>
      </c>
      <c r="D27" s="3189">
        <f t="shared" si="0"/>
        <v>1134.56</v>
      </c>
      <c r="E27" s="3189">
        <f t="shared" si="1"/>
        <v>1134.56</v>
      </c>
      <c r="F27" s="3189"/>
      <c r="G27" s="3189">
        <v>1066.56</v>
      </c>
      <c r="H27" s="3189">
        <v>8</v>
      </c>
      <c r="I27" s="3189"/>
      <c r="J27" s="3189"/>
      <c r="K27" s="3189">
        <v>60</v>
      </c>
      <c r="L27" s="3189">
        <f t="shared" si="2"/>
        <v>0</v>
      </c>
      <c r="M27" s="3189"/>
      <c r="N27" s="3189"/>
      <c r="O27" s="3189"/>
      <c r="P27" s="3189"/>
      <c r="Q27" s="3189"/>
    </row>
    <row r="28" spans="2:18">
      <c r="B28" s="3194">
        <v>26</v>
      </c>
      <c r="C28" s="3189" t="s">
        <v>3044</v>
      </c>
      <c r="D28" s="3189">
        <f t="shared" si="0"/>
        <v>153</v>
      </c>
      <c r="E28" s="3189">
        <f t="shared" si="1"/>
        <v>153</v>
      </c>
      <c r="F28" s="3189"/>
      <c r="G28" s="3189"/>
      <c r="H28" s="3189"/>
      <c r="I28" s="3189"/>
      <c r="J28" s="3189"/>
      <c r="K28" s="3189">
        <v>153</v>
      </c>
      <c r="L28" s="3189">
        <f t="shared" si="2"/>
        <v>0</v>
      </c>
      <c r="M28" s="3189"/>
      <c r="N28" s="3189"/>
      <c r="O28" s="3189"/>
      <c r="P28" s="3189"/>
      <c r="Q28" s="3189"/>
    </row>
    <row r="29" spans="2:18">
      <c r="B29" s="3194">
        <v>27</v>
      </c>
      <c r="C29" s="3189" t="s">
        <v>3045</v>
      </c>
      <c r="D29" s="3189">
        <f t="shared" si="0"/>
        <v>153</v>
      </c>
      <c r="E29" s="3189">
        <f t="shared" si="1"/>
        <v>153</v>
      </c>
      <c r="F29" s="3189"/>
      <c r="G29" s="3189"/>
      <c r="H29" s="3189"/>
      <c r="I29" s="3189"/>
      <c r="J29" s="3189"/>
      <c r="K29" s="3189">
        <v>153</v>
      </c>
      <c r="L29" s="3189">
        <f t="shared" si="2"/>
        <v>0</v>
      </c>
      <c r="M29" s="3189"/>
      <c r="N29" s="3189"/>
      <c r="O29" s="3189"/>
      <c r="P29" s="3189"/>
      <c r="Q29" s="3189"/>
    </row>
    <row r="30" spans="2:18">
      <c r="B30" s="3194">
        <v>28</v>
      </c>
      <c r="C30" s="3189" t="s">
        <v>3046</v>
      </c>
      <c r="D30" s="3189">
        <f t="shared" si="0"/>
        <v>189</v>
      </c>
      <c r="E30" s="3189">
        <f t="shared" si="1"/>
        <v>189</v>
      </c>
      <c r="F30" s="3189"/>
      <c r="G30" s="3189"/>
      <c r="H30" s="3189"/>
      <c r="I30" s="3189"/>
      <c r="J30" s="3189"/>
      <c r="K30" s="3189">
        <v>189</v>
      </c>
      <c r="L30" s="3189">
        <f t="shared" si="2"/>
        <v>0</v>
      </c>
      <c r="M30" s="3189"/>
      <c r="N30" s="3189"/>
      <c r="O30" s="3189"/>
      <c r="P30" s="3189"/>
      <c r="Q30" s="3189"/>
    </row>
    <row r="31" spans="2:18">
      <c r="B31" s="3194">
        <v>29</v>
      </c>
      <c r="C31" s="3189" t="s">
        <v>3047</v>
      </c>
      <c r="D31" s="3189">
        <f t="shared" si="0"/>
        <v>35070.69</v>
      </c>
      <c r="E31" s="3189">
        <f t="shared" si="1"/>
        <v>20</v>
      </c>
      <c r="F31" s="3189"/>
      <c r="G31" s="3189"/>
      <c r="H31" s="3189"/>
      <c r="I31" s="3189"/>
      <c r="J31" s="3189"/>
      <c r="K31" s="3189">
        <v>20</v>
      </c>
      <c r="L31" s="3189">
        <f t="shared" si="2"/>
        <v>35050.69</v>
      </c>
      <c r="M31" s="3189"/>
      <c r="N31" s="3189">
        <f>35050.69-P31</f>
        <v>27013.690000000002</v>
      </c>
      <c r="O31" s="3189"/>
      <c r="P31" s="3189">
        <f>8037</f>
        <v>8037</v>
      </c>
      <c r="Q31" s="3189"/>
    </row>
    <row r="32" spans="2:18">
      <c r="B32" s="3194">
        <v>30</v>
      </c>
      <c r="C32" s="3191" t="s">
        <v>3049</v>
      </c>
      <c r="D32" s="3189">
        <f t="shared" si="0"/>
        <v>115</v>
      </c>
      <c r="E32" s="3189">
        <f t="shared" si="1"/>
        <v>115</v>
      </c>
      <c r="F32" s="3189"/>
      <c r="G32" s="3189"/>
      <c r="H32" s="3189"/>
      <c r="I32" s="3189"/>
      <c r="J32" s="3189">
        <v>115</v>
      </c>
      <c r="K32" s="3189"/>
      <c r="L32" s="3189"/>
      <c r="M32" s="3189"/>
      <c r="N32" s="3189"/>
      <c r="O32" s="3189"/>
      <c r="P32" s="3189"/>
      <c r="Q32" s="3189"/>
    </row>
    <row r="33" spans="2:18" ht="14.25" customHeight="1">
      <c r="B33" s="3194"/>
      <c r="C33" s="3195" t="s">
        <v>3056</v>
      </c>
      <c r="D33" s="3196">
        <f>SUM(D3:D32)</f>
        <v>190129.63999999998</v>
      </c>
      <c r="E33" s="3196">
        <f t="shared" ref="E33:Q33" si="3">SUM(E3:E32)</f>
        <v>97395.64</v>
      </c>
      <c r="F33" s="3196">
        <f t="shared" si="3"/>
        <v>95475.32</v>
      </c>
      <c r="G33" s="3196">
        <f t="shared" si="3"/>
        <v>1066.56</v>
      </c>
      <c r="H33" s="3196">
        <f t="shared" si="3"/>
        <v>77.760000000000005</v>
      </c>
      <c r="I33" s="3196">
        <f t="shared" si="3"/>
        <v>0</v>
      </c>
      <c r="J33" s="3196">
        <f t="shared" si="3"/>
        <v>141</v>
      </c>
      <c r="K33" s="3196">
        <f t="shared" si="3"/>
        <v>635</v>
      </c>
      <c r="L33" s="3196">
        <f t="shared" si="3"/>
        <v>92733.999999999985</v>
      </c>
      <c r="M33" s="3196">
        <f t="shared" si="3"/>
        <v>29834.269999999997</v>
      </c>
      <c r="N33" s="3196">
        <f t="shared" si="3"/>
        <v>27013.690000000002</v>
      </c>
      <c r="O33" s="3196">
        <f t="shared" si="3"/>
        <v>27849.040000000005</v>
      </c>
      <c r="P33" s="3196">
        <f t="shared" si="3"/>
        <v>8037</v>
      </c>
      <c r="Q33" s="3196">
        <f t="shared" si="3"/>
        <v>30424.589999999997</v>
      </c>
    </row>
    <row r="34" spans="2:18">
      <c r="B34" s="3194">
        <v>1</v>
      </c>
      <c r="C34" s="3189" t="s">
        <v>3026</v>
      </c>
      <c r="D34" s="3189">
        <f>SUM(E34,L34)</f>
        <v>7899.44</v>
      </c>
      <c r="E34" s="3189">
        <f>SUM(F34:K34)</f>
        <v>5282.69</v>
      </c>
      <c r="F34" s="3189">
        <v>5282.69</v>
      </c>
      <c r="G34" s="3189"/>
      <c r="H34" s="3189"/>
      <c r="I34" s="3189"/>
      <c r="J34" s="3189"/>
      <c r="K34" s="3189"/>
      <c r="L34" s="3189">
        <f t="shared" si="2"/>
        <v>2616.75</v>
      </c>
      <c r="M34" s="3189">
        <v>1209.7</v>
      </c>
      <c r="N34" s="3189"/>
      <c r="O34" s="3189">
        <v>1407.05</v>
      </c>
      <c r="P34" s="3189"/>
      <c r="Q34" s="3189">
        <v>4398.17</v>
      </c>
      <c r="R34" s="3188">
        <v>6</v>
      </c>
    </row>
    <row r="35" spans="2:18">
      <c r="B35" s="3194">
        <v>2</v>
      </c>
      <c r="C35" s="3189" t="s">
        <v>3027</v>
      </c>
      <c r="D35" s="3189">
        <f t="shared" si="0"/>
        <v>6337.7</v>
      </c>
      <c r="E35" s="3189">
        <f t="shared" si="1"/>
        <v>4219.41</v>
      </c>
      <c r="F35" s="3189">
        <v>4219.41</v>
      </c>
      <c r="G35" s="3189"/>
      <c r="H35" s="3189"/>
      <c r="I35" s="3189"/>
      <c r="J35" s="3189"/>
      <c r="K35" s="3189"/>
      <c r="L35" s="3189">
        <f t="shared" si="2"/>
        <v>2118.29</v>
      </c>
      <c r="M35" s="3189">
        <v>963.68</v>
      </c>
      <c r="N35" s="3189"/>
      <c r="O35" s="3189">
        <v>1154.6099999999999</v>
      </c>
      <c r="P35" s="3189"/>
      <c r="Q35" s="3189">
        <v>3515.91</v>
      </c>
      <c r="R35" s="3188">
        <v>6</v>
      </c>
    </row>
    <row r="36" spans="2:18">
      <c r="B36" s="3194">
        <v>3</v>
      </c>
      <c r="C36" s="3189" t="s">
        <v>3028</v>
      </c>
      <c r="D36" s="3189">
        <f t="shared" si="0"/>
        <v>2822.45</v>
      </c>
      <c r="E36" s="3189">
        <f t="shared" si="1"/>
        <v>1720.42</v>
      </c>
      <c r="F36" s="3189">
        <v>1720.42</v>
      </c>
      <c r="G36" s="3189"/>
      <c r="H36" s="3189"/>
      <c r="I36" s="3189"/>
      <c r="J36" s="3189"/>
      <c r="K36" s="3189"/>
      <c r="L36" s="3189">
        <f t="shared" si="2"/>
        <v>1102.03</v>
      </c>
      <c r="M36" s="3189">
        <v>584.25</v>
      </c>
      <c r="N36" s="3189"/>
      <c r="O36" s="3189">
        <v>517.78</v>
      </c>
      <c r="P36" s="3189"/>
      <c r="Q36" s="3189">
        <v>1544.56</v>
      </c>
      <c r="R36" s="3188">
        <v>5</v>
      </c>
    </row>
    <row r="37" spans="2:18">
      <c r="B37" s="3194">
        <v>4</v>
      </c>
      <c r="C37" s="3189" t="s">
        <v>3029</v>
      </c>
      <c r="D37" s="3189">
        <f t="shared" si="0"/>
        <v>3227.05</v>
      </c>
      <c r="E37" s="3189">
        <f t="shared" si="1"/>
        <v>2125.02</v>
      </c>
      <c r="F37" s="3189">
        <v>2125.02</v>
      </c>
      <c r="G37" s="3189"/>
      <c r="H37" s="3189"/>
      <c r="I37" s="3189"/>
      <c r="J37" s="3189"/>
      <c r="K37" s="3189"/>
      <c r="L37" s="3189">
        <f t="shared" si="2"/>
        <v>1102.03</v>
      </c>
      <c r="M37" s="3189">
        <v>584.25</v>
      </c>
      <c r="N37" s="3189"/>
      <c r="O37" s="3189">
        <v>517.78</v>
      </c>
      <c r="P37" s="3189"/>
      <c r="Q37" s="3189">
        <v>1730.58</v>
      </c>
      <c r="R37" s="3188">
        <v>6</v>
      </c>
    </row>
    <row r="38" spans="2:18">
      <c r="B38" s="3194">
        <v>5</v>
      </c>
      <c r="C38" s="3189" t="s">
        <v>3030</v>
      </c>
      <c r="D38" s="3189">
        <f t="shared" si="0"/>
        <v>2174.2800000000002</v>
      </c>
      <c r="E38" s="3189">
        <f t="shared" si="1"/>
        <v>943.12</v>
      </c>
      <c r="F38" s="3189">
        <v>943.12</v>
      </c>
      <c r="G38" s="3189"/>
      <c r="H38" s="3189"/>
      <c r="I38" s="3189"/>
      <c r="J38" s="3189"/>
      <c r="K38" s="3189"/>
      <c r="L38" s="3189">
        <f t="shared" si="2"/>
        <v>1231.1600000000001</v>
      </c>
      <c r="M38" s="3189">
        <v>731.46</v>
      </c>
      <c r="N38" s="3189"/>
      <c r="O38" s="3189">
        <v>499.7</v>
      </c>
      <c r="P38" s="3189"/>
      <c r="Q38" s="3189"/>
      <c r="R38" s="3188">
        <v>4</v>
      </c>
    </row>
    <row r="39" spans="2:18">
      <c r="B39" s="3194">
        <v>6</v>
      </c>
      <c r="C39" s="3189" t="s">
        <v>3031</v>
      </c>
      <c r="D39" s="3189">
        <f t="shared" si="0"/>
        <v>2174.2800000000002</v>
      </c>
      <c r="E39" s="3189">
        <f t="shared" si="1"/>
        <v>943.12</v>
      </c>
      <c r="F39" s="3189">
        <v>943.12</v>
      </c>
      <c r="G39" s="3189"/>
      <c r="H39" s="3189"/>
      <c r="I39" s="3189"/>
      <c r="J39" s="3189"/>
      <c r="K39" s="3189"/>
      <c r="L39" s="3189">
        <f t="shared" si="2"/>
        <v>1231.1600000000001</v>
      </c>
      <c r="M39" s="3189">
        <v>731.46</v>
      </c>
      <c r="N39" s="3189"/>
      <c r="O39" s="3189">
        <v>499.7</v>
      </c>
      <c r="P39" s="3189"/>
      <c r="Q39" s="3189"/>
      <c r="R39" s="3188">
        <v>4</v>
      </c>
    </row>
    <row r="40" spans="2:18">
      <c r="B40" s="3194">
        <v>7</v>
      </c>
      <c r="C40" s="3189" t="s">
        <v>3032</v>
      </c>
      <c r="D40" s="3189">
        <f t="shared" si="0"/>
        <v>6909.13</v>
      </c>
      <c r="E40" s="3189">
        <f t="shared" si="1"/>
        <v>4756.68</v>
      </c>
      <c r="F40" s="3189">
        <v>4756.68</v>
      </c>
      <c r="G40" s="3189"/>
      <c r="H40" s="3189"/>
      <c r="I40" s="3189"/>
      <c r="J40" s="3189"/>
      <c r="K40" s="3189"/>
      <c r="L40" s="3189">
        <f t="shared" si="2"/>
        <v>2152.4499999999998</v>
      </c>
      <c r="M40" s="3189">
        <v>1035.24</v>
      </c>
      <c r="N40" s="3189"/>
      <c r="O40" s="3189">
        <v>1117.21</v>
      </c>
      <c r="P40" s="3189"/>
      <c r="Q40" s="3189">
        <v>3967.98</v>
      </c>
      <c r="R40" s="3188">
        <v>6</v>
      </c>
    </row>
    <row r="41" spans="2:18">
      <c r="B41" s="3194">
        <v>8</v>
      </c>
      <c r="C41" s="3189" t="s">
        <v>3033</v>
      </c>
      <c r="D41" s="3189">
        <f t="shared" si="0"/>
        <v>6890.2000000000007</v>
      </c>
      <c r="E41" s="3189">
        <f t="shared" si="1"/>
        <v>4736.3100000000004</v>
      </c>
      <c r="F41" s="3189">
        <v>4736.3100000000004</v>
      </c>
      <c r="G41" s="3189"/>
      <c r="H41" s="3189"/>
      <c r="I41" s="3189"/>
      <c r="J41" s="3189"/>
      <c r="K41" s="3189"/>
      <c r="L41" s="3189">
        <f t="shared" si="2"/>
        <v>2153.8900000000003</v>
      </c>
      <c r="M41" s="3189">
        <v>1035.24</v>
      </c>
      <c r="N41" s="3189"/>
      <c r="O41" s="3189">
        <v>1118.6500000000001</v>
      </c>
      <c r="P41" s="3189"/>
      <c r="Q41" s="3189">
        <v>3947.16</v>
      </c>
    </row>
    <row r="42" spans="2:18">
      <c r="B42" s="3194">
        <v>9</v>
      </c>
      <c r="C42" s="3189" t="s">
        <v>3034</v>
      </c>
      <c r="D42" s="3189">
        <f t="shared" si="0"/>
        <v>2174.2800000000002</v>
      </c>
      <c r="E42" s="3189">
        <f t="shared" si="1"/>
        <v>943.12</v>
      </c>
      <c r="F42" s="3189">
        <v>943.12</v>
      </c>
      <c r="G42" s="3189"/>
      <c r="H42" s="3189"/>
      <c r="I42" s="3189"/>
      <c r="J42" s="3189"/>
      <c r="K42" s="3189"/>
      <c r="L42" s="3189">
        <f t="shared" si="2"/>
        <v>1231.1600000000001</v>
      </c>
      <c r="M42" s="3189">
        <v>731.46</v>
      </c>
      <c r="N42" s="3189"/>
      <c r="O42" s="3189">
        <v>499.7</v>
      </c>
      <c r="P42" s="3189"/>
      <c r="Q42" s="3189"/>
    </row>
    <row r="43" spans="2:18">
      <c r="B43" s="3194">
        <v>10</v>
      </c>
      <c r="C43" s="3189" t="s">
        <v>3035</v>
      </c>
      <c r="D43" s="3189">
        <f t="shared" si="0"/>
        <v>2174.2800000000002</v>
      </c>
      <c r="E43" s="3189">
        <f t="shared" si="1"/>
        <v>943.12</v>
      </c>
      <c r="F43" s="3189">
        <v>943.12</v>
      </c>
      <c r="G43" s="3189"/>
      <c r="H43" s="3189"/>
      <c r="I43" s="3189"/>
      <c r="J43" s="3189"/>
      <c r="K43" s="3189"/>
      <c r="L43" s="3189">
        <f t="shared" si="2"/>
        <v>1231.1600000000001</v>
      </c>
      <c r="M43" s="3189">
        <v>731.46</v>
      </c>
      <c r="N43" s="3189"/>
      <c r="O43" s="3189">
        <v>499.7</v>
      </c>
      <c r="P43" s="3189"/>
      <c r="Q43" s="3189"/>
    </row>
    <row r="44" spans="2:18">
      <c r="B44" s="3194">
        <v>11</v>
      </c>
      <c r="C44" s="3189" t="s">
        <v>3036</v>
      </c>
      <c r="D44" s="3189">
        <f t="shared" si="0"/>
        <v>2178.12</v>
      </c>
      <c r="E44" s="3189">
        <f t="shared" si="1"/>
        <v>943.12</v>
      </c>
      <c r="F44" s="3189">
        <v>943.12</v>
      </c>
      <c r="G44" s="3189"/>
      <c r="H44" s="3189"/>
      <c r="I44" s="3189"/>
      <c r="J44" s="3189"/>
      <c r="K44" s="3189"/>
      <c r="L44" s="3189">
        <f t="shared" si="2"/>
        <v>1235</v>
      </c>
      <c r="M44" s="3189">
        <v>732.76</v>
      </c>
      <c r="N44" s="3189"/>
      <c r="O44" s="3189">
        <v>502.24</v>
      </c>
      <c r="P44" s="3189"/>
      <c r="Q44" s="3189"/>
    </row>
    <row r="45" spans="2:18">
      <c r="B45" s="3194">
        <v>12</v>
      </c>
      <c r="C45" s="3189" t="s">
        <v>3037</v>
      </c>
      <c r="D45" s="3189">
        <f t="shared" si="0"/>
        <v>2174.2800000000002</v>
      </c>
      <c r="E45" s="3189">
        <f t="shared" si="1"/>
        <v>943.12</v>
      </c>
      <c r="F45" s="3189">
        <v>943.12</v>
      </c>
      <c r="G45" s="3189"/>
      <c r="H45" s="3189"/>
      <c r="I45" s="3189"/>
      <c r="J45" s="3189"/>
      <c r="K45" s="3189"/>
      <c r="L45" s="3189">
        <f t="shared" si="2"/>
        <v>1231.1600000000001</v>
      </c>
      <c r="M45" s="3189">
        <v>731.46</v>
      </c>
      <c r="N45" s="3189"/>
      <c r="O45" s="3189">
        <v>499.7</v>
      </c>
      <c r="P45" s="3189"/>
      <c r="Q45" s="3189"/>
    </row>
    <row r="46" spans="2:18">
      <c r="B46" s="3194">
        <v>13</v>
      </c>
      <c r="C46" s="3189" t="s">
        <v>3038</v>
      </c>
      <c r="D46" s="3189">
        <f t="shared" si="0"/>
        <v>6933.77</v>
      </c>
      <c r="E46" s="3189">
        <f t="shared" si="1"/>
        <v>4736.3100000000004</v>
      </c>
      <c r="F46" s="3189">
        <v>4736.3100000000004</v>
      </c>
      <c r="G46" s="3189"/>
      <c r="H46" s="3189"/>
      <c r="I46" s="3189"/>
      <c r="J46" s="3189"/>
      <c r="K46" s="3189"/>
      <c r="L46" s="3189">
        <f t="shared" si="2"/>
        <v>2197.46</v>
      </c>
      <c r="M46" s="3189">
        <v>1164.5</v>
      </c>
      <c r="N46" s="3189"/>
      <c r="O46" s="3189">
        <v>1032.96</v>
      </c>
      <c r="P46" s="3189"/>
      <c r="Q46" s="3189">
        <v>3947.16</v>
      </c>
    </row>
    <row r="47" spans="2:18">
      <c r="B47" s="3194">
        <v>14</v>
      </c>
      <c r="C47" s="3189" t="s">
        <v>3039</v>
      </c>
      <c r="D47" s="3189">
        <f t="shared" si="0"/>
        <v>2174.2800000000002</v>
      </c>
      <c r="E47" s="3189">
        <f t="shared" si="1"/>
        <v>943.12</v>
      </c>
      <c r="F47" s="3189">
        <v>943.12</v>
      </c>
      <c r="G47" s="3189"/>
      <c r="H47" s="3189"/>
      <c r="I47" s="3189"/>
      <c r="J47" s="3189"/>
      <c r="K47" s="3189"/>
      <c r="L47" s="3189">
        <f t="shared" si="2"/>
        <v>1231.1600000000001</v>
      </c>
      <c r="M47" s="3189">
        <v>731.46</v>
      </c>
      <c r="N47" s="3189"/>
      <c r="O47" s="3189">
        <v>499.7</v>
      </c>
      <c r="P47" s="3189"/>
      <c r="Q47" s="3189"/>
    </row>
    <row r="48" spans="2:18">
      <c r="B48" s="3194">
        <v>15</v>
      </c>
      <c r="C48" s="3189" t="s">
        <v>3050</v>
      </c>
      <c r="D48" s="3189">
        <f t="shared" si="0"/>
        <v>1851.68</v>
      </c>
      <c r="E48" s="3189">
        <f t="shared" si="1"/>
        <v>1851.68</v>
      </c>
      <c r="F48" s="3189"/>
      <c r="G48" s="3189">
        <v>1218.44</v>
      </c>
      <c r="H48" s="3189">
        <f>280.24+120+8</f>
        <v>408.24</v>
      </c>
      <c r="I48" s="3189">
        <v>150</v>
      </c>
      <c r="J48" s="3189"/>
      <c r="K48" s="3189">
        <v>75</v>
      </c>
      <c r="L48" s="3189">
        <f t="shared" si="2"/>
        <v>0</v>
      </c>
      <c r="M48" s="3189"/>
      <c r="N48" s="3189"/>
      <c r="O48" s="3189"/>
      <c r="P48" s="3189"/>
      <c r="Q48" s="3189"/>
    </row>
    <row r="49" spans="2:17">
      <c r="B49" s="3194">
        <v>16</v>
      </c>
      <c r="C49" s="3189" t="s">
        <v>3052</v>
      </c>
      <c r="D49" s="3189">
        <f t="shared" si="0"/>
        <v>199</v>
      </c>
      <c r="E49" s="3189">
        <f t="shared" si="1"/>
        <v>199</v>
      </c>
      <c r="F49" s="3189"/>
      <c r="G49" s="3189"/>
      <c r="H49" s="3189"/>
      <c r="I49" s="3189"/>
      <c r="J49" s="3189"/>
      <c r="K49" s="3189">
        <v>199</v>
      </c>
      <c r="L49" s="3189">
        <f t="shared" si="2"/>
        <v>0</v>
      </c>
      <c r="M49" s="3189"/>
      <c r="N49" s="3189"/>
      <c r="O49" s="3189"/>
      <c r="P49" s="3189"/>
      <c r="Q49" s="3189"/>
    </row>
    <row r="50" spans="2:17">
      <c r="B50" s="3194">
        <v>17</v>
      </c>
      <c r="C50" s="3189" t="s">
        <v>3053</v>
      </c>
      <c r="D50" s="3189">
        <f t="shared" si="0"/>
        <v>13485.14</v>
      </c>
      <c r="E50" s="3189">
        <f t="shared" si="1"/>
        <v>0</v>
      </c>
      <c r="F50" s="3189"/>
      <c r="G50" s="3189"/>
      <c r="H50" s="3189"/>
      <c r="I50" s="3189"/>
      <c r="J50" s="3189"/>
      <c r="K50" s="3189"/>
      <c r="L50" s="3189">
        <f t="shared" si="2"/>
        <v>13485.14</v>
      </c>
      <c r="M50" s="3189"/>
      <c r="N50" s="3189">
        <f>13485.14-P50</f>
        <v>9639.14</v>
      </c>
      <c r="O50" s="3189"/>
      <c r="P50" s="3189">
        <v>3846</v>
      </c>
      <c r="Q50" s="3189"/>
    </row>
    <row r="51" spans="2:17">
      <c r="B51" s="3194">
        <v>18</v>
      </c>
      <c r="C51" s="3191" t="s">
        <v>3049</v>
      </c>
      <c r="D51" s="3189">
        <f t="shared" si="0"/>
        <v>50</v>
      </c>
      <c r="E51" s="3189">
        <f t="shared" si="1"/>
        <v>50</v>
      </c>
      <c r="F51" s="3189"/>
      <c r="G51" s="3189"/>
      <c r="H51" s="3189"/>
      <c r="I51" s="3189"/>
      <c r="J51" s="3189">
        <v>50</v>
      </c>
      <c r="K51" s="3189"/>
      <c r="L51" s="3189">
        <f t="shared" si="2"/>
        <v>0</v>
      </c>
      <c r="M51" s="3189"/>
      <c r="N51" s="3189"/>
      <c r="O51" s="3189"/>
      <c r="P51" s="3189"/>
      <c r="Q51" s="3189"/>
    </row>
    <row r="52" spans="2:17" ht="14.25" customHeight="1">
      <c r="B52" s="3194"/>
      <c r="C52" s="3195" t="s">
        <v>3055</v>
      </c>
      <c r="D52" s="3196">
        <f>SUM(D34:D51)</f>
        <v>71829.359999999986</v>
      </c>
      <c r="E52" s="3196">
        <f t="shared" ref="E52:Q52" si="4">SUM(E34:E51)</f>
        <v>36279.360000000001</v>
      </c>
      <c r="F52" s="3196">
        <f t="shared" si="4"/>
        <v>34178.68</v>
      </c>
      <c r="G52" s="3196">
        <f t="shared" si="4"/>
        <v>1218.44</v>
      </c>
      <c r="H52" s="3196">
        <f t="shared" si="4"/>
        <v>408.24</v>
      </c>
      <c r="I52" s="3196">
        <f t="shared" si="4"/>
        <v>150</v>
      </c>
      <c r="J52" s="3196">
        <f t="shared" si="4"/>
        <v>50</v>
      </c>
      <c r="K52" s="3196">
        <f t="shared" si="4"/>
        <v>274</v>
      </c>
      <c r="L52" s="3196">
        <f t="shared" si="4"/>
        <v>35550</v>
      </c>
      <c r="M52" s="3196">
        <f t="shared" si="4"/>
        <v>11698.380000000001</v>
      </c>
      <c r="N52" s="3196">
        <f t="shared" si="4"/>
        <v>9639.14</v>
      </c>
      <c r="O52" s="3196">
        <f t="shared" si="4"/>
        <v>10366.48</v>
      </c>
      <c r="P52" s="3196">
        <f t="shared" si="4"/>
        <v>3846</v>
      </c>
      <c r="Q52" s="3196">
        <f t="shared" si="4"/>
        <v>23051.52</v>
      </c>
    </row>
    <row r="53" spans="2:17" s="3192" customFormat="1" ht="14.25" customHeight="1">
      <c r="B53" s="3197"/>
      <c r="C53" s="3198" t="s">
        <v>3054</v>
      </c>
      <c r="D53" s="3199">
        <f>SUM(D52,D33)</f>
        <v>261958.99999999997</v>
      </c>
      <c r="E53" s="3199">
        <f t="shared" ref="E53:Q53" si="5">SUM(E52,E33)</f>
        <v>133675</v>
      </c>
      <c r="F53" s="3199">
        <f t="shared" si="5"/>
        <v>129654</v>
      </c>
      <c r="G53" s="3199">
        <f t="shared" si="5"/>
        <v>2285</v>
      </c>
      <c r="H53" s="3199">
        <f t="shared" si="5"/>
        <v>486</v>
      </c>
      <c r="I53" s="3199">
        <f t="shared" si="5"/>
        <v>150</v>
      </c>
      <c r="J53" s="3199">
        <f t="shared" si="5"/>
        <v>191</v>
      </c>
      <c r="K53" s="3199">
        <f t="shared" si="5"/>
        <v>909</v>
      </c>
      <c r="L53" s="3199">
        <f t="shared" si="5"/>
        <v>128283.99999999999</v>
      </c>
      <c r="M53" s="3199">
        <f t="shared" si="5"/>
        <v>41532.649999999994</v>
      </c>
      <c r="N53" s="3199">
        <f t="shared" si="5"/>
        <v>36652.83</v>
      </c>
      <c r="O53" s="3199">
        <f t="shared" si="5"/>
        <v>38215.520000000004</v>
      </c>
      <c r="P53" s="3199">
        <f t="shared" si="5"/>
        <v>11883</v>
      </c>
      <c r="Q53" s="3199">
        <f t="shared" si="5"/>
        <v>53476.11</v>
      </c>
    </row>
    <row r="54" spans="2:17">
      <c r="D54" s="3188">
        <v>261959</v>
      </c>
      <c r="Q54" s="3188">
        <f>Q53/F53</f>
        <v>0.41245245036790229</v>
      </c>
    </row>
    <row r="55" spans="2:17">
      <c r="D55" s="3188">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163</v>
      </c>
      <c r="AZ2" s="2356" t="s">
        <v>2332</v>
      </c>
      <c r="BA2" s="2357"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2990</v>
      </c>
      <c r="B3" s="22">
        <f>IF(C3="否",G5-AT5,G5)</f>
        <v>8970</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164</v>
      </c>
      <c r="B5" s="988"/>
      <c r="C5" s="988"/>
      <c r="D5" s="995"/>
      <c r="E5" s="27" t="s">
        <v>1</v>
      </c>
      <c r="F5" s="27">
        <f>SUM(F13:F572)</f>
        <v>0</v>
      </c>
      <c r="G5" s="27">
        <f>SUM(G13:G572)</f>
        <v>8970</v>
      </c>
      <c r="H5" s="27">
        <f t="shared" ref="H5:AT5" si="0">SUM(H13:H641)</f>
        <v>8970</v>
      </c>
      <c r="I5" s="27">
        <f t="shared" si="0"/>
        <v>8970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164</v>
      </c>
      <c r="AW5" s="988"/>
      <c r="AX5" s="988"/>
      <c r="AY5" s="28" t="s">
        <v>3</v>
      </c>
      <c r="AZ5" s="29">
        <f t="shared" ref="AZ5:BT5" si="1">SUM(AZ13:AZ641)</f>
        <v>8970</v>
      </c>
      <c r="BA5" s="29">
        <f t="shared" si="1"/>
        <v>8970</v>
      </c>
      <c r="BB5" s="29">
        <f t="shared" si="1"/>
        <v>8970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165</v>
      </c>
      <c r="B6" s="31"/>
      <c r="C6" s="31"/>
      <c r="D6" s="32"/>
      <c r="E6" s="27">
        <f>H6+AC6+AT6</f>
        <v>2990</v>
      </c>
      <c r="F6" s="27" t="s">
        <v>1</v>
      </c>
      <c r="G6" s="27" t="s">
        <v>2</v>
      </c>
      <c r="H6" s="33">
        <f>SUMIF(I$12:AB$12,"总值",I6:AB6)</f>
        <v>2990</v>
      </c>
      <c r="I6" s="27">
        <f t="shared" ref="I6:AB6" si="2">ROUND($A$3*I5/$B$3,2)</f>
        <v>2990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2990</v>
      </c>
      <c r="AZ6" s="27" t="s">
        <v>3</v>
      </c>
      <c r="BA6" s="27">
        <f>ROUND($AY$6*BA5/$AZ$5,2)</f>
        <v>2990</v>
      </c>
      <c r="BB6" s="27">
        <f>ROUND($AY$6*BB5/$AZ$5,2)</f>
        <v>2990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173</v>
      </c>
      <c r="AV7" s="41" t="s">
        <v>174</v>
      </c>
      <c r="AW7" s="42" t="s">
        <v>175</v>
      </c>
      <c r="AX7" s="41" t="s">
        <v>176</v>
      </c>
      <c r="AY7" s="988"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0"/>
      <c r="K8" s="1000"/>
      <c r="L8" s="1000"/>
      <c r="M8" s="1000"/>
      <c r="N8" s="1000"/>
      <c r="O8" s="1000"/>
      <c r="P8" s="1000"/>
      <c r="Q8" s="1000"/>
      <c r="R8" s="1000"/>
      <c r="S8" s="1000"/>
      <c r="T8" s="1000"/>
      <c r="U8" s="1000"/>
      <c r="V8" s="49"/>
      <c r="W8" s="1000"/>
      <c r="X8" s="1000"/>
      <c r="Y8" s="1000"/>
      <c r="Z8" s="1000"/>
      <c r="AA8" s="49"/>
      <c r="AB8" s="50"/>
      <c r="AC8" s="51" t="s">
        <v>180</v>
      </c>
      <c r="AD8" s="52"/>
      <c r="AE8" s="43"/>
      <c r="AF8" s="1000"/>
      <c r="AG8" s="1000"/>
      <c r="AH8" s="1000"/>
      <c r="AI8" s="1000"/>
      <c r="AJ8" s="1000"/>
      <c r="AK8" s="1000"/>
      <c r="AL8" s="1000"/>
      <c r="AM8" s="1000"/>
      <c r="AN8" s="1000"/>
      <c r="AO8" s="1000"/>
      <c r="AP8" s="1000"/>
      <c r="AQ8" s="1000"/>
      <c r="AR8" s="1000"/>
      <c r="AS8" s="2293"/>
      <c r="AT8" s="2324" t="s">
        <v>851</v>
      </c>
      <c r="AU8" s="45" t="s">
        <v>181</v>
      </c>
      <c r="AV8" s="55"/>
      <c r="AW8" s="1002"/>
      <c r="AX8" s="55"/>
      <c r="AY8" s="42" t="s">
        <v>182</v>
      </c>
      <c r="AZ8" s="999" t="s">
        <v>183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184</v>
      </c>
      <c r="I9" s="3037" t="s">
        <v>2989</v>
      </c>
      <c r="J9" s="51"/>
      <c r="K9" s="3037"/>
      <c r="L9" s="51"/>
      <c r="M9" s="3037"/>
      <c r="N9" s="51"/>
      <c r="O9" s="59"/>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6" t="s">
        <v>187</v>
      </c>
      <c r="AQ9" s="1188"/>
      <c r="AR9" s="1186" t="s">
        <v>188</v>
      </c>
      <c r="AS9" s="2325"/>
      <c r="AT9" s="45"/>
      <c r="AU9" s="45" t="s">
        <v>190</v>
      </c>
      <c r="AV9" s="55"/>
      <c r="AW9" s="1002"/>
      <c r="AX9" s="55"/>
      <c r="AY9" s="62"/>
      <c r="AZ9" s="62" t="s">
        <v>191</v>
      </c>
      <c r="BA9" s="63" t="s">
        <v>192</v>
      </c>
      <c r="BB9" s="64"/>
      <c r="BC9" s="994"/>
      <c r="BD9" s="994"/>
      <c r="BE9" s="994"/>
      <c r="BF9" s="994"/>
      <c r="BG9" s="994"/>
      <c r="BH9" s="994"/>
      <c r="BI9" s="994"/>
      <c r="BJ9" s="994"/>
      <c r="BK9" s="65"/>
      <c r="BL9" s="26" t="s">
        <v>193</v>
      </c>
      <c r="BM9" s="1000"/>
      <c r="BN9" s="48"/>
      <c r="BO9" s="1000"/>
      <c r="BP9" s="1000"/>
      <c r="BQ9" s="1000"/>
      <c r="BR9" s="1000"/>
      <c r="BS9" s="1000"/>
      <c r="BT9" s="56"/>
    </row>
    <row r="10" spans="1:72" s="57" customFormat="1" ht="13.2">
      <c r="A10" s="45"/>
      <c r="B10" s="45"/>
      <c r="C10" s="45"/>
      <c r="D10" s="45"/>
      <c r="E10" s="45"/>
      <c r="F10" s="45"/>
      <c r="G10" s="55"/>
      <c r="H10" s="62"/>
      <c r="I10" s="3037" t="s">
        <v>1674</v>
      </c>
      <c r="J10" s="51"/>
      <c r="K10" s="3039"/>
      <c r="L10" s="51"/>
      <c r="M10" s="3039"/>
      <c r="N10" s="51"/>
      <c r="O10" s="66"/>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6" t="s">
        <v>195</v>
      </c>
      <c r="AQ10" s="1188"/>
      <c r="AR10" s="1186" t="s">
        <v>195</v>
      </c>
      <c r="AS10" s="1188"/>
      <c r="AT10" s="45"/>
      <c r="AU10" s="45"/>
      <c r="AV10" s="55"/>
      <c r="AW10" s="1002"/>
      <c r="AX10" s="55"/>
      <c r="AY10" s="62"/>
      <c r="AZ10" s="62"/>
      <c r="BA10" s="67" t="s">
        <v>189</v>
      </c>
      <c r="BB10" s="68" t="str">
        <f>I9</f>
        <v>地上</v>
      </c>
      <c r="BC10" s="69">
        <f>K9</f>
        <v>0</v>
      </c>
      <c r="BD10" s="69">
        <f>M9</f>
        <v>0</v>
      </c>
      <c r="BE10" s="69">
        <f>O9</f>
        <v>0</v>
      </c>
      <c r="BF10" s="69">
        <f>Q9</f>
        <v>0</v>
      </c>
      <c r="BG10" s="69">
        <f>S9</f>
        <v>0</v>
      </c>
      <c r="BH10" s="69">
        <f>U9</f>
        <v>0</v>
      </c>
      <c r="BI10" s="69">
        <f>W9</f>
        <v>0</v>
      </c>
      <c r="BJ10" s="69">
        <f>Y9</f>
        <v>0</v>
      </c>
      <c r="BK10" s="69">
        <f>AA9</f>
        <v>0</v>
      </c>
      <c r="BL10" s="54" t="s">
        <v>189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38" t="s">
        <v>3125</v>
      </c>
      <c r="J11" s="71"/>
      <c r="K11" s="3038"/>
      <c r="L11" s="71"/>
      <c r="M11" s="70"/>
      <c r="N11" s="71"/>
      <c r="O11" s="70"/>
      <c r="P11" s="71"/>
      <c r="Q11" s="70"/>
      <c r="R11" s="71"/>
      <c r="S11" s="70"/>
      <c r="T11" s="71"/>
      <c r="U11" s="70"/>
      <c r="V11" s="71"/>
      <c r="W11" s="70"/>
      <c r="X11" s="71"/>
      <c r="Y11" s="70"/>
      <c r="Z11" s="71"/>
      <c r="AA11" s="70"/>
      <c r="AB11" s="71"/>
      <c r="AC11" s="55"/>
      <c r="AD11" s="2330" t="s">
        <v>2329</v>
      </c>
      <c r="AE11" s="1001"/>
      <c r="AF11" s="2330" t="s">
        <v>2329</v>
      </c>
      <c r="AG11" s="1001"/>
      <c r="AH11" s="2330" t="s">
        <v>2328</v>
      </c>
      <c r="AI11" s="2331"/>
      <c r="AJ11" s="2330" t="s">
        <v>2328</v>
      </c>
      <c r="AK11" s="2329"/>
      <c r="AL11" s="999"/>
      <c r="AM11" s="1001"/>
      <c r="AN11" s="999"/>
      <c r="AO11" s="1001"/>
      <c r="AP11" s="1187"/>
      <c r="AQ11" s="1189"/>
      <c r="AR11" s="1187"/>
      <c r="AS11" s="1189"/>
      <c r="AT11" s="1002"/>
      <c r="AU11" s="45"/>
      <c r="AV11" s="55"/>
      <c r="AW11" s="100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7" t="s">
        <v>197</v>
      </c>
      <c r="W12" s="17" t="s">
        <v>196</v>
      </c>
      <c r="X12" s="17" t="s">
        <v>197</v>
      </c>
      <c r="Y12" s="17" t="s">
        <v>196</v>
      </c>
      <c r="Z12" s="17" t="s">
        <v>197</v>
      </c>
      <c r="AA12" s="17" t="s">
        <v>196</v>
      </c>
      <c r="AB12" s="17" t="s">
        <v>197</v>
      </c>
      <c r="AC12" s="75"/>
      <c r="AD12" s="995" t="s">
        <v>196</v>
      </c>
      <c r="AE12" s="17" t="s">
        <v>197</v>
      </c>
      <c r="AF12" s="17" t="s">
        <v>196</v>
      </c>
      <c r="AG12" s="17" t="s">
        <v>197</v>
      </c>
      <c r="AH12" s="17" t="s">
        <v>196</v>
      </c>
      <c r="AI12" s="17" t="s">
        <v>197</v>
      </c>
      <c r="AJ12" s="17" t="s">
        <v>196</v>
      </c>
      <c r="AK12" s="17" t="s">
        <v>197</v>
      </c>
      <c r="AL12" s="17" t="s">
        <v>196</v>
      </c>
      <c r="AM12" s="17" t="s">
        <v>197</v>
      </c>
      <c r="AN12" s="17" t="s">
        <v>196</v>
      </c>
      <c r="AO12" s="17" t="s">
        <v>197</v>
      </c>
      <c r="AP12" s="1185" t="s">
        <v>196</v>
      </c>
      <c r="AQ12" s="1185" t="s">
        <v>197</v>
      </c>
      <c r="AR12" s="1191" t="s">
        <v>196</v>
      </c>
      <c r="AS12" s="1190" t="s">
        <v>197</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5.6">
      <c r="A13" s="3034"/>
      <c r="B13" s="3034"/>
      <c r="C13" s="1391" t="s">
        <v>3200</v>
      </c>
      <c r="D13" s="80" t="s">
        <v>1675</v>
      </c>
      <c r="E13" s="27">
        <f t="shared" ref="E13:E20" si="6">IF($C$3="是",ROUND($A$3*G13/$B$3,2),ROUND($A$3*(G13-AT13)/$B$3,2))</f>
        <v>2990</v>
      </c>
      <c r="F13" s="81"/>
      <c r="G13" s="82">
        <f t="shared" ref="G13:G20" si="7">H13+AC13+AT13</f>
        <v>8970</v>
      </c>
      <c r="H13" s="33">
        <f t="shared" ref="H13:H20" si="8">SUMIF(I$12:AB$12,"总值",I13:AB13)</f>
        <v>8970</v>
      </c>
      <c r="I13" s="91">
        <f>A3*3</f>
        <v>8970</v>
      </c>
      <c r="J13" s="91"/>
      <c r="K13" s="1391"/>
      <c r="L13" s="91"/>
      <c r="M13" s="91"/>
      <c r="N13" s="91"/>
      <c r="O13" s="91"/>
      <c r="P13" s="91"/>
      <c r="Q13" s="83"/>
      <c r="R13" s="83"/>
      <c r="S13" s="83"/>
      <c r="T13" s="83"/>
      <c r="U13" s="83"/>
      <c r="V13" s="83"/>
      <c r="W13" s="83"/>
      <c r="X13" s="83"/>
      <c r="Y13" s="83"/>
      <c r="Z13" s="83"/>
      <c r="AA13" s="83"/>
      <c r="AB13" s="83"/>
      <c r="AC13" s="27">
        <f t="shared" ref="AC13:AC20" si="9">SUMIF(AD$12:AS$12,"总值",AD13:AS13)</f>
        <v>0</v>
      </c>
      <c r="AD13" s="92"/>
      <c r="AE13" s="92"/>
      <c r="AF13" s="1391"/>
      <c r="AG13" s="92"/>
      <c r="AH13" s="92"/>
      <c r="AI13" s="92"/>
      <c r="AJ13" s="92"/>
      <c r="AK13" s="3040"/>
      <c r="AL13" s="3040"/>
      <c r="AM13" s="3040"/>
      <c r="AN13" s="3040"/>
      <c r="AO13" s="3040"/>
      <c r="AP13" s="92"/>
      <c r="AQ13" s="92"/>
      <c r="AR13" s="92"/>
      <c r="AS13" s="92"/>
      <c r="AT13" s="93"/>
      <c r="AU13" s="94"/>
      <c r="AV13" s="17">
        <f t="shared" ref="AV13:AX20" si="10">A13</f>
        <v>0</v>
      </c>
      <c r="AW13" s="17">
        <f t="shared" si="10"/>
        <v>0</v>
      </c>
      <c r="AX13" s="17" t="str">
        <f t="shared" si="10"/>
        <v>北</v>
      </c>
      <c r="AY13" s="995">
        <f t="shared" ref="AY13:AY20" si="11">ROUND($AY$6*AZ13/$AZ$5,2)</f>
        <v>2990</v>
      </c>
      <c r="AZ13" s="27">
        <f t="shared" ref="AZ13:AZ20" si="12">BA13+BL13</f>
        <v>8970</v>
      </c>
      <c r="BA13" s="27">
        <f t="shared" ref="BA13:BA20" si="13">SUM(BB13:BK13)</f>
        <v>8970</v>
      </c>
      <c r="BB13" s="27">
        <f t="shared" ref="BB13:BB20" si="14">IF($D13="是",I13-J13,0)</f>
        <v>8970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5.6">
      <c r="A14" s="3034"/>
      <c r="B14" s="3034"/>
      <c r="C14" s="1391"/>
      <c r="D14" s="80" t="s">
        <v>1675</v>
      </c>
      <c r="E14" s="27">
        <f t="shared" si="6"/>
        <v>0</v>
      </c>
      <c r="F14" s="81"/>
      <c r="G14" s="82">
        <f t="shared" si="7"/>
        <v>0</v>
      </c>
      <c r="H14" s="33">
        <f t="shared" si="8"/>
        <v>0</v>
      </c>
      <c r="I14" s="91"/>
      <c r="J14" s="91"/>
      <c r="K14" s="1391"/>
      <c r="L14" s="91"/>
      <c r="M14" s="91"/>
      <c r="N14" s="91"/>
      <c r="O14" s="91"/>
      <c r="P14" s="91"/>
      <c r="Q14" s="83"/>
      <c r="R14" s="83"/>
      <c r="S14" s="83"/>
      <c r="T14" s="83"/>
      <c r="U14" s="83"/>
      <c r="V14" s="83"/>
      <c r="W14" s="83"/>
      <c r="X14" s="83"/>
      <c r="Y14" s="83"/>
      <c r="Z14" s="83"/>
      <c r="AA14" s="83"/>
      <c r="AB14" s="83"/>
      <c r="AC14" s="27">
        <f t="shared" si="9"/>
        <v>0</v>
      </c>
      <c r="AD14" s="92"/>
      <c r="AE14" s="92"/>
      <c r="AF14" s="1391"/>
      <c r="AG14" s="92"/>
      <c r="AH14" s="92"/>
      <c r="AI14" s="92"/>
      <c r="AJ14" s="92"/>
      <c r="AK14" s="3040"/>
      <c r="AL14" s="3040"/>
      <c r="AM14" s="3040"/>
      <c r="AN14" s="3040"/>
      <c r="AO14" s="3040"/>
      <c r="AP14" s="92"/>
      <c r="AQ14" s="92"/>
      <c r="AR14" s="92"/>
      <c r="AS14" s="92"/>
      <c r="AT14" s="93"/>
      <c r="AU14" s="9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6">
      <c r="A15" s="3034"/>
      <c r="B15" s="3034"/>
      <c r="C15" s="1391"/>
      <c r="D15" s="80" t="s">
        <v>1675</v>
      </c>
      <c r="E15" s="27">
        <f t="shared" si="6"/>
        <v>0</v>
      </c>
      <c r="F15" s="81"/>
      <c r="G15" s="82">
        <f t="shared" si="7"/>
        <v>0</v>
      </c>
      <c r="H15" s="33">
        <f t="shared" si="8"/>
        <v>0</v>
      </c>
      <c r="I15" s="91"/>
      <c r="J15" s="91"/>
      <c r="K15" s="1391"/>
      <c r="L15" s="91"/>
      <c r="M15" s="91"/>
      <c r="N15" s="91"/>
      <c r="O15" s="91"/>
      <c r="P15" s="91"/>
      <c r="Q15" s="83"/>
      <c r="R15" s="83"/>
      <c r="S15" s="83"/>
      <c r="T15" s="83"/>
      <c r="U15" s="83"/>
      <c r="V15" s="83"/>
      <c r="W15" s="83"/>
      <c r="X15" s="83"/>
      <c r="Y15" s="83"/>
      <c r="Z15" s="83"/>
      <c r="AA15" s="83"/>
      <c r="AB15" s="83"/>
      <c r="AC15" s="27">
        <f t="shared" si="9"/>
        <v>0</v>
      </c>
      <c r="AD15" s="92"/>
      <c r="AE15" s="92"/>
      <c r="AF15" s="1391"/>
      <c r="AG15" s="92"/>
      <c r="AH15" s="92"/>
      <c r="AI15" s="92"/>
      <c r="AJ15" s="92"/>
      <c r="AK15" s="3040"/>
      <c r="AL15" s="3040"/>
      <c r="AM15" s="3040"/>
      <c r="AN15" s="3040"/>
      <c r="AO15" s="3040"/>
      <c r="AP15" s="92"/>
      <c r="AQ15" s="92"/>
      <c r="AR15" s="92"/>
      <c r="AS15" s="92"/>
      <c r="AT15" s="93"/>
      <c r="AU15" s="9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6">
      <c r="A16" s="3034"/>
      <c r="B16" s="3034"/>
      <c r="C16" s="1393"/>
      <c r="D16" s="80"/>
      <c r="E16" s="27">
        <f t="shared" si="6"/>
        <v>0</v>
      </c>
      <c r="F16" s="81"/>
      <c r="G16" s="82">
        <f t="shared" si="7"/>
        <v>0</v>
      </c>
      <c r="H16" s="33">
        <f t="shared" si="8"/>
        <v>0</v>
      </c>
      <c r="I16" s="91"/>
      <c r="J16" s="91"/>
      <c r="K16" s="1391"/>
      <c r="L16" s="91"/>
      <c r="M16" s="1391"/>
      <c r="N16" s="91"/>
      <c r="O16" s="91"/>
      <c r="P16" s="91"/>
      <c r="Q16" s="83"/>
      <c r="R16" s="83"/>
      <c r="S16" s="83"/>
      <c r="T16" s="83"/>
      <c r="U16" s="83"/>
      <c r="V16" s="83"/>
      <c r="W16" s="83"/>
      <c r="X16" s="83"/>
      <c r="Y16" s="83"/>
      <c r="Z16" s="83"/>
      <c r="AA16" s="83"/>
      <c r="AB16" s="83"/>
      <c r="AC16" s="27">
        <f t="shared" si="9"/>
        <v>0</v>
      </c>
      <c r="AD16" s="92"/>
      <c r="AE16" s="92"/>
      <c r="AF16" s="1391"/>
      <c r="AG16" s="92"/>
      <c r="AH16" s="92"/>
      <c r="AI16" s="92"/>
      <c r="AJ16" s="92"/>
      <c r="AK16" s="3040"/>
      <c r="AL16" s="3040"/>
      <c r="AM16" s="3040"/>
      <c r="AN16" s="3040"/>
      <c r="AO16" s="3040"/>
      <c r="AP16" s="92"/>
      <c r="AQ16" s="92"/>
      <c r="AR16" s="92"/>
      <c r="AS16" s="92"/>
      <c r="AT16" s="93"/>
      <c r="AU16" s="9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34"/>
      <c r="B17" s="3034"/>
      <c r="C17" s="3207"/>
      <c r="D17" s="80"/>
      <c r="E17" s="27">
        <f t="shared" si="6"/>
        <v>0</v>
      </c>
      <c r="F17" s="81"/>
      <c r="G17" s="82">
        <f t="shared" si="7"/>
        <v>0</v>
      </c>
      <c r="H17" s="33">
        <f t="shared" si="8"/>
        <v>0</v>
      </c>
      <c r="I17" s="91"/>
      <c r="J17" s="91"/>
      <c r="K17" s="91"/>
      <c r="L17" s="91"/>
      <c r="M17" s="91"/>
      <c r="N17" s="91"/>
      <c r="O17" s="91"/>
      <c r="P17" s="91"/>
      <c r="Q17" s="83"/>
      <c r="R17" s="83"/>
      <c r="S17" s="83"/>
      <c r="T17" s="83"/>
      <c r="U17" s="83"/>
      <c r="V17" s="83"/>
      <c r="W17" s="83"/>
      <c r="X17" s="83"/>
      <c r="Y17" s="83"/>
      <c r="Z17" s="83"/>
      <c r="AA17" s="83"/>
      <c r="AB17" s="83"/>
      <c r="AC17" s="27">
        <f t="shared" si="9"/>
        <v>0</v>
      </c>
      <c r="AD17" s="92"/>
      <c r="AE17" s="92"/>
      <c r="AF17" s="92"/>
      <c r="AG17" s="92"/>
      <c r="AH17" s="92"/>
      <c r="AI17" s="92"/>
      <c r="AJ17" s="92"/>
      <c r="AK17" s="3040"/>
      <c r="AL17" s="3040"/>
      <c r="AM17" s="3040"/>
      <c r="AN17" s="3040"/>
      <c r="AO17" s="3040"/>
      <c r="AP17" s="92"/>
      <c r="AQ17" s="92"/>
      <c r="AR17" s="92"/>
      <c r="AS17" s="92"/>
      <c r="AT17" s="93"/>
      <c r="AU17" s="9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207"/>
      <c r="D18" s="80"/>
      <c r="E18" s="87">
        <f t="shared" si="6"/>
        <v>0</v>
      </c>
      <c r="F18" s="88"/>
      <c r="G18" s="89">
        <f t="shared" si="7"/>
        <v>0</v>
      </c>
      <c r="H18" s="90">
        <f t="shared" si="8"/>
        <v>0</v>
      </c>
      <c r="I18" s="91"/>
      <c r="J18" s="91"/>
      <c r="K18" s="91"/>
      <c r="L18" s="91"/>
      <c r="M18" s="91"/>
      <c r="N18" s="91"/>
      <c r="O18" s="91"/>
      <c r="P18" s="91"/>
      <c r="Q18" s="91"/>
      <c r="R18" s="91"/>
      <c r="S18" s="91"/>
      <c r="T18" s="91"/>
      <c r="U18" s="91"/>
      <c r="V18" s="91"/>
      <c r="W18" s="91"/>
      <c r="X18" s="91"/>
      <c r="Y18" s="91"/>
      <c r="Z18" s="91"/>
      <c r="AA18" s="91"/>
      <c r="AB18" s="91"/>
      <c r="AC18" s="87">
        <f t="shared" si="9"/>
        <v>0</v>
      </c>
      <c r="AD18" s="92"/>
      <c r="AE18" s="92"/>
      <c r="AF18" s="92"/>
      <c r="AG18" s="92"/>
      <c r="AH18" s="92"/>
      <c r="AI18" s="92"/>
      <c r="AJ18" s="92"/>
      <c r="AK18" s="3040"/>
      <c r="AL18" s="3040"/>
      <c r="AM18" s="3040"/>
      <c r="AN18" s="3040"/>
      <c r="AO18" s="3040"/>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5"/>
      <c r="C19" s="3207"/>
      <c r="D19" s="80"/>
      <c r="E19" s="87">
        <f t="shared" si="6"/>
        <v>0</v>
      </c>
      <c r="F19" s="88"/>
      <c r="G19" s="89">
        <f t="shared" si="7"/>
        <v>0</v>
      </c>
      <c r="H19" s="90">
        <f t="shared" si="8"/>
        <v>0</v>
      </c>
      <c r="I19" s="91"/>
      <c r="J19" s="91"/>
      <c r="K19" s="91"/>
      <c r="L19" s="91"/>
      <c r="M19" s="91"/>
      <c r="N19" s="91"/>
      <c r="O19" s="91"/>
      <c r="P19" s="91"/>
      <c r="Q19" s="91"/>
      <c r="R19" s="91"/>
      <c r="S19" s="91"/>
      <c r="T19" s="91"/>
      <c r="U19" s="91"/>
      <c r="V19" s="91"/>
      <c r="W19" s="91"/>
      <c r="X19" s="91"/>
      <c r="Y19" s="91"/>
      <c r="Z19" s="91"/>
      <c r="AA19" s="91"/>
      <c r="AB19" s="91"/>
      <c r="AC19" s="87">
        <f t="shared" si="9"/>
        <v>0</v>
      </c>
      <c r="AD19" s="3040"/>
      <c r="AE19" s="92"/>
      <c r="AF19" s="1391"/>
      <c r="AG19" s="92"/>
      <c r="AH19" s="3040"/>
      <c r="AI19" s="92"/>
      <c r="AJ19" s="92"/>
      <c r="AK19" s="92"/>
      <c r="AL19" s="3040"/>
      <c r="AM19" s="92"/>
      <c r="AN19" s="91"/>
      <c r="AO19" s="92"/>
      <c r="AP19" s="92"/>
      <c r="AQ19" s="92"/>
      <c r="AR19" s="92"/>
      <c r="AS19" s="92"/>
      <c r="AT19" s="3041"/>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5"/>
      <c r="C20" s="3034"/>
      <c r="D20" s="3035"/>
      <c r="E20" s="87">
        <f t="shared" si="6"/>
        <v>0</v>
      </c>
      <c r="F20" s="88"/>
      <c r="G20" s="89">
        <f t="shared" si="7"/>
        <v>0</v>
      </c>
      <c r="H20" s="90">
        <f t="shared" si="8"/>
        <v>0</v>
      </c>
      <c r="I20" s="3036"/>
      <c r="J20" s="91"/>
      <c r="K20" s="1391"/>
      <c r="L20" s="91"/>
      <c r="M20" s="3036"/>
      <c r="N20" s="91"/>
      <c r="O20" s="83"/>
      <c r="P20" s="91"/>
      <c r="Q20" s="91"/>
      <c r="R20" s="91"/>
      <c r="S20" s="91"/>
      <c r="T20" s="91"/>
      <c r="U20" s="91"/>
      <c r="V20" s="91"/>
      <c r="W20" s="91"/>
      <c r="X20" s="91"/>
      <c r="Y20" s="91"/>
      <c r="Z20" s="91"/>
      <c r="AA20" s="91"/>
      <c r="AB20" s="91"/>
      <c r="AC20" s="87">
        <f t="shared" si="9"/>
        <v>0</v>
      </c>
      <c r="AD20" s="3040"/>
      <c r="AE20" s="92"/>
      <c r="AF20" s="1391"/>
      <c r="AG20" s="92"/>
      <c r="AH20" s="3040"/>
      <c r="AI20" s="92"/>
      <c r="AJ20" s="92"/>
      <c r="AK20" s="92"/>
      <c r="AL20" s="3040"/>
      <c r="AM20" s="92"/>
      <c r="AN20" s="3040"/>
      <c r="AO20" s="92"/>
      <c r="AP20" s="92"/>
      <c r="AQ20" s="92"/>
      <c r="AR20" s="92"/>
      <c r="AS20" s="92"/>
      <c r="AT20" s="3041"/>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90"/>
      <c r="C21" s="3034"/>
      <c r="D21" s="3035"/>
      <c r="E21" s="87">
        <f t="shared" ref="E21:E112" si="33">IF($C$3="是",ROUND($A$3*G21/$B$3,2),ROUND($A$3*(G21-AT21)/$B$3,2))</f>
        <v>0</v>
      </c>
      <c r="F21" s="88"/>
      <c r="G21" s="89">
        <f t="shared" ref="G21:G109" si="34">H21+AC21+AT21</f>
        <v>0</v>
      </c>
      <c r="H21" s="90">
        <f t="shared" ref="H21:H109" si="35">SUMIF(I$12:AB$12,"总值",I21:AB21)</f>
        <v>0</v>
      </c>
      <c r="I21" s="3036"/>
      <c r="J21" s="91"/>
      <c r="K21" s="1393"/>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4"/>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90"/>
      <c r="C22" s="3034"/>
      <c r="D22" s="3035"/>
      <c r="E22" s="87">
        <f t="shared" si="33"/>
        <v>0</v>
      </c>
      <c r="F22" s="88"/>
      <c r="G22" s="89">
        <f t="shared" si="34"/>
        <v>0</v>
      </c>
      <c r="H22" s="90">
        <f t="shared" si="35"/>
        <v>0</v>
      </c>
      <c r="I22" s="3036"/>
      <c r="J22" s="91"/>
      <c r="K22" s="1393"/>
      <c r="L22" s="91"/>
      <c r="M22" s="3036"/>
      <c r="N22" s="91"/>
      <c r="O22" s="83"/>
      <c r="P22" s="91"/>
      <c r="Q22" s="91"/>
      <c r="R22" s="91"/>
      <c r="S22" s="91"/>
      <c r="T22" s="91"/>
      <c r="U22" s="91"/>
      <c r="V22" s="91"/>
      <c r="W22" s="91"/>
      <c r="X22" s="91"/>
      <c r="Y22" s="91"/>
      <c r="Z22" s="91"/>
      <c r="AA22" s="91"/>
      <c r="AB22" s="91"/>
      <c r="AC22" s="87">
        <f t="shared" si="36"/>
        <v>0</v>
      </c>
      <c r="AD22" s="3040"/>
      <c r="AE22" s="92"/>
      <c r="AF22" s="1394"/>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90"/>
      <c r="C23" s="3034"/>
      <c r="D23" s="3035"/>
      <c r="E23" s="87">
        <f t="shared" si="33"/>
        <v>0</v>
      </c>
      <c r="F23" s="88"/>
      <c r="G23" s="89">
        <f t="shared" si="34"/>
        <v>0</v>
      </c>
      <c r="H23" s="90">
        <f t="shared" si="35"/>
        <v>0</v>
      </c>
      <c r="I23" s="3036"/>
      <c r="J23" s="91"/>
      <c r="K23" s="1393"/>
      <c r="L23" s="91"/>
      <c r="M23" s="3036"/>
      <c r="N23" s="91"/>
      <c r="O23" s="83"/>
      <c r="P23" s="91"/>
      <c r="Q23" s="91"/>
      <c r="R23" s="91"/>
      <c r="S23" s="91"/>
      <c r="T23" s="91"/>
      <c r="U23" s="91"/>
      <c r="V23" s="91"/>
      <c r="W23" s="91"/>
      <c r="X23" s="91"/>
      <c r="Y23" s="91"/>
      <c r="Z23" s="91"/>
      <c r="AA23" s="91"/>
      <c r="AB23" s="91"/>
      <c r="AC23" s="87">
        <f t="shared" si="36"/>
        <v>0</v>
      </c>
      <c r="AD23" s="3040"/>
      <c r="AE23" s="92"/>
      <c r="AF23" s="1394"/>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90"/>
      <c r="C24" s="3034"/>
      <c r="D24" s="3035"/>
      <c r="E24" s="87">
        <f t="shared" si="33"/>
        <v>0</v>
      </c>
      <c r="F24" s="88"/>
      <c r="G24" s="89">
        <f t="shared" si="34"/>
        <v>0</v>
      </c>
      <c r="H24" s="90">
        <f t="shared" si="35"/>
        <v>0</v>
      </c>
      <c r="I24" s="3036"/>
      <c r="J24" s="91"/>
      <c r="K24" s="1393"/>
      <c r="L24" s="91"/>
      <c r="M24" s="3036"/>
      <c r="N24" s="91"/>
      <c r="O24" s="83"/>
      <c r="P24" s="91"/>
      <c r="Q24" s="91"/>
      <c r="R24" s="91"/>
      <c r="S24" s="91"/>
      <c r="T24" s="91"/>
      <c r="U24" s="91"/>
      <c r="V24" s="91"/>
      <c r="W24" s="91"/>
      <c r="X24" s="91"/>
      <c r="Y24" s="91"/>
      <c r="Z24" s="91"/>
      <c r="AA24" s="91"/>
      <c r="AB24" s="91"/>
      <c r="AC24" s="87">
        <f t="shared" si="36"/>
        <v>0</v>
      </c>
      <c r="AD24" s="3040"/>
      <c r="AE24" s="92"/>
      <c r="AF24" s="1394"/>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90"/>
      <c r="C25" s="3034"/>
      <c r="D25" s="3035"/>
      <c r="E25" s="87">
        <f t="shared" si="33"/>
        <v>0</v>
      </c>
      <c r="F25" s="88"/>
      <c r="G25" s="89">
        <f t="shared" si="34"/>
        <v>0</v>
      </c>
      <c r="H25" s="90">
        <f t="shared" si="35"/>
        <v>0</v>
      </c>
      <c r="I25" s="3036"/>
      <c r="J25" s="91"/>
      <c r="K25" s="1393"/>
      <c r="L25" s="91"/>
      <c r="M25" s="3036"/>
      <c r="N25" s="91"/>
      <c r="O25" s="83"/>
      <c r="P25" s="91"/>
      <c r="Q25" s="91"/>
      <c r="R25" s="91"/>
      <c r="S25" s="91"/>
      <c r="T25" s="91"/>
      <c r="U25" s="91"/>
      <c r="V25" s="91"/>
      <c r="W25" s="91"/>
      <c r="X25" s="91"/>
      <c r="Y25" s="91"/>
      <c r="Z25" s="91"/>
      <c r="AA25" s="91"/>
      <c r="AB25" s="91"/>
      <c r="AC25" s="87">
        <f t="shared" si="36"/>
        <v>0</v>
      </c>
      <c r="AD25" s="3040"/>
      <c r="AE25" s="92"/>
      <c r="AF25" s="1394"/>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90"/>
      <c r="C26" s="3034"/>
      <c r="D26" s="3035"/>
      <c r="E26" s="87">
        <f t="shared" si="33"/>
        <v>0</v>
      </c>
      <c r="F26" s="88"/>
      <c r="G26" s="89">
        <f t="shared" si="34"/>
        <v>0</v>
      </c>
      <c r="H26" s="90">
        <f t="shared" si="35"/>
        <v>0</v>
      </c>
      <c r="I26" s="3036"/>
      <c r="J26" s="91"/>
      <c r="K26" s="1393"/>
      <c r="L26" s="91"/>
      <c r="M26" s="3036"/>
      <c r="N26" s="91"/>
      <c r="O26" s="83"/>
      <c r="P26" s="91"/>
      <c r="Q26" s="91"/>
      <c r="R26" s="91"/>
      <c r="S26" s="91"/>
      <c r="T26" s="91"/>
      <c r="U26" s="91"/>
      <c r="V26" s="91"/>
      <c r="W26" s="91"/>
      <c r="X26" s="91"/>
      <c r="Y26" s="91"/>
      <c r="Z26" s="91"/>
      <c r="AA26" s="91"/>
      <c r="AB26" s="91"/>
      <c r="AC26" s="87">
        <f t="shared" si="36"/>
        <v>0</v>
      </c>
      <c r="AD26" s="3040"/>
      <c r="AE26" s="92"/>
      <c r="AF26" s="1394"/>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90"/>
      <c r="C27" s="3034"/>
      <c r="D27" s="3035"/>
      <c r="E27" s="87">
        <f t="shared" si="33"/>
        <v>0</v>
      </c>
      <c r="F27" s="88"/>
      <c r="G27" s="89">
        <f t="shared" si="34"/>
        <v>0</v>
      </c>
      <c r="H27" s="90">
        <f t="shared" si="35"/>
        <v>0</v>
      </c>
      <c r="I27" s="3036"/>
      <c r="J27" s="91"/>
      <c r="K27" s="1393"/>
      <c r="L27" s="91"/>
      <c r="M27" s="3036"/>
      <c r="N27" s="91"/>
      <c r="O27" s="83"/>
      <c r="P27" s="91"/>
      <c r="Q27" s="91"/>
      <c r="R27" s="91"/>
      <c r="S27" s="91"/>
      <c r="T27" s="91"/>
      <c r="U27" s="91"/>
      <c r="V27" s="91"/>
      <c r="W27" s="91"/>
      <c r="X27" s="91"/>
      <c r="Y27" s="91"/>
      <c r="Z27" s="91"/>
      <c r="AA27" s="91"/>
      <c r="AB27" s="91"/>
      <c r="AC27" s="87">
        <f t="shared" si="36"/>
        <v>0</v>
      </c>
      <c r="AD27" s="3040"/>
      <c r="AE27" s="92"/>
      <c r="AF27" s="1394"/>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90"/>
      <c r="C28" s="3034"/>
      <c r="D28" s="3035"/>
      <c r="E28" s="87">
        <f t="shared" si="33"/>
        <v>0</v>
      </c>
      <c r="F28" s="88"/>
      <c r="G28" s="89">
        <f t="shared" si="34"/>
        <v>0</v>
      </c>
      <c r="H28" s="90">
        <f t="shared" si="35"/>
        <v>0</v>
      </c>
      <c r="I28" s="3036"/>
      <c r="J28" s="91"/>
      <c r="K28" s="1393"/>
      <c r="L28" s="91"/>
      <c r="M28" s="3036"/>
      <c r="N28" s="91"/>
      <c r="O28" s="83"/>
      <c r="P28" s="91"/>
      <c r="Q28" s="91"/>
      <c r="R28" s="91"/>
      <c r="S28" s="91"/>
      <c r="T28" s="91"/>
      <c r="U28" s="91"/>
      <c r="V28" s="91"/>
      <c r="W28" s="91"/>
      <c r="X28" s="91"/>
      <c r="Y28" s="91"/>
      <c r="Z28" s="91"/>
      <c r="AA28" s="91"/>
      <c r="AB28" s="91"/>
      <c r="AC28" s="87">
        <f t="shared" si="36"/>
        <v>0</v>
      </c>
      <c r="AD28" s="3040"/>
      <c r="AE28" s="92"/>
      <c r="AF28" s="1393"/>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2"/>
      <c r="C29" s="3034"/>
      <c r="D29" s="3035"/>
      <c r="E29" s="87">
        <f t="shared" si="33"/>
        <v>0</v>
      </c>
      <c r="F29" s="88"/>
      <c r="G29" s="89">
        <f t="shared" si="34"/>
        <v>0</v>
      </c>
      <c r="H29" s="90">
        <f t="shared" si="35"/>
        <v>0</v>
      </c>
      <c r="I29" s="3036"/>
      <c r="J29" s="91"/>
      <c r="K29" s="1393"/>
      <c r="L29" s="91"/>
      <c r="M29" s="3036"/>
      <c r="N29" s="91"/>
      <c r="O29" s="83"/>
      <c r="P29" s="91"/>
      <c r="Q29" s="91"/>
      <c r="R29" s="91"/>
      <c r="S29" s="91"/>
      <c r="T29" s="91"/>
      <c r="U29" s="91"/>
      <c r="V29" s="91"/>
      <c r="W29" s="91"/>
      <c r="X29" s="91"/>
      <c r="Y29" s="91"/>
      <c r="Z29" s="91"/>
      <c r="AA29" s="91"/>
      <c r="AB29" s="91"/>
      <c r="AC29" s="87">
        <f t="shared" si="36"/>
        <v>0</v>
      </c>
      <c r="AD29" s="3040"/>
      <c r="AE29" s="92"/>
      <c r="AF29" s="1393"/>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90"/>
      <c r="C30" s="3034"/>
      <c r="D30" s="3035"/>
      <c r="E30" s="87">
        <f t="shared" si="33"/>
        <v>0</v>
      </c>
      <c r="F30" s="88"/>
      <c r="G30" s="89">
        <f t="shared" si="34"/>
        <v>0</v>
      </c>
      <c r="H30" s="90">
        <f t="shared" si="35"/>
        <v>0</v>
      </c>
      <c r="I30" s="3036"/>
      <c r="J30" s="91"/>
      <c r="K30" s="1393"/>
      <c r="L30" s="91"/>
      <c r="M30" s="3036"/>
      <c r="N30" s="91"/>
      <c r="O30" s="83"/>
      <c r="P30" s="91"/>
      <c r="Q30" s="91"/>
      <c r="R30" s="91"/>
      <c r="S30" s="91"/>
      <c r="T30" s="91"/>
      <c r="U30" s="91"/>
      <c r="V30" s="91"/>
      <c r="W30" s="91"/>
      <c r="X30" s="91"/>
      <c r="Y30" s="91"/>
      <c r="Z30" s="91"/>
      <c r="AA30" s="91"/>
      <c r="AB30" s="91"/>
      <c r="AC30" s="87">
        <f t="shared" si="36"/>
        <v>0</v>
      </c>
      <c r="AD30" s="3040"/>
      <c r="AE30" s="92"/>
      <c r="AF30" s="1393"/>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90"/>
      <c r="C31" s="3034"/>
      <c r="D31" s="3035"/>
      <c r="E31" s="87">
        <f t="shared" si="33"/>
        <v>0</v>
      </c>
      <c r="F31" s="88"/>
      <c r="G31" s="89">
        <f t="shared" si="34"/>
        <v>0</v>
      </c>
      <c r="H31" s="90">
        <f t="shared" si="35"/>
        <v>0</v>
      </c>
      <c r="I31" s="3036"/>
      <c r="J31" s="91"/>
      <c r="K31" s="1393"/>
      <c r="L31" s="91"/>
      <c r="M31" s="3036"/>
      <c r="N31" s="91"/>
      <c r="O31" s="83"/>
      <c r="P31" s="91"/>
      <c r="Q31" s="91"/>
      <c r="R31" s="91"/>
      <c r="S31" s="91"/>
      <c r="T31" s="91"/>
      <c r="U31" s="91"/>
      <c r="V31" s="91"/>
      <c r="W31" s="91"/>
      <c r="X31" s="91"/>
      <c r="Y31" s="91"/>
      <c r="Z31" s="91"/>
      <c r="AA31" s="91"/>
      <c r="AB31" s="91"/>
      <c r="AC31" s="87">
        <f t="shared" si="36"/>
        <v>0</v>
      </c>
      <c r="AD31" s="3040"/>
      <c r="AE31" s="92"/>
      <c r="AF31" s="1393"/>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90"/>
      <c r="C32" s="3034"/>
      <c r="D32" s="3035"/>
      <c r="E32" s="87">
        <f t="shared" si="33"/>
        <v>0</v>
      </c>
      <c r="F32" s="88"/>
      <c r="G32" s="89">
        <f t="shared" si="34"/>
        <v>0</v>
      </c>
      <c r="H32" s="90">
        <f t="shared" si="35"/>
        <v>0</v>
      </c>
      <c r="I32" s="3036"/>
      <c r="J32" s="91"/>
      <c r="K32" s="1393"/>
      <c r="L32" s="91"/>
      <c r="M32" s="3036"/>
      <c r="N32" s="91"/>
      <c r="O32" s="83"/>
      <c r="P32" s="91"/>
      <c r="Q32" s="91"/>
      <c r="R32" s="91"/>
      <c r="S32" s="91"/>
      <c r="T32" s="91"/>
      <c r="U32" s="91"/>
      <c r="V32" s="91"/>
      <c r="W32" s="91"/>
      <c r="X32" s="91"/>
      <c r="Y32" s="91"/>
      <c r="Z32" s="91"/>
      <c r="AA32" s="91"/>
      <c r="AB32" s="91"/>
      <c r="AC32" s="87">
        <f t="shared" si="36"/>
        <v>0</v>
      </c>
      <c r="AD32" s="3040"/>
      <c r="AE32" s="92"/>
      <c r="AF32" s="1393"/>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90"/>
      <c r="C33" s="3034"/>
      <c r="D33" s="3035"/>
      <c r="E33" s="87">
        <f t="shared" si="33"/>
        <v>0</v>
      </c>
      <c r="F33" s="88"/>
      <c r="G33" s="89">
        <f t="shared" si="34"/>
        <v>0</v>
      </c>
      <c r="H33" s="90">
        <f t="shared" si="35"/>
        <v>0</v>
      </c>
      <c r="I33" s="3036"/>
      <c r="J33" s="91"/>
      <c r="K33" s="1393"/>
      <c r="L33" s="91"/>
      <c r="M33" s="3036"/>
      <c r="N33" s="91"/>
      <c r="O33" s="83"/>
      <c r="P33" s="91"/>
      <c r="Q33" s="91"/>
      <c r="R33" s="91"/>
      <c r="S33" s="91"/>
      <c r="T33" s="91"/>
      <c r="U33" s="91"/>
      <c r="V33" s="91"/>
      <c r="W33" s="91"/>
      <c r="X33" s="91"/>
      <c r="Y33" s="91"/>
      <c r="Z33" s="91"/>
      <c r="AA33" s="91"/>
      <c r="AB33" s="91"/>
      <c r="AC33" s="87">
        <f t="shared" si="36"/>
        <v>0</v>
      </c>
      <c r="AD33" s="3040"/>
      <c r="AE33" s="92"/>
      <c r="AF33" s="1393"/>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90"/>
      <c r="C34" s="3034"/>
      <c r="D34" s="3035"/>
      <c r="E34" s="87">
        <f t="shared" si="33"/>
        <v>0</v>
      </c>
      <c r="F34" s="88"/>
      <c r="G34" s="89">
        <f t="shared" si="34"/>
        <v>0</v>
      </c>
      <c r="H34" s="90">
        <f t="shared" si="35"/>
        <v>0</v>
      </c>
      <c r="I34" s="3036"/>
      <c r="J34" s="91"/>
      <c r="K34" s="1393"/>
      <c r="L34" s="91"/>
      <c r="M34" s="3036"/>
      <c r="N34" s="91"/>
      <c r="O34" s="83"/>
      <c r="P34" s="91"/>
      <c r="Q34" s="91"/>
      <c r="R34" s="91"/>
      <c r="S34" s="91"/>
      <c r="T34" s="91"/>
      <c r="U34" s="91"/>
      <c r="V34" s="91"/>
      <c r="W34" s="91"/>
      <c r="X34" s="91"/>
      <c r="Y34" s="91"/>
      <c r="Z34" s="91"/>
      <c r="AA34" s="91"/>
      <c r="AB34" s="91"/>
      <c r="AC34" s="87">
        <f t="shared" si="36"/>
        <v>0</v>
      </c>
      <c r="AD34" s="3040"/>
      <c r="AE34" s="92"/>
      <c r="AF34" s="1393"/>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90"/>
      <c r="C35" s="3034"/>
      <c r="D35" s="3035"/>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3"/>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90"/>
      <c r="C36" s="3034"/>
      <c r="D36" s="3035"/>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3"/>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90"/>
      <c r="C37" s="3034"/>
      <c r="D37" s="3035"/>
      <c r="E37" s="87">
        <f t="shared" si="33"/>
        <v>0</v>
      </c>
      <c r="F37" s="88"/>
      <c r="G37" s="89">
        <f t="shared" si="34"/>
        <v>0</v>
      </c>
      <c r="H37" s="90">
        <f t="shared" si="35"/>
        <v>0</v>
      </c>
      <c r="I37" s="1393"/>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3"/>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90"/>
      <c r="C38" s="3034"/>
      <c r="D38" s="3035"/>
      <c r="E38" s="87">
        <f t="shared" si="33"/>
        <v>0</v>
      </c>
      <c r="F38" s="88"/>
      <c r="G38" s="89">
        <f t="shared" si="34"/>
        <v>0</v>
      </c>
      <c r="H38" s="90">
        <f t="shared" si="35"/>
        <v>0</v>
      </c>
      <c r="I38" s="1393"/>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3"/>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90"/>
      <c r="C39" s="3034"/>
      <c r="D39" s="3035"/>
      <c r="E39" s="87">
        <f t="shared" si="33"/>
        <v>0</v>
      </c>
      <c r="F39" s="88"/>
      <c r="G39" s="89">
        <f t="shared" si="34"/>
        <v>0</v>
      </c>
      <c r="H39" s="90">
        <f t="shared" si="35"/>
        <v>0</v>
      </c>
      <c r="I39" s="1393"/>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3"/>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90"/>
      <c r="C40" s="3034"/>
      <c r="D40" s="3035"/>
      <c r="E40" s="87">
        <f t="shared" si="33"/>
        <v>0</v>
      </c>
      <c r="F40" s="88"/>
      <c r="G40" s="89">
        <f t="shared" si="34"/>
        <v>0</v>
      </c>
      <c r="H40" s="90">
        <f t="shared" si="35"/>
        <v>0</v>
      </c>
      <c r="I40" s="1393"/>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3"/>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90"/>
      <c r="C41" s="3034"/>
      <c r="D41" s="3035"/>
      <c r="E41" s="87">
        <f t="shared" si="33"/>
        <v>0</v>
      </c>
      <c r="F41" s="88"/>
      <c r="G41" s="89">
        <f t="shared" si="34"/>
        <v>0</v>
      </c>
      <c r="H41" s="90">
        <f t="shared" si="35"/>
        <v>0</v>
      </c>
      <c r="I41" s="1393"/>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3"/>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3034"/>
      <c r="D42" s="3035"/>
      <c r="E42" s="87">
        <f t="shared" si="33"/>
        <v>0</v>
      </c>
      <c r="F42" s="88"/>
      <c r="G42" s="89">
        <f t="shared" si="34"/>
        <v>0</v>
      </c>
      <c r="H42" s="90">
        <f t="shared" si="35"/>
        <v>0</v>
      </c>
      <c r="I42" s="1393"/>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3"/>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3034"/>
      <c r="D43" s="80"/>
      <c r="E43" s="87">
        <f t="shared" si="33"/>
        <v>0</v>
      </c>
      <c r="F43" s="88"/>
      <c r="G43" s="89">
        <f t="shared" si="34"/>
        <v>0</v>
      </c>
      <c r="H43" s="90">
        <f t="shared" si="35"/>
        <v>0</v>
      </c>
      <c r="I43" s="1393"/>
      <c r="J43" s="91"/>
      <c r="K43" s="1393"/>
      <c r="L43" s="91"/>
      <c r="M43" s="3036"/>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3034"/>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3034"/>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3034"/>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3034"/>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3034"/>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3034"/>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3034"/>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ht="14.4">
      <c r="A56" s="84"/>
      <c r="B56" s="85"/>
      <c r="C56" s="3207"/>
      <c r="D56" s="80"/>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ht="14.4">
      <c r="A57" s="84"/>
      <c r="B57" s="85"/>
      <c r="C57" s="3207"/>
      <c r="D57" s="80"/>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ht="14.4">
      <c r="A58" s="84"/>
      <c r="B58" s="85"/>
      <c r="C58" s="3207"/>
      <c r="D58" s="80"/>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46.8">
      <c r="A3" s="3292"/>
      <c r="B3" s="3292"/>
      <c r="C3" s="3292"/>
      <c r="D3" s="3293"/>
      <c r="E3" s="329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F19" sqref="F19"/>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4" t="s">
        <v>198</v>
      </c>
      <c r="B1" s="1980"/>
      <c r="C1" s="1980"/>
      <c r="D1" s="1980"/>
      <c r="E1" s="1980"/>
      <c r="F1" s="1980"/>
      <c r="G1" s="1980"/>
      <c r="H1" s="1980"/>
      <c r="I1" s="1980"/>
      <c r="J1" s="1980"/>
      <c r="K1" s="1980"/>
      <c r="L1" s="1980"/>
    </row>
    <row r="2" spans="1:16" ht="14.4">
      <c r="A2" s="3303" t="s">
        <v>199</v>
      </c>
      <c r="B2" s="3303"/>
      <c r="C2" s="3303"/>
      <c r="D2" s="1971" t="s">
        <v>200</v>
      </c>
      <c r="E2" s="106" t="s">
        <v>201</v>
      </c>
      <c r="F2" s="1980"/>
      <c r="G2" s="1197"/>
      <c r="H2" s="1198"/>
      <c r="I2" s="1199" t="s">
        <v>853</v>
      </c>
      <c r="J2" s="1980"/>
      <c r="K2" s="1980"/>
      <c r="L2" s="1980"/>
    </row>
    <row r="3" spans="1:16" ht="15" thickBot="1">
      <c r="A3" s="3304" t="s">
        <v>202</v>
      </c>
      <c r="B3" s="3304"/>
      <c r="C3" s="3304"/>
      <c r="D3" s="107">
        <f>'数据-基础表'!AY6</f>
        <v>2990</v>
      </c>
      <c r="E3" s="107">
        <f>'数据-基础表'!AZ5</f>
        <v>8970</v>
      </c>
      <c r="F3" s="1980"/>
      <c r="G3" s="279" t="s">
        <v>854</v>
      </c>
      <c r="H3" s="274" t="s">
        <v>855</v>
      </c>
      <c r="I3" s="1972">
        <f>ROUND('数据-基础表'!B3/'数据-基础表'!A3,2)</f>
        <v>3</v>
      </c>
      <c r="J3" s="1980"/>
      <c r="K3" s="1980"/>
      <c r="L3" s="1980"/>
    </row>
    <row r="4" spans="1:16" ht="14.4">
      <c r="A4" s="3305"/>
      <c r="B4" s="3306"/>
      <c r="C4" s="3307"/>
      <c r="D4" s="108" t="s">
        <v>200</v>
      </c>
      <c r="E4" s="109" t="s">
        <v>201</v>
      </c>
      <c r="F4" s="1980"/>
      <c r="G4" s="1200"/>
      <c r="H4" s="274" t="s">
        <v>856</v>
      </c>
      <c r="I4" s="1972">
        <f>ROUND(SUMIF('数据-基础表'!I9:AS9,"地上",'数据-基础表'!I5:AS5)/'数据-基础表'!A3,2)</f>
        <v>3</v>
      </c>
      <c r="J4" s="1980"/>
      <c r="K4" s="1980"/>
      <c r="L4" s="1980"/>
    </row>
    <row r="5" spans="1:16" ht="14.4">
      <c r="A5" s="110" t="s">
        <v>203</v>
      </c>
      <c r="B5" s="3308" t="s">
        <v>226</v>
      </c>
      <c r="C5" s="3308"/>
      <c r="D5" s="111">
        <f>ROUND($D$3*E5/$E$3,2)</f>
        <v>0</v>
      </c>
      <c r="E5" s="112">
        <f>SUMIF('数据-基础表'!$11:$11,"住宅",'数据-基础表'!$5:$5)</f>
        <v>0</v>
      </c>
      <c r="F5" s="1980"/>
      <c r="G5" s="279" t="s">
        <v>857</v>
      </c>
      <c r="H5" s="274" t="s">
        <v>855</v>
      </c>
      <c r="I5" s="1972">
        <f>ROUND(E31/D31,2)</f>
        <v>3</v>
      </c>
      <c r="J5" s="1980"/>
      <c r="K5" s="1980"/>
      <c r="L5" s="1980"/>
    </row>
    <row r="6" spans="1:16" ht="15" thickBot="1">
      <c r="A6" s="113"/>
      <c r="B6" s="3308" t="s">
        <v>204</v>
      </c>
      <c r="C6" s="3308"/>
      <c r="D6" s="111">
        <f>ROUND($D$3*E6/$E$3,2)</f>
        <v>2990</v>
      </c>
      <c r="E6" s="112">
        <f>E3-E5</f>
        <v>8970</v>
      </c>
      <c r="F6" s="1980"/>
      <c r="G6" s="1200"/>
      <c r="H6" s="274" t="s">
        <v>856</v>
      </c>
      <c r="I6" s="1972">
        <f>ROUND(F31/D31,2)</f>
        <v>3</v>
      </c>
      <c r="J6" s="1980"/>
      <c r="K6" s="1980"/>
      <c r="L6" s="1980"/>
    </row>
    <row r="7" spans="1:16" ht="14.4">
      <c r="A7" s="3300"/>
      <c r="B7" s="3301"/>
      <c r="C7" s="3302"/>
      <c r="D7" s="108" t="s">
        <v>200</v>
      </c>
      <c r="E7" s="114" t="s">
        <v>227</v>
      </c>
      <c r="F7" s="1980"/>
      <c r="G7" s="1155" t="s">
        <v>1642</v>
      </c>
      <c r="H7" s="1156"/>
      <c r="I7" s="1842">
        <f>I6</f>
        <v>3</v>
      </c>
      <c r="J7" s="1980"/>
      <c r="K7" s="1980"/>
      <c r="L7" s="1980"/>
    </row>
    <row r="8" spans="1:16" ht="14.4">
      <c r="A8" s="110" t="s">
        <v>205</v>
      </c>
      <c r="B8" s="115" t="s">
        <v>206</v>
      </c>
      <c r="C8" s="111" t="s">
        <v>207</v>
      </c>
      <c r="D8" s="111">
        <f t="shared" ref="D8:D15" si="0">ROUND($D$3*E8/$E$3,2)</f>
        <v>2990</v>
      </c>
      <c r="E8" s="116">
        <f>SUMIF('数据-基础表'!BB10:BK10,"地上",'数据-基础表'!BB5:BK5)</f>
        <v>8970</v>
      </c>
      <c r="F8" s="1980"/>
      <c r="G8" s="1982"/>
      <c r="H8" s="1982"/>
      <c r="I8" s="1980"/>
      <c r="J8" s="1980"/>
      <c r="K8" s="1980"/>
      <c r="L8" s="1980"/>
    </row>
    <row r="9" spans="1:16" ht="14.4">
      <c r="A9" s="117"/>
      <c r="B9" s="118"/>
      <c r="C9" s="111" t="s">
        <v>208</v>
      </c>
      <c r="D9" s="111">
        <f t="shared" si="0"/>
        <v>0</v>
      </c>
      <c r="E9" s="119">
        <v>0</v>
      </c>
      <c r="F9" s="1980"/>
      <c r="G9" s="1982"/>
      <c r="H9" s="1982"/>
      <c r="I9" s="1980"/>
      <c r="J9" s="1980"/>
      <c r="K9" s="1980"/>
      <c r="L9" s="1980"/>
    </row>
    <row r="10" spans="1:16" ht="14.4">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2333</v>
      </c>
      <c r="D13" s="111">
        <f t="shared" si="0"/>
        <v>0</v>
      </c>
      <c r="E13" s="116">
        <f>SUMPRODUCT(('数据-基础表'!BB10:BK10="地下")*('数据-基础表'!BB11:BK11="车库")*('数据-基础表'!BB5:BK5))</f>
        <v>0</v>
      </c>
      <c r="F13" s="1980"/>
      <c r="G13" s="1982"/>
      <c r="H13" s="1982"/>
      <c r="I13" s="1980"/>
      <c r="J13" s="1980"/>
      <c r="K13" s="1980"/>
      <c r="L13" s="1980"/>
    </row>
    <row r="14" spans="1:16" ht="14.4">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211</v>
      </c>
      <c r="D16" s="115">
        <f>SUM(D8:D15)</f>
        <v>2990</v>
      </c>
      <c r="E16" s="120">
        <f>SUM(E8:E15)</f>
        <v>8970</v>
      </c>
      <c r="F16" s="1980"/>
      <c r="G16" s="1982"/>
      <c r="H16" s="967" t="s">
        <v>215</v>
      </c>
      <c r="I16" s="968"/>
      <c r="J16" s="1980"/>
      <c r="K16" s="3294" t="s">
        <v>2566</v>
      </c>
      <c r="L16" s="3295"/>
      <c r="M16" s="3295"/>
      <c r="N16" s="3295"/>
      <c r="O16" s="3295"/>
      <c r="P16" s="3296"/>
    </row>
    <row r="17" spans="1:19" ht="14.4">
      <c r="A17" s="121" t="s">
        <v>212</v>
      </c>
      <c r="B17" s="122" t="s">
        <v>213</v>
      </c>
      <c r="C17" s="2294" t="s">
        <v>2312</v>
      </c>
      <c r="D17" s="108" t="s">
        <v>200</v>
      </c>
      <c r="E17" s="124" t="s">
        <v>201</v>
      </c>
      <c r="F17" s="125"/>
      <c r="G17" s="1364"/>
      <c r="H17" s="969" t="s">
        <v>214</v>
      </c>
      <c r="I17" s="970" t="s">
        <v>2311</v>
      </c>
      <c r="J17" s="1980"/>
      <c r="K17" s="3297" t="s">
        <v>2567</v>
      </c>
      <c r="L17" s="3298"/>
      <c r="M17" s="3299"/>
      <c r="N17" s="3297" t="s">
        <v>2568</v>
      </c>
      <c r="O17" s="3298"/>
      <c r="P17" s="3299"/>
      <c r="R17" s="2295" t="s">
        <v>2310</v>
      </c>
      <c r="S17" s="144"/>
    </row>
    <row r="18" spans="1:19" ht="14.4">
      <c r="A18" s="117"/>
      <c r="B18" s="128"/>
      <c r="C18" s="129"/>
      <c r="D18" s="2662"/>
      <c r="E18" s="130" t="s">
        <v>216</v>
      </c>
      <c r="F18" s="131" t="s">
        <v>217</v>
      </c>
      <c r="G18" s="1365" t="s">
        <v>218</v>
      </c>
      <c r="H18" s="971" t="s">
        <v>219</v>
      </c>
      <c r="I18" s="972" t="s">
        <v>220</v>
      </c>
      <c r="J18" s="1980"/>
      <c r="K18" s="2625" t="s">
        <v>2569</v>
      </c>
      <c r="L18" s="2626" t="s">
        <v>2570</v>
      </c>
      <c r="M18" s="2627" t="s">
        <v>2571</v>
      </c>
      <c r="N18" s="2625" t="s">
        <v>2569</v>
      </c>
      <c r="O18" s="2626" t="s">
        <v>2570</v>
      </c>
      <c r="P18" s="2627" t="s">
        <v>2571</v>
      </c>
      <c r="R18" s="2296" t="s">
        <v>2308</v>
      </c>
      <c r="S18" s="2296" t="s">
        <v>2309</v>
      </c>
    </row>
    <row r="19" spans="1:19" ht="14.4">
      <c r="A19" s="133"/>
      <c r="B19" s="115" t="s">
        <v>221</v>
      </c>
      <c r="C19" s="3042" t="s">
        <v>3126</v>
      </c>
      <c r="D19" s="111">
        <f t="shared" ref="D19:D26" si="1">ROUND($D$3*E19/$E$3,2)</f>
        <v>2990</v>
      </c>
      <c r="E19" s="134">
        <f t="shared" ref="E19:E26" si="2">SUM(F19:G19)</f>
        <v>8970</v>
      </c>
      <c r="F19" s="135">
        <f>'数据-基础表'!I5+'数据-基础表'!M5</f>
        <v>8970</v>
      </c>
      <c r="G19" s="1366">
        <v>0</v>
      </c>
      <c r="H19" s="973">
        <f>ROUND($D$3*I19/$E$3,2)</f>
        <v>0</v>
      </c>
      <c r="I19" s="116">
        <f>IF($I$17="自定义",P19,M19)</f>
        <v>0</v>
      </c>
      <c r="J19" s="1980"/>
      <c r="K19" s="2628">
        <f t="shared" ref="K19:K26" si="3">ROUND(E$28*E19/E$27,2)</f>
        <v>0</v>
      </c>
      <c r="L19" s="274">
        <f t="shared" ref="L19:L26" si="4">ROUND(IF(COUNTIF(C19,"*住宅*")&gt;0,E$29*E19/E$32,0),2)</f>
        <v>0</v>
      </c>
      <c r="M19" s="2629">
        <f>K19+L19</f>
        <v>0</v>
      </c>
      <c r="N19" s="2630"/>
      <c r="O19" s="2631"/>
      <c r="P19" s="2632">
        <f>N19+O19</f>
        <v>0</v>
      </c>
      <c r="R19" s="274">
        <f t="shared" ref="R19:S26" si="5">D19+H19</f>
        <v>2990</v>
      </c>
      <c r="S19" s="2297">
        <f t="shared" si="5"/>
        <v>8970</v>
      </c>
    </row>
    <row r="20" spans="1:19" ht="14.4">
      <c r="A20" s="138"/>
      <c r="B20" s="115" t="s">
        <v>222</v>
      </c>
      <c r="C20" s="3042"/>
      <c r="D20" s="111">
        <f t="shared" si="1"/>
        <v>0</v>
      </c>
      <c r="E20" s="134">
        <f t="shared" si="2"/>
        <v>0</v>
      </c>
      <c r="F20" s="135"/>
      <c r="G20" s="1366"/>
      <c r="H20" s="973">
        <f t="shared" ref="H20:H26" si="6">ROUND($D$3*I20/$E$3,2)</f>
        <v>0</v>
      </c>
      <c r="I20" s="116">
        <f t="shared" ref="I20:I26" si="7">IF($I$17="自定义",P20,M20)</f>
        <v>0</v>
      </c>
      <c r="J20" s="1980"/>
      <c r="K20" s="2628">
        <f t="shared" si="3"/>
        <v>0</v>
      </c>
      <c r="L20" s="274">
        <f t="shared" si="4"/>
        <v>0</v>
      </c>
      <c r="M20" s="2629">
        <f t="shared" ref="M20:M26" si="8">K20+L20</f>
        <v>0</v>
      </c>
      <c r="N20" s="2630"/>
      <c r="O20" s="2631"/>
      <c r="P20" s="2632">
        <f t="shared" ref="P20:P26" si="9">N20+O20</f>
        <v>0</v>
      </c>
      <c r="R20" s="274">
        <f t="shared" si="5"/>
        <v>0</v>
      </c>
      <c r="S20" s="2297">
        <f t="shared" si="5"/>
        <v>0</v>
      </c>
    </row>
    <row r="21" spans="1:19" ht="14.4">
      <c r="A21" s="138"/>
      <c r="B21" s="115" t="s">
        <v>222</v>
      </c>
      <c r="C21" s="3042"/>
      <c r="D21" s="111">
        <f t="shared" si="1"/>
        <v>0</v>
      </c>
      <c r="E21" s="134">
        <f t="shared" si="2"/>
        <v>0</v>
      </c>
      <c r="F21" s="135"/>
      <c r="G21" s="1366"/>
      <c r="H21" s="973">
        <f t="shared" si="6"/>
        <v>0</v>
      </c>
      <c r="I21" s="116">
        <f t="shared" si="7"/>
        <v>0</v>
      </c>
      <c r="J21" s="1980"/>
      <c r="K21" s="2628">
        <f t="shared" si="3"/>
        <v>0</v>
      </c>
      <c r="L21" s="274">
        <f t="shared" si="4"/>
        <v>0</v>
      </c>
      <c r="M21" s="2629">
        <f t="shared" si="8"/>
        <v>0</v>
      </c>
      <c r="N21" s="2630"/>
      <c r="O21" s="2631"/>
      <c r="P21" s="2632">
        <f t="shared" si="9"/>
        <v>0</v>
      </c>
      <c r="R21" s="274">
        <f t="shared" si="5"/>
        <v>0</v>
      </c>
      <c r="S21" s="2297">
        <f t="shared" si="5"/>
        <v>0</v>
      </c>
    </row>
    <row r="22" spans="1:19" ht="14.4">
      <c r="A22" s="138"/>
      <c r="B22" s="115" t="s">
        <v>222</v>
      </c>
      <c r="C22" s="3042"/>
      <c r="D22" s="111">
        <f t="shared" si="1"/>
        <v>0</v>
      </c>
      <c r="E22" s="134">
        <f t="shared" si="2"/>
        <v>0</v>
      </c>
      <c r="F22" s="140"/>
      <c r="G22" s="1367"/>
      <c r="H22" s="973">
        <f t="shared" si="6"/>
        <v>0</v>
      </c>
      <c r="I22" s="116">
        <f t="shared" si="7"/>
        <v>0</v>
      </c>
      <c r="J22" s="1980"/>
      <c r="K22" s="2628">
        <f t="shared" si="3"/>
        <v>0</v>
      </c>
      <c r="L22" s="274">
        <f t="shared" si="4"/>
        <v>0</v>
      </c>
      <c r="M22" s="2629">
        <f t="shared" si="8"/>
        <v>0</v>
      </c>
      <c r="N22" s="2630"/>
      <c r="O22" s="2631"/>
      <c r="P22" s="2632">
        <f t="shared" si="9"/>
        <v>0</v>
      </c>
      <c r="R22" s="274">
        <f t="shared" si="5"/>
        <v>0</v>
      </c>
      <c r="S22" s="2297">
        <f t="shared" si="5"/>
        <v>0</v>
      </c>
    </row>
    <row r="23" spans="1:19" ht="14.4">
      <c r="A23" s="138"/>
      <c r="B23" s="115" t="s">
        <v>222</v>
      </c>
      <c r="C23" s="3042"/>
      <c r="D23" s="111">
        <f>ROUND($D$3*E23/$E$3,2)</f>
        <v>0</v>
      </c>
      <c r="E23" s="134">
        <f>SUM(F23:G23)</f>
        <v>0</v>
      </c>
      <c r="F23" s="140"/>
      <c r="G23" s="1367"/>
      <c r="H23" s="973">
        <f>ROUND($D$3*I23/$E$3,2)</f>
        <v>0</v>
      </c>
      <c r="I23" s="116">
        <f t="shared" si="7"/>
        <v>0</v>
      </c>
      <c r="J23" s="1980"/>
      <c r="K23" s="2628">
        <f t="shared" si="3"/>
        <v>0</v>
      </c>
      <c r="L23" s="274">
        <f t="shared" si="4"/>
        <v>0</v>
      </c>
      <c r="M23" s="2629">
        <f t="shared" si="8"/>
        <v>0</v>
      </c>
      <c r="N23" s="2630"/>
      <c r="O23" s="2631"/>
      <c r="P23" s="2632">
        <f t="shared" si="9"/>
        <v>0</v>
      </c>
      <c r="R23" s="274">
        <f t="shared" si="5"/>
        <v>0</v>
      </c>
      <c r="S23" s="2297">
        <f t="shared" si="5"/>
        <v>0</v>
      </c>
    </row>
    <row r="24" spans="1:19" ht="14.4">
      <c r="A24" s="138"/>
      <c r="B24" s="115" t="s">
        <v>222</v>
      </c>
      <c r="C24" s="139"/>
      <c r="D24" s="111">
        <f>ROUND($D$3*E24/$E$3,2)</f>
        <v>0</v>
      </c>
      <c r="E24" s="134">
        <f>SUM(F24:G24)</f>
        <v>0</v>
      </c>
      <c r="F24" s="140"/>
      <c r="G24" s="1367"/>
      <c r="H24" s="973">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ht="14.4">
      <c r="A25" s="138"/>
      <c r="B25" s="115" t="s">
        <v>222</v>
      </c>
      <c r="C25" s="139"/>
      <c r="D25" s="111">
        <f t="shared" si="1"/>
        <v>0</v>
      </c>
      <c r="E25" s="134">
        <f t="shared" si="2"/>
        <v>0</v>
      </c>
      <c r="F25" s="140"/>
      <c r="G25" s="1367"/>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ht="14.4">
      <c r="A26" s="138"/>
      <c r="B26" s="115" t="s">
        <v>222</v>
      </c>
      <c r="C26" s="142"/>
      <c r="D26" s="111">
        <f t="shared" si="1"/>
        <v>0</v>
      </c>
      <c r="E26" s="134">
        <f t="shared" si="2"/>
        <v>0</v>
      </c>
      <c r="F26" s="140"/>
      <c r="G26" s="1367"/>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15" thickBot="1">
      <c r="A27" s="138"/>
      <c r="B27" s="111"/>
      <c r="C27" s="127" t="s">
        <v>211</v>
      </c>
      <c r="D27" s="134">
        <f>SUM(D19:D26)</f>
        <v>2990</v>
      </c>
      <c r="E27" s="143">
        <f>IF(SUM(E19:E26)='数据-基础表'!BA5,SUM(E19:E26),IF(F27="地上面积有误","面积有误","地下面积有误"))</f>
        <v>8970</v>
      </c>
      <c r="F27" s="134">
        <f>IF(SUM(F19:F26)=E8,SUM(F19:F26),"地上面积有误")</f>
        <v>8970</v>
      </c>
      <c r="G27" s="112">
        <f>SUM(G19:G26)</f>
        <v>0</v>
      </c>
      <c r="H27" s="974">
        <f>SUM(H19:H26)</f>
        <v>0</v>
      </c>
      <c r="I27" s="975">
        <f>SUM(I19:I26)</f>
        <v>0</v>
      </c>
      <c r="J27" s="1980"/>
      <c r="K27" s="2637">
        <f>SUM(K19:K26)</f>
        <v>0</v>
      </c>
      <c r="L27" s="2638">
        <f>SUM(L19:L26)</f>
        <v>0</v>
      </c>
      <c r="M27" s="2639">
        <f>SUM(M19:M26)</f>
        <v>0</v>
      </c>
      <c r="N27" s="2637">
        <f t="shared" ref="N27:O27" si="10">SUM(N19:N26)</f>
        <v>0</v>
      </c>
      <c r="O27" s="2638">
        <f t="shared" si="10"/>
        <v>0</v>
      </c>
      <c r="P27" s="2640">
        <f>SUM(P19:P26)</f>
        <v>0</v>
      </c>
      <c r="R27" s="2301">
        <f>IF(SUM(R19:R26)=$D$3,SUM(R19:R26),SUM(R19:R26)&amp;"误差"&amp;ROUND(SUM(R19:R26)-$D$3,2))</f>
        <v>2990</v>
      </c>
      <c r="S27" s="274">
        <f>IF(SUM(S19:S26)=$E$3,SUM(S19:S26),SUM(S19:S26)&amp;"误差"&amp;ROUND(SUM(S19:S26)-E3,2))</f>
        <v>8970</v>
      </c>
    </row>
    <row r="28" spans="1:19" ht="14.4">
      <c r="A28" s="138"/>
      <c r="B28" s="115" t="s">
        <v>223</v>
      </c>
      <c r="C28" s="136" t="s">
        <v>224</v>
      </c>
      <c r="D28" s="111">
        <f>ROUND($D$3*E28/$E$3,2)</f>
        <v>0</v>
      </c>
      <c r="E28" s="134">
        <f>SUM(F28:G28)</f>
        <v>0</v>
      </c>
      <c r="F28" s="144">
        <f>'数据-基础表'!BQ5+'数据-基础表'!BS5</f>
        <v>0</v>
      </c>
      <c r="G28" s="145">
        <f>'数据-基础表'!BR5+'数据-基础表'!BT5</f>
        <v>0</v>
      </c>
      <c r="H28" s="1980"/>
      <c r="I28" s="1980"/>
      <c r="J28" s="1980"/>
      <c r="K28" s="1980"/>
      <c r="L28" s="1980"/>
    </row>
    <row r="29" spans="1:19" ht="14.4">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ht="14.4">
      <c r="A30" s="138"/>
      <c r="B30" s="111"/>
      <c r="C30" s="147" t="s">
        <v>211</v>
      </c>
      <c r="D30" s="134">
        <f>SUM(D28:D29)</f>
        <v>0</v>
      </c>
      <c r="E30" s="134">
        <f>SUM(E28:E29)</f>
        <v>0</v>
      </c>
      <c r="F30" s="134">
        <f>SUM(F28:F29)</f>
        <v>0</v>
      </c>
      <c r="G30" s="112">
        <f>SUM(G28:G29)</f>
        <v>0</v>
      </c>
      <c r="H30" s="1980"/>
      <c r="I30" s="1980"/>
      <c r="J30" s="1980"/>
      <c r="K30" s="1980"/>
      <c r="L30" s="1980"/>
    </row>
    <row r="31" spans="1:19" ht="32.25" customHeight="1" thickBot="1">
      <c r="A31" s="1368"/>
      <c r="B31" s="1369" t="s">
        <v>225</v>
      </c>
      <c r="C31" s="2326" t="s">
        <v>2321</v>
      </c>
      <c r="D31" s="1370">
        <f>D27+D30</f>
        <v>2990</v>
      </c>
      <c r="E31" s="1370">
        <f>E27+E30</f>
        <v>8970</v>
      </c>
      <c r="F31" s="1371">
        <f>F27+F30</f>
        <v>8970</v>
      </c>
      <c r="G31" s="1372">
        <f>G27+G30</f>
        <v>0</v>
      </c>
      <c r="H31" s="1980"/>
      <c r="I31" s="1980"/>
      <c r="J31" s="1980"/>
      <c r="K31" s="1980"/>
      <c r="L31" s="1980"/>
    </row>
    <row r="32" spans="1:19" ht="14.4">
      <c r="A32" s="1980"/>
      <c r="B32" s="2359" t="s">
        <v>2320</v>
      </c>
      <c r="C32" s="2667"/>
      <c r="D32" s="1200"/>
      <c r="E32" s="1200">
        <f>SUMIF(C19:C26,"*住宅*",E19:E26)</f>
        <v>0</v>
      </c>
      <c r="F32" s="1200"/>
      <c r="G32" s="1200"/>
    </row>
    <row r="33" spans="4:6">
      <c r="D33" s="1984"/>
    </row>
    <row r="34" spans="4:6">
      <c r="D34" s="1981">
        <f>D3+'[1]数据-汇总表'!$D$3</f>
        <v>25900.16</v>
      </c>
    </row>
    <row r="35" spans="4:6">
      <c r="D35" s="1981">
        <f>E3+'[1]数据-汇总表'!$E$3</f>
        <v>76903.359999999986</v>
      </c>
      <c r="E35" s="1981">
        <f>D35+12074</f>
        <v>88977.359999999986</v>
      </c>
      <c r="F35" s="32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I8" sqref="I8"/>
    </sheetView>
  </sheetViews>
  <sheetFormatPr defaultColWidth="13.77734375" defaultRowHeight="13.2"/>
  <cols>
    <col min="1" max="1" width="20.88671875" style="1215" customWidth="1"/>
    <col min="2" max="3" width="12" style="1202" customWidth="1"/>
    <col min="4" max="4" width="9.109375" style="1216" customWidth="1"/>
    <col min="5" max="5" width="18.21875" style="1202"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4"/>
    <col min="42" max="42" width="0" style="1994" hidden="1" customWidth="1"/>
    <col min="43" max="83" width="13.77734375" style="1994"/>
    <col min="84" max="16384" width="13.77734375" style="1202"/>
  </cols>
  <sheetData>
    <row r="1" spans="1:83" ht="18" thickBot="1">
      <c r="A1" s="148" t="s">
        <v>230</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 thickBot="1">
      <c r="A2" s="149" t="s">
        <v>231</v>
      </c>
      <c r="B2" s="2334">
        <f>项目基本情况!D3</f>
        <v>43340</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4.4"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7.6">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8" t="s">
        <v>2827</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4">
      <c r="A6" s="2298" t="str">
        <f>'数据-汇总表'!C19</f>
        <v>办公</v>
      </c>
      <c r="B6" s="2333" t="str">
        <f>IF(A6=0,"","经营性")</f>
        <v>经营性</v>
      </c>
      <c r="C6" s="173" t="s">
        <v>1674</v>
      </c>
      <c r="D6" s="2304">
        <f>SUMIF(项目基本情况!D$15:I$15,C6,项目基本情况!D$18:I$18)</f>
        <v>50</v>
      </c>
      <c r="E6" s="2305">
        <f>IF(B6="","",SUMIF(项目基本情况!D$15:I$15,C6,项目基本情况!D$17:I$17))</f>
        <v>55631</v>
      </c>
      <c r="F6" s="174">
        <f>SUMIF(项目基本情况!D$15:I$15,C6,项目基本情况!D$19:I$19)</f>
        <v>33.67</v>
      </c>
      <c r="G6" s="175">
        <f>IF(ISERROR(ROUND(POWER(1+H6,D6-F6)*(POWER(1+H6,F6)-1)/(POWER(1+H6,D6)-1),3)),0,ROUND(POWER(1+H6,D6-F6)*(POWER(1+H6,F6)-1)/(POWER(1+H6,D6)-1),3))</f>
        <v>0.86899999999999999</v>
      </c>
      <c r="H6" s="176">
        <v>4.4999999999999998E-2</v>
      </c>
      <c r="I6" s="176">
        <v>0.05</v>
      </c>
      <c r="J6" s="176">
        <v>0.08</v>
      </c>
      <c r="K6" s="179">
        <f>SUMIF('数据-汇总表'!C$19:C$33,'数据-取费表'!A6,'数据-汇总表'!E$19:E$33)</f>
        <v>8970</v>
      </c>
      <c r="L6" s="3203">
        <v>2800</v>
      </c>
      <c r="M6" s="177">
        <f t="shared" ref="M6:M14" si="0">ROUND(K6*L6/10000,0)</f>
        <v>2512</v>
      </c>
      <c r="N6" s="3043">
        <v>0</v>
      </c>
      <c r="O6" s="177">
        <f>IF($N$5="成新度","——",ROUND(M6*N6,0))</f>
        <v>0</v>
      </c>
      <c r="P6" s="178">
        <f>IF($N$5="成新度","——",M6-O6)</f>
        <v>2512</v>
      </c>
      <c r="Q6" s="3044">
        <v>0.15</v>
      </c>
      <c r="R6" s="179">
        <f>SUMIF('数据-汇总表'!C$19:C$33,A6,'数据-汇总表'!R$19:R$33)</f>
        <v>2990</v>
      </c>
      <c r="S6" s="132">
        <f>IF('数据-汇总表'!$I$17="按面积比例",SUMIF('数据-汇总表'!C$19:C$33,A6,'数据-汇总表'!K$19:K$33),SUMIF('数据-汇总表'!C$19:C$33,A6,'数据-汇总表'!N$19:N$33))</f>
        <v>0</v>
      </c>
      <c r="T6" s="2230" t="str">
        <f>IF($T$4="按面积比例",IF(ISERROR(ROUND($M$14*S6/S$16,0)),"0",ROUND($M$14*S6/S$16,0)),"需自行计算录入")</f>
        <v>0</v>
      </c>
      <c r="U6" s="3210">
        <v>3.5</v>
      </c>
      <c r="V6" s="176">
        <v>0.03</v>
      </c>
      <c r="W6" s="176">
        <v>0.1</v>
      </c>
      <c r="X6" s="2317"/>
      <c r="Y6" s="182">
        <v>1</v>
      </c>
      <c r="Z6" s="183"/>
      <c r="AA6" s="176"/>
      <c r="AB6" s="176"/>
      <c r="AC6" s="2320"/>
      <c r="AD6" s="184"/>
      <c r="AE6" s="971">
        <f ca="1">IF(AN6="",0,SUMIF(INDIRECT("'"&amp;AN6&amp;"'"&amp;"!E:E"),$AE$5,INDIRECT("'"&amp;AN6&amp;"'"&amp;"!F:F")))</f>
        <v>31.67</v>
      </c>
      <c r="AF6" s="141"/>
      <c r="AG6" s="1212">
        <f>IF(AF6="",0,AE6-AF6)</f>
        <v>0</v>
      </c>
      <c r="AH6" s="141"/>
      <c r="AI6" s="187">
        <v>365</v>
      </c>
      <c r="AJ6" s="188"/>
      <c r="AK6" s="189">
        <v>1.4999999999999999E-2</v>
      </c>
      <c r="AL6" s="190">
        <v>1.5E-3</v>
      </c>
      <c r="AM6" s="3055">
        <v>0.01</v>
      </c>
      <c r="AN6" s="2412" t="s">
        <v>3128</v>
      </c>
      <c r="AO6" s="1996"/>
      <c r="AP6" s="1203">
        <f>ROUND(1-1/(1+H6)^F6,3)</f>
        <v>0.77300000000000002</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4">
      <c r="A7" s="2298">
        <f>'数据-汇总表'!C20</f>
        <v>0</v>
      </c>
      <c r="B7" s="2333" t="str">
        <f t="shared" ref="B7:B13" si="1">IF(A7=0,"","经营性")</f>
        <v/>
      </c>
      <c r="C7" s="173"/>
      <c r="D7" s="2304">
        <f>SUMIF(项目基本情况!D$15:I$15,C7,项目基本情况!D$18:I$18)</f>
        <v>0</v>
      </c>
      <c r="E7" s="2305"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176"/>
      <c r="I7" s="176"/>
      <c r="J7" s="176"/>
      <c r="K7" s="179">
        <f>SUMIF('数据-汇总表'!C$19:C$33,'数据-取费表'!A7,'数据-汇总表'!E$19:E$33)</f>
        <v>0</v>
      </c>
      <c r="L7" s="3203"/>
      <c r="M7" s="177">
        <f t="shared" si="0"/>
        <v>0</v>
      </c>
      <c r="N7" s="3043"/>
      <c r="O7" s="177">
        <f t="shared" ref="O7:O14" si="3">IF($N$5="成新度","——",ROUND(M7*N7,0))</f>
        <v>0</v>
      </c>
      <c r="P7" s="178">
        <f t="shared" ref="P7:P14" si="4">IF($N$5="成新度","——",M7-O7)</f>
        <v>0</v>
      </c>
      <c r="Q7" s="3044"/>
      <c r="R7" s="179">
        <f>SUMIF('数据-汇总表'!C$19:C$33,A7,'数据-汇总表'!R$19:R$33)</f>
        <v>0</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3"/>
      <c r="V7" s="176"/>
      <c r="W7" s="176"/>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3055"/>
      <c r="AN7" s="2412"/>
      <c r="AO7" s="1996"/>
      <c r="AP7" s="1203">
        <f t="shared" ref="AP7:AP13" si="8">ROUND(1-1/(1+H7)^F7,3)</f>
        <v>0</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4">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176"/>
      <c r="I8" s="176"/>
      <c r="J8" s="176"/>
      <c r="K8" s="179">
        <f>SUMIF('数据-汇总表'!C$19:C$33,'数据-取费表'!A8,'数据-汇总表'!E$19:E$33)</f>
        <v>0</v>
      </c>
      <c r="L8" s="3203"/>
      <c r="M8" s="177">
        <f>ROUND(K8*L8/10000,0)</f>
        <v>0</v>
      </c>
      <c r="N8" s="3043"/>
      <c r="O8" s="177">
        <f t="shared" si="3"/>
        <v>0</v>
      </c>
      <c r="P8" s="178">
        <f t="shared" si="4"/>
        <v>0</v>
      </c>
      <c r="Q8" s="3044"/>
      <c r="R8" s="179">
        <f>SUMIF('数据-汇总表'!C$19:C$33,A8,'数据-汇总表'!R$19:R$33)</f>
        <v>0</v>
      </c>
      <c r="S8" s="132">
        <f>IF('数据-汇总表'!$I$17="按面积比例",SUMIF('数据-汇总表'!C$19:C$33,A8,'数据-汇总表'!K$19:K$33),SUMIF('数据-汇总表'!C$19:C$33,A8,'数据-汇总表'!N$19:N$33))</f>
        <v>0</v>
      </c>
      <c r="T8" s="2230" t="str">
        <f t="shared" si="5"/>
        <v>0</v>
      </c>
      <c r="U8" s="183"/>
      <c r="V8" s="176"/>
      <c r="W8" s="176"/>
      <c r="X8" s="2317"/>
      <c r="Y8" s="182"/>
      <c r="Z8" s="183"/>
      <c r="AA8" s="176"/>
      <c r="AB8" s="176"/>
      <c r="AC8" s="2320"/>
      <c r="AD8" s="184"/>
      <c r="AE8" s="971">
        <f t="shared" ca="1" si="6"/>
        <v>0</v>
      </c>
      <c r="AF8" s="141"/>
      <c r="AG8" s="1212">
        <f t="shared" si="7"/>
        <v>0</v>
      </c>
      <c r="AH8" s="141"/>
      <c r="AI8" s="187"/>
      <c r="AJ8" s="188"/>
      <c r="AK8" s="189"/>
      <c r="AL8" s="190"/>
      <c r="AM8" s="3055"/>
      <c r="AN8" s="2412"/>
      <c r="AO8" s="1996"/>
      <c r="AP8" s="1203">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4">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204"/>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t="str">
        <f t="shared" si="5"/>
        <v>0</v>
      </c>
      <c r="U9" s="183"/>
      <c r="V9" s="176"/>
      <c r="W9" s="176"/>
      <c r="X9" s="2317"/>
      <c r="Y9" s="182"/>
      <c r="Z9" s="183"/>
      <c r="AA9" s="176"/>
      <c r="AB9" s="176"/>
      <c r="AC9" s="2320"/>
      <c r="AD9" s="184"/>
      <c r="AE9" s="971">
        <f t="shared" ca="1" si="6"/>
        <v>0</v>
      </c>
      <c r="AF9" s="141"/>
      <c r="AG9" s="1212">
        <f t="shared" si="7"/>
        <v>0</v>
      </c>
      <c r="AH9" s="141"/>
      <c r="AI9" s="187"/>
      <c r="AJ9" s="188"/>
      <c r="AK9" s="189"/>
      <c r="AL9" s="190"/>
      <c r="AM9" s="3055"/>
      <c r="AN9" s="2412"/>
      <c r="AO9" s="1996">
        <f>K9/35</f>
        <v>0</v>
      </c>
      <c r="AP9" s="1203">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04"/>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3"/>
      <c r="V10" s="176"/>
      <c r="W10" s="176"/>
      <c r="X10" s="2317"/>
      <c r="Y10" s="182"/>
      <c r="Z10" s="183"/>
      <c r="AA10" s="176"/>
      <c r="AB10" s="176"/>
      <c r="AC10" s="2320"/>
      <c r="AD10" s="184"/>
      <c r="AE10" s="971">
        <f t="shared" ca="1" si="6"/>
        <v>0</v>
      </c>
      <c r="AF10" s="141"/>
      <c r="AG10" s="1212">
        <f t="shared" si="7"/>
        <v>0</v>
      </c>
      <c r="AH10" s="141"/>
      <c r="AI10" s="187"/>
      <c r="AJ10" s="188"/>
      <c r="AK10" s="189"/>
      <c r="AL10" s="190"/>
      <c r="AM10" s="3055"/>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0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4"/>
      <c r="AA11" s="176"/>
      <c r="AB11" s="176"/>
      <c r="AC11" s="2320"/>
      <c r="AD11" s="184"/>
      <c r="AE11" s="971">
        <f t="shared" ca="1" si="6"/>
        <v>0</v>
      </c>
      <c r="AF11" s="141"/>
      <c r="AG11" s="1212">
        <f t="shared" si="7"/>
        <v>0</v>
      </c>
      <c r="AH11" s="141"/>
      <c r="AI11" s="187"/>
      <c r="AJ11" s="188"/>
      <c r="AK11" s="195"/>
      <c r="AL11" s="196"/>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0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4"/>
      <c r="AA12" s="176"/>
      <c r="AB12" s="176"/>
      <c r="AC12" s="2320"/>
      <c r="AD12" s="184"/>
      <c r="AE12" s="971">
        <f t="shared" ca="1" si="6"/>
        <v>0</v>
      </c>
      <c r="AF12" s="141"/>
      <c r="AG12" s="1212">
        <f t="shared" si="7"/>
        <v>0</v>
      </c>
      <c r="AH12" s="141"/>
      <c r="AI12" s="187"/>
      <c r="AJ12" s="188"/>
      <c r="AK12" s="195"/>
      <c r="AL12" s="196"/>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0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3.8">
      <c r="A14" s="2299" t="s">
        <v>2313</v>
      </c>
      <c r="B14" s="2302" t="s">
        <v>1676</v>
      </c>
      <c r="C14" s="2303" t="s">
        <v>2313</v>
      </c>
      <c r="D14" s="2304"/>
      <c r="E14" s="2305"/>
      <c r="F14" s="174"/>
      <c r="G14" s="175"/>
      <c r="H14" s="2306"/>
      <c r="I14" s="2306"/>
      <c r="J14" s="2306"/>
      <c r="K14" s="179">
        <f>SUMIF('数据-汇总表'!C$19:C$33,'数据-取费表'!A14,'数据-汇总表'!E$19:E$33)</f>
        <v>0</v>
      </c>
      <c r="L14" s="3204"/>
      <c r="M14" s="177">
        <f t="shared" si="0"/>
        <v>0</v>
      </c>
      <c r="N14" s="193"/>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8.8">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 thickBot="1">
      <c r="A16" s="197" t="s">
        <v>258</v>
      </c>
      <c r="B16" s="198"/>
      <c r="C16" s="199"/>
      <c r="D16" s="200"/>
      <c r="E16" s="198"/>
      <c r="F16" s="198"/>
      <c r="G16" s="201">
        <f>ROUND(SUMPRODUCT(G6:G13,K6:K13)/SUMPRODUCT((G6:G13&gt;0)*(K6:K13)),3)</f>
        <v>0.86899999999999999</v>
      </c>
      <c r="H16" s="202">
        <f>ROUND(SUMPRODUCT(H6:H13,K6:K13)/SUMPRODUCT((H6:H13&gt;0)*(K6:K13)),3)</f>
        <v>4.4999999999999998E-2</v>
      </c>
      <c r="I16" s="203"/>
      <c r="J16" s="203"/>
      <c r="K16" s="204">
        <f>SUM(K6:K15)</f>
        <v>8970</v>
      </c>
      <c r="L16" s="205">
        <f>ROUND(M16*10000/SUM(K6:K14),0)</f>
        <v>2800</v>
      </c>
      <c r="M16" s="205">
        <f>SUM(M6:M14)</f>
        <v>2512</v>
      </c>
      <c r="N16" s="206">
        <f>ROUND(SUMPRODUCT(M6:M14,N6:N14)/M16,3)</f>
        <v>0</v>
      </c>
      <c r="O16" s="205">
        <f>SUM(O6:O14)</f>
        <v>0</v>
      </c>
      <c r="P16" s="205">
        <f>SUM(P6:P14)</f>
        <v>2512</v>
      </c>
      <c r="Q16" s="207">
        <f>ROUND(SUMPRODUCT(Q6:Q13,K6:K13)/SUMPRODUCT((Q6:Q13&gt;0)*(K6:K13)),2)</f>
        <v>0.15</v>
      </c>
      <c r="R16" s="2307">
        <f>SUM(R6:R13)</f>
        <v>2990</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3">
        <f>ROUND(SUMPRODUCT(AP6:AP13,K6:K13)/SUMPRODUCT((AP6:AP13&gt;0)*(K6:K13)),3)</f>
        <v>0.77300000000000002</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8.8">
      <c r="A27" s="225" t="s">
        <v>2337</v>
      </c>
      <c r="B27" s="226">
        <v>160</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8.8">
      <c r="A28" s="227" t="s">
        <v>2338</v>
      </c>
      <c r="B28" s="228">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9.4"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8.8">
      <c r="A30" s="234" t="s">
        <v>269</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8.8">
      <c r="A31" s="227" t="s">
        <v>270</v>
      </c>
      <c r="B31" s="229">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9.4" thickBot="1">
      <c r="A32" s="236" t="s">
        <v>271</v>
      </c>
      <c r="B32" s="3200">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4">
      <c r="A33" s="225" t="s">
        <v>274</v>
      </c>
      <c r="B33" s="1375">
        <v>0.03</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275</v>
      </c>
      <c r="B34" s="232">
        <v>0</v>
      </c>
      <c r="C34" s="2361" t="s">
        <v>2894</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272</v>
      </c>
      <c r="B35" s="228">
        <f>B30</f>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2896</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276</v>
      </c>
      <c r="B37" s="235">
        <v>0.02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277</v>
      </c>
      <c r="B38" s="232">
        <v>0.02</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278</v>
      </c>
      <c r="B41" s="237">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8" t="s">
        <v>279</v>
      </c>
      <c r="B42" s="239">
        <v>0.05</v>
      </c>
      <c r="C42" s="311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8" t="s">
        <v>280</v>
      </c>
      <c r="B43" s="240">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281</v>
      </c>
      <c r="B44" s="241">
        <v>0.05</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282</v>
      </c>
      <c r="B45" s="239">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283</v>
      </c>
      <c r="B46" s="239">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0"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285</v>
      </c>
      <c r="B48" s="245">
        <v>0.03</v>
      </c>
      <c r="C48" s="3091"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1"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289</v>
      </c>
      <c r="B52" s="249">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290</v>
      </c>
      <c r="B53" s="250" t="s">
        <v>1406</v>
      </c>
      <c r="C53" s="3092" t="s">
        <v>2904</v>
      </c>
      <c r="D53" s="3093"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95" t="s">
        <v>2906</v>
      </c>
      <c r="B54" s="186"/>
      <c r="C54" s="1990">
        <v>30</v>
      </c>
      <c r="D54" s="3094"/>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95" t="s">
        <v>2907</v>
      </c>
      <c r="B55" s="186"/>
      <c r="C55" s="1990">
        <v>24</v>
      </c>
      <c r="D55" s="3094"/>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95" t="s">
        <v>2908</v>
      </c>
      <c r="B56" s="186"/>
      <c r="C56" s="1990">
        <v>18</v>
      </c>
      <c r="D56" s="3094"/>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95" t="s">
        <v>2909</v>
      </c>
      <c r="B57" s="186"/>
      <c r="C57" s="1990">
        <v>12</v>
      </c>
      <c r="D57" s="3094"/>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95" t="s">
        <v>2910</v>
      </c>
      <c r="B58" s="186"/>
      <c r="C58" s="1990">
        <v>3</v>
      </c>
      <c r="D58" s="3094"/>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95" t="s">
        <v>2911</v>
      </c>
      <c r="B59" s="186">
        <v>1.5</v>
      </c>
      <c r="C59" s="1990">
        <v>1.5</v>
      </c>
      <c r="D59" s="3094"/>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95" t="s">
        <v>2912</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95" t="s">
        <v>2913</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95" t="s">
        <v>2914</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6" t="s">
        <v>2915</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3" sqref="F13"/>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9" t="s">
        <v>1660</v>
      </c>
      <c r="B1" s="3310"/>
      <c r="C1" s="3310"/>
      <c r="D1" s="3310"/>
      <c r="E1" s="3310"/>
      <c r="F1" s="3310"/>
      <c r="G1" s="3310"/>
      <c r="H1" s="1998"/>
      <c r="I1" s="1999"/>
      <c r="J1" s="2000"/>
      <c r="K1" s="1998"/>
      <c r="L1" s="1999"/>
      <c r="M1" s="2000"/>
      <c r="N1" s="1998"/>
      <c r="O1" s="1999"/>
      <c r="P1" s="2000"/>
      <c r="Q1" s="2001"/>
      <c r="R1" s="2002"/>
    </row>
    <row r="2" spans="1:18" ht="15" thickBot="1">
      <c r="A2" s="1220"/>
      <c r="B2" s="1221"/>
      <c r="C2" s="1222" t="s">
        <v>1661</v>
      </c>
      <c r="D2" s="1223"/>
      <c r="E2" s="1224"/>
      <c r="F2" s="1225"/>
      <c r="G2" s="1222" t="s">
        <v>1662</v>
      </c>
      <c r="H2" s="2004"/>
      <c r="I2" s="2004"/>
      <c r="J2" s="2004"/>
      <c r="K2" s="2004"/>
      <c r="L2" s="2004"/>
      <c r="M2" s="2004"/>
      <c r="N2" s="2004"/>
      <c r="O2" s="2004"/>
      <c r="P2" s="2004"/>
      <c r="Q2" s="2004"/>
      <c r="R2" s="2004"/>
    </row>
    <row r="3" spans="1:18" ht="43.2">
      <c r="A3" s="1226" t="s">
        <v>1663</v>
      </c>
      <c r="B3" s="1227" t="s">
        <v>1650</v>
      </c>
      <c r="C3" s="3179"/>
      <c r="D3" s="2005"/>
      <c r="E3" s="1228" t="s">
        <v>1663</v>
      </c>
      <c r="F3" s="1229" t="s">
        <v>1651</v>
      </c>
      <c r="G3" s="3098" t="s">
        <v>3115</v>
      </c>
      <c r="H3" s="2004"/>
      <c r="I3" s="2004"/>
      <c r="J3" s="2004"/>
      <c r="K3" s="2004"/>
      <c r="L3" s="2004"/>
      <c r="M3" s="2004"/>
      <c r="N3" s="2004"/>
      <c r="O3" s="2004"/>
      <c r="P3" s="2004"/>
      <c r="Q3" s="2004"/>
      <c r="R3" s="2004"/>
    </row>
    <row r="4" spans="1:18" ht="57.6">
      <c r="A4" s="1228"/>
      <c r="B4" s="1230" t="s">
        <v>1664</v>
      </c>
      <c r="C4" s="3097"/>
      <c r="D4" s="2005"/>
      <c r="E4" s="1231"/>
      <c r="F4" s="1232" t="s">
        <v>1665</v>
      </c>
      <c r="G4" s="3181" t="s">
        <v>3116</v>
      </c>
      <c r="H4" s="2004"/>
      <c r="I4" s="2004"/>
      <c r="J4" s="2004"/>
      <c r="K4" s="2004"/>
      <c r="L4" s="2004"/>
      <c r="M4" s="2004"/>
      <c r="N4" s="2004"/>
      <c r="O4" s="2004"/>
      <c r="P4" s="2004"/>
      <c r="Q4" s="2004"/>
      <c r="R4" s="2004"/>
    </row>
    <row r="5" spans="1:18" ht="28.8">
      <c r="A5" s="1228"/>
      <c r="B5" s="1230" t="s">
        <v>1666</v>
      </c>
      <c r="C5" s="3217" t="s">
        <v>3202</v>
      </c>
      <c r="D5" s="2005"/>
      <c r="E5" s="1231"/>
      <c r="F5" s="1230" t="s">
        <v>2546</v>
      </c>
      <c r="G5" s="3181" t="s">
        <v>3117</v>
      </c>
      <c r="H5" s="2004"/>
      <c r="I5" s="2004"/>
      <c r="J5" s="2004"/>
      <c r="K5" s="2004"/>
      <c r="L5" s="2004"/>
      <c r="M5" s="2004"/>
      <c r="N5" s="2004"/>
      <c r="O5" s="2004"/>
      <c r="P5" s="2004"/>
      <c r="Q5" s="2004"/>
      <c r="R5" s="2004"/>
    </row>
    <row r="6" spans="1:18">
      <c r="A6" s="1228"/>
      <c r="B6" s="1230" t="s">
        <v>1652</v>
      </c>
      <c r="C6" s="3181" t="s">
        <v>3203</v>
      </c>
      <c r="D6" s="2005"/>
      <c r="E6" s="1231"/>
      <c r="F6" s="1230" t="s">
        <v>2547</v>
      </c>
      <c r="G6" s="3181" t="s">
        <v>3118</v>
      </c>
      <c r="H6" s="2004"/>
      <c r="I6" s="2004"/>
      <c r="J6" s="2004"/>
      <c r="K6" s="2004"/>
      <c r="L6" s="2004"/>
      <c r="M6" s="2004"/>
      <c r="N6" s="2004"/>
      <c r="O6" s="2004"/>
      <c r="P6" s="2004"/>
      <c r="Q6" s="2004"/>
      <c r="R6" s="2004"/>
    </row>
    <row r="7" spans="1:18" ht="43.8" thickBot="1">
      <c r="A7" s="1228"/>
      <c r="B7" s="1230" t="s">
        <v>2546</v>
      </c>
      <c r="C7" s="3181" t="s">
        <v>3204</v>
      </c>
      <c r="D7" s="2006"/>
      <c r="E7" s="1233"/>
      <c r="F7" s="1234" t="s">
        <v>1667</v>
      </c>
      <c r="G7" s="3208" t="s">
        <v>3119</v>
      </c>
      <c r="H7" s="2004"/>
      <c r="I7" s="2004"/>
      <c r="J7" s="2004"/>
      <c r="K7" s="2004"/>
      <c r="L7" s="2004"/>
      <c r="M7" s="2004"/>
      <c r="N7" s="2004"/>
      <c r="O7" s="2004"/>
      <c r="P7" s="2004"/>
      <c r="Q7" s="2004"/>
      <c r="R7" s="2004"/>
    </row>
    <row r="8" spans="1:18">
      <c r="A8" s="1228"/>
      <c r="B8" s="1230" t="s">
        <v>2547</v>
      </c>
      <c r="C8" s="3218" t="s">
        <v>3205</v>
      </c>
      <c r="D8" s="2006"/>
      <c r="E8" s="2006"/>
      <c r="F8" s="1549"/>
      <c r="G8" s="1549"/>
      <c r="H8" s="2004"/>
      <c r="I8" s="2004"/>
      <c r="J8" s="2004"/>
      <c r="K8" s="2004"/>
      <c r="L8" s="2004"/>
      <c r="M8" s="2004"/>
      <c r="N8" s="2004"/>
      <c r="O8" s="2004"/>
      <c r="P8" s="2004"/>
      <c r="Q8" s="2004"/>
      <c r="R8" s="2004"/>
    </row>
    <row r="9" spans="1:18">
      <c r="A9" s="1228"/>
      <c r="B9" s="1230" t="s">
        <v>1653</v>
      </c>
      <c r="C9" s="3184" t="s">
        <v>3206</v>
      </c>
      <c r="D9" s="2005"/>
      <c r="E9" s="2006"/>
      <c r="F9" s="1549"/>
      <c r="G9" s="1549"/>
      <c r="H9" s="2004"/>
      <c r="I9" s="2004"/>
      <c r="J9" s="2004"/>
      <c r="K9" s="2004"/>
      <c r="L9" s="2004"/>
      <c r="M9" s="2004"/>
      <c r="N9" s="2004"/>
      <c r="O9" s="2004"/>
      <c r="P9" s="2004"/>
      <c r="Q9" s="2004"/>
      <c r="R9" s="2004"/>
    </row>
    <row r="10" spans="1:18" s="2012" customFormat="1" ht="15" thickBot="1">
      <c r="A10" s="1235"/>
      <c r="B10" s="1236" t="s">
        <v>1668</v>
      </c>
      <c r="C10" s="3219" t="s">
        <v>3207</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1669</v>
      </c>
      <c r="B13" s="2598"/>
      <c r="C13" s="2598"/>
      <c r="D13" s="1223"/>
      <c r="E13" s="2598"/>
      <c r="F13" s="2598"/>
      <c r="G13" s="2598"/>
    </row>
    <row r="14" spans="1:18" ht="15" thickBot="1">
      <c r="A14" s="1237"/>
      <c r="B14" s="1238"/>
      <c r="C14" s="1239" t="s">
        <v>1661</v>
      </c>
      <c r="D14" s="2005"/>
      <c r="E14" s="1240"/>
      <c r="F14" s="1240"/>
      <c r="G14" s="1222" t="s">
        <v>1662</v>
      </c>
    </row>
    <row r="15" spans="1:18" ht="43.2">
      <c r="A15" s="2608" t="s">
        <v>1654</v>
      </c>
      <c r="B15" s="1241" t="s">
        <v>1650</v>
      </c>
      <c r="C15" s="1242">
        <f>C3</f>
        <v>0</v>
      </c>
      <c r="D15" s="2005"/>
      <c r="E15" s="2605" t="s">
        <v>1655</v>
      </c>
      <c r="F15" s="1241" t="s">
        <v>1670</v>
      </c>
      <c r="G15" s="1243" t="str">
        <f>G3</f>
        <v>估价对象位于顺义区明珠大街75号，周边工业项目较少，产业集聚程度较差</v>
      </c>
    </row>
    <row r="16" spans="1:18" ht="57.6">
      <c r="A16" s="2609"/>
      <c r="B16" s="1244" t="s">
        <v>1664</v>
      </c>
      <c r="C16" s="1245">
        <f>C4</f>
        <v>0</v>
      </c>
      <c r="D16" s="2005"/>
      <c r="E16" s="2606"/>
      <c r="F16" s="1246" t="s">
        <v>1665</v>
      </c>
      <c r="G16" s="1004" t="str">
        <f>G4</f>
        <v>估价对象周边道路状况、公共交通通达情况：882、顺18、停车便捷程度较好，综合评价交通便捷度较差</v>
      </c>
    </row>
    <row r="17" spans="1:7">
      <c r="A17" s="2609"/>
      <c r="B17" s="1244" t="s">
        <v>1666</v>
      </c>
      <c r="C17" s="1245" t="str">
        <f>C5</f>
        <v>办公集聚程度一般</v>
      </c>
      <c r="D17" s="2006"/>
      <c r="E17" s="2606"/>
      <c r="F17" s="1246" t="s">
        <v>1671</v>
      </c>
      <c r="G17" s="2814"/>
    </row>
    <row r="18" spans="1:7" ht="43.2">
      <c r="A18" s="2609"/>
      <c r="B18" s="1246" t="s">
        <v>1652</v>
      </c>
      <c r="C18" s="1004" t="str">
        <f>C6</f>
        <v>交通便捷度较差</v>
      </c>
      <c r="D18" s="2006"/>
      <c r="E18" s="2606"/>
      <c r="F18" s="1246" t="s">
        <v>1667</v>
      </c>
      <c r="G18" s="1004" t="str">
        <f>G7</f>
        <v>该园区内是否有污染型企业，绿化情况，卫生条件，整体环境状况判断一般</v>
      </c>
    </row>
    <row r="19" spans="1:7" ht="28.8">
      <c r="A19" s="2609"/>
      <c r="B19" s="1246" t="s">
        <v>1656</v>
      </c>
      <c r="C19" s="2814"/>
      <c r="D19" s="2005"/>
      <c r="E19" s="2606"/>
      <c r="F19" s="1230" t="s">
        <v>2546</v>
      </c>
      <c r="G19" s="1004" t="str">
        <f>G5</f>
        <v>估价对象所在区域公共配套设施齐备情况较差</v>
      </c>
    </row>
    <row r="20" spans="1:7">
      <c r="A20" s="2609"/>
      <c r="B20" s="1246" t="s">
        <v>1657</v>
      </c>
      <c r="C20" s="1245" t="str">
        <f>C9</f>
        <v>自然人文环境较差</v>
      </c>
      <c r="D20" s="2006"/>
      <c r="E20" s="2606"/>
      <c r="F20" s="1230" t="s">
        <v>2547</v>
      </c>
      <c r="G20" s="1004" t="str">
        <f>G6</f>
        <v>七通</v>
      </c>
    </row>
    <row r="21" spans="1:7">
      <c r="A21" s="2609"/>
      <c r="B21" s="1230" t="s">
        <v>2546</v>
      </c>
      <c r="C21" s="1004" t="str">
        <f>C7</f>
        <v>公共配套设施齐备度较差</v>
      </c>
      <c r="D21" s="2005"/>
      <c r="E21" s="2606"/>
      <c r="F21" s="1246" t="s">
        <v>1658</v>
      </c>
      <c r="G21" s="3099" t="s">
        <v>3072</v>
      </c>
    </row>
    <row r="22" spans="1:7">
      <c r="A22" s="2609"/>
      <c r="B22" s="1230" t="s">
        <v>2547</v>
      </c>
      <c r="C22" s="1004" t="str">
        <f>C8</f>
        <v>七通</v>
      </c>
      <c r="D22" s="2005"/>
      <c r="E22" s="2606"/>
      <c r="F22" s="1246" t="s">
        <v>1668</v>
      </c>
      <c r="G22" s="2814" t="s">
        <v>3120</v>
      </c>
    </row>
    <row r="23" spans="1:7" ht="15" thickBot="1">
      <c r="A23" s="2609"/>
      <c r="B23" s="1246" t="s">
        <v>1658</v>
      </c>
      <c r="C23" s="3099"/>
      <c r="E23" s="2607"/>
      <c r="F23" s="1247" t="s">
        <v>1672</v>
      </c>
      <c r="G23" s="3100"/>
    </row>
    <row r="24" spans="1:7" ht="15" thickBot="1">
      <c r="A24" s="2610"/>
      <c r="B24" s="1247" t="s">
        <v>1659</v>
      </c>
      <c r="C24" s="1248" t="str">
        <f>C10</f>
        <v>旧忠路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9" sqref="C19"/>
    </sheetView>
  </sheetViews>
  <sheetFormatPr defaultColWidth="14.6640625" defaultRowHeight="14.4"/>
  <cols>
    <col min="1" max="1" width="24.33203125" customWidth="1"/>
  </cols>
  <sheetData>
    <row r="1" spans="1:9" ht="15.6">
      <c r="A1" s="3061" t="s">
        <v>2843</v>
      </c>
      <c r="B1" s="3061">
        <f>SUM(B14:B23)</f>
        <v>45588.959999999999</v>
      </c>
      <c r="C1" s="3062"/>
      <c r="D1" s="3062"/>
      <c r="E1" s="3062"/>
      <c r="F1" s="3062"/>
    </row>
    <row r="2" spans="1:9" ht="15.6">
      <c r="A2" s="3061" t="s">
        <v>2844</v>
      </c>
      <c r="B2" s="3061">
        <f>SUM(C14:C23)</f>
        <v>15196.32</v>
      </c>
      <c r="C2" s="3062"/>
      <c r="D2" s="3062"/>
      <c r="E2" s="3062"/>
      <c r="F2" s="3062"/>
    </row>
    <row r="3" spans="1:9" ht="15.6">
      <c r="A3" s="3061" t="s">
        <v>2845</v>
      </c>
      <c r="B3" s="3063">
        <f>项目基本情况!D3</f>
        <v>43340</v>
      </c>
      <c r="C3" s="3062"/>
      <c r="D3" s="3062"/>
      <c r="E3" s="3062"/>
      <c r="F3" s="3062"/>
    </row>
    <row r="4" spans="1:9" ht="31.2">
      <c r="A4" s="3061" t="s">
        <v>2846</v>
      </c>
      <c r="B4" s="3061" t="s">
        <v>2847</v>
      </c>
      <c r="C4" s="3061" t="s">
        <v>2848</v>
      </c>
      <c r="D4" s="3061" t="s">
        <v>2849</v>
      </c>
      <c r="E4" s="3062"/>
      <c r="F4" s="3062"/>
    </row>
    <row r="5" spans="1:9" ht="15.6">
      <c r="A5" s="3061" t="s">
        <v>2850</v>
      </c>
      <c r="B5" s="3061">
        <f ca="1">SUM(D14:D23)</f>
        <v>52841</v>
      </c>
      <c r="C5" s="3061">
        <f ca="1">ROUND(B5*10000/$B$1,0)</f>
        <v>11591</v>
      </c>
      <c r="D5" s="3061">
        <f ca="1">ROUND(B5*10000/$B$2,0)</f>
        <v>34772</v>
      </c>
      <c r="E5" s="3062"/>
      <c r="F5" s="3062"/>
    </row>
    <row r="6" spans="1:9" ht="15.6">
      <c r="A6" s="3061" t="s">
        <v>2851</v>
      </c>
      <c r="B6" s="3061">
        <f ca="1">SUM(G14:G23)</f>
        <v>29773</v>
      </c>
      <c r="C6" s="3061">
        <f t="shared" ref="C6:C8" ca="1" si="0">ROUND(B6*10000/$B$1,0)</f>
        <v>6531</v>
      </c>
      <c r="D6" s="3061">
        <f t="shared" ref="D6:D8" ca="1" si="1">ROUND(B6*10000/$B$2,0)</f>
        <v>19592</v>
      </c>
      <c r="E6" s="3062"/>
      <c r="F6" s="3062"/>
    </row>
    <row r="7" spans="1:9" ht="15.6">
      <c r="A7" s="3061" t="s">
        <v>2852</v>
      </c>
      <c r="B7" s="3061">
        <f>SUM(H14:H23)</f>
        <v>0</v>
      </c>
      <c r="C7" s="3061">
        <f t="shared" si="0"/>
        <v>0</v>
      </c>
      <c r="D7" s="3061">
        <f t="shared" si="1"/>
        <v>0</v>
      </c>
      <c r="E7" s="3062"/>
      <c r="F7" s="3062"/>
    </row>
    <row r="8" spans="1:9" ht="15.6">
      <c r="A8" s="3061" t="s">
        <v>2853</v>
      </c>
      <c r="B8" s="3061">
        <f>SUM(I14:I23)</f>
        <v>0</v>
      </c>
      <c r="C8" s="3061">
        <f t="shared" si="0"/>
        <v>0</v>
      </c>
      <c r="D8" s="3061">
        <f t="shared" si="1"/>
        <v>0</v>
      </c>
      <c r="E8" s="3062"/>
      <c r="F8" s="3062"/>
    </row>
    <row r="9" spans="1:9" ht="15.6">
      <c r="A9" s="3061" t="s">
        <v>2854</v>
      </c>
      <c r="B9" s="3064"/>
      <c r="C9" s="3062"/>
      <c r="D9" s="3062"/>
      <c r="E9" s="3062"/>
      <c r="F9" s="3062"/>
    </row>
    <row r="10" spans="1:9" ht="15.6">
      <c r="A10" s="3061" t="s">
        <v>2855</v>
      </c>
      <c r="B10" s="3064"/>
      <c r="C10" s="3062"/>
      <c r="D10" s="3062"/>
      <c r="E10" s="3062"/>
      <c r="F10" s="3062"/>
    </row>
    <row r="11" spans="1:9" ht="15.6">
      <c r="A11" s="3061" t="s">
        <v>2872</v>
      </c>
      <c r="B11" s="3064"/>
      <c r="C11" s="3062"/>
      <c r="D11" s="3062"/>
      <c r="E11" s="3062"/>
      <c r="F11" s="3062"/>
    </row>
    <row r="12" spans="1:9" ht="15.6">
      <c r="A12" s="3062"/>
      <c r="B12" s="3062"/>
      <c r="C12" s="3062"/>
      <c r="D12" s="3062"/>
      <c r="E12" s="3062"/>
      <c r="F12" s="3062"/>
    </row>
    <row r="13" spans="1:9" ht="31.2">
      <c r="A13" s="3067" t="s">
        <v>2871</v>
      </c>
      <c r="B13" s="3065" t="s">
        <v>2843</v>
      </c>
      <c r="C13" s="3065" t="s">
        <v>2844</v>
      </c>
      <c r="D13" s="3065" t="s">
        <v>2856</v>
      </c>
      <c r="E13" s="3061" t="s">
        <v>2870</v>
      </c>
      <c r="F13" s="3061" t="s">
        <v>2849</v>
      </c>
      <c r="G13" s="3065" t="s">
        <v>2857</v>
      </c>
      <c r="H13" s="3065" t="s">
        <v>2858</v>
      </c>
      <c r="I13" s="3065" t="s">
        <v>2859</v>
      </c>
    </row>
    <row r="14" spans="1:9" ht="15.6">
      <c r="A14" s="3068" t="s">
        <v>2869</v>
      </c>
      <c r="B14" s="3065">
        <f>结果表!L38</f>
        <v>8970</v>
      </c>
      <c r="C14" s="3065">
        <f>结果表!K38</f>
        <v>2990</v>
      </c>
      <c r="D14" s="3065">
        <f ca="1">结果表!C42</f>
        <v>10488</v>
      </c>
      <c r="E14" s="3065">
        <f ca="1">ROUND(D14*10000/B14,0)</f>
        <v>11692</v>
      </c>
      <c r="F14" s="3065">
        <f ca="1">ROUND(D14*10000/C14,0)</f>
        <v>35077</v>
      </c>
      <c r="G14" s="3065">
        <f ca="1">结果表!C44</f>
        <v>5933</v>
      </c>
      <c r="H14" s="3065" t="str">
        <f>结果表!C45</f>
        <v>——</v>
      </c>
      <c r="I14" s="3065" t="str">
        <f>结果表!C46</f>
        <v>——</v>
      </c>
    </row>
    <row r="15" spans="1:9" ht="15.6">
      <c r="A15" s="3068" t="s">
        <v>2860</v>
      </c>
      <c r="B15" s="3069">
        <f>[2]结果表!$L$38</f>
        <v>19890</v>
      </c>
      <c r="C15" s="3069">
        <f>[2]结果表!$K$38</f>
        <v>6630</v>
      </c>
      <c r="D15" s="3069">
        <f ca="1">[2]结果表!$C$42</f>
        <v>23090</v>
      </c>
      <c r="E15" s="3065">
        <f t="shared" ref="E15:E23" ca="1" si="2">ROUND(D15*10000/B15,0)</f>
        <v>11609</v>
      </c>
      <c r="F15" s="3065">
        <f t="shared" ref="F15:F23" ca="1" si="3">ROUND(D15*10000/C15,0)</f>
        <v>34827</v>
      </c>
      <c r="G15" s="3066">
        <f ca="1">[2]结果表!$C$44</f>
        <v>12989</v>
      </c>
      <c r="H15" s="3066"/>
      <c r="I15" s="3069"/>
    </row>
    <row r="16" spans="1:9" ht="15.6">
      <c r="A16" s="3068" t="s">
        <v>2861</v>
      </c>
      <c r="B16" s="3069">
        <f>[3]结果表!$L$38</f>
        <v>16728.96</v>
      </c>
      <c r="C16" s="3069">
        <f>[3]结果表!$K$38</f>
        <v>5576.32</v>
      </c>
      <c r="D16" s="3069">
        <f ca="1">[3]结果表!$C$42</f>
        <v>19263</v>
      </c>
      <c r="E16" s="3065">
        <f t="shared" ca="1" si="2"/>
        <v>11515</v>
      </c>
      <c r="F16" s="3065">
        <f t="shared" ca="1" si="3"/>
        <v>34544</v>
      </c>
      <c r="G16" s="3066">
        <f ca="1">[3]结果表!$C$44</f>
        <v>10851</v>
      </c>
      <c r="H16" s="3066"/>
      <c r="I16" s="3069"/>
    </row>
    <row r="17" spans="1:9" ht="15.6">
      <c r="A17" s="3068" t="s">
        <v>2862</v>
      </c>
      <c r="B17" s="3069"/>
      <c r="C17" s="3069"/>
      <c r="D17" s="3069"/>
      <c r="E17" s="3065" t="e">
        <f t="shared" si="2"/>
        <v>#DIV/0!</v>
      </c>
      <c r="F17" s="3065" t="e">
        <f t="shared" si="3"/>
        <v>#DIV/0!</v>
      </c>
      <c r="G17" s="3066"/>
      <c r="H17" s="3066"/>
      <c r="I17" s="3069"/>
    </row>
    <row r="18" spans="1:9" ht="15.6">
      <c r="A18" s="3068" t="s">
        <v>2863</v>
      </c>
      <c r="B18" s="3069"/>
      <c r="C18" s="3069"/>
      <c r="D18" s="3069"/>
      <c r="E18" s="3065" t="e">
        <f t="shared" si="2"/>
        <v>#DIV/0!</v>
      </c>
      <c r="F18" s="3065" t="e">
        <f t="shared" si="3"/>
        <v>#DIV/0!</v>
      </c>
      <c r="G18" s="3069"/>
      <c r="H18" s="3069"/>
      <c r="I18" s="3069"/>
    </row>
    <row r="19" spans="1:9" ht="15.6">
      <c r="A19" s="3068" t="s">
        <v>2864</v>
      </c>
      <c r="B19" s="3069"/>
      <c r="C19" s="3069"/>
      <c r="D19" s="3069"/>
      <c r="E19" s="3065" t="e">
        <f t="shared" si="2"/>
        <v>#DIV/0!</v>
      </c>
      <c r="F19" s="3065" t="e">
        <f t="shared" si="3"/>
        <v>#DIV/0!</v>
      </c>
      <c r="G19" s="3069"/>
      <c r="H19" s="3069"/>
      <c r="I19" s="3069"/>
    </row>
    <row r="20" spans="1:9" ht="15.6">
      <c r="A20" s="3068" t="s">
        <v>2865</v>
      </c>
      <c r="B20" s="3069"/>
      <c r="C20" s="3069"/>
      <c r="D20" s="3069"/>
      <c r="E20" s="3065" t="e">
        <f t="shared" si="2"/>
        <v>#DIV/0!</v>
      </c>
      <c r="F20" s="3065" t="e">
        <f t="shared" si="3"/>
        <v>#DIV/0!</v>
      </c>
      <c r="G20" s="3069"/>
      <c r="H20" s="3069"/>
      <c r="I20" s="3069"/>
    </row>
    <row r="21" spans="1:9" ht="15.6">
      <c r="A21" s="3068" t="s">
        <v>2866</v>
      </c>
      <c r="B21" s="3069"/>
      <c r="C21" s="3069"/>
      <c r="D21" s="3069"/>
      <c r="E21" s="3065" t="e">
        <f t="shared" si="2"/>
        <v>#DIV/0!</v>
      </c>
      <c r="F21" s="3065" t="e">
        <f t="shared" si="3"/>
        <v>#DIV/0!</v>
      </c>
      <c r="G21" s="3069"/>
      <c r="H21" s="3069"/>
      <c r="I21" s="3069"/>
    </row>
    <row r="22" spans="1:9" ht="15.6">
      <c r="A22" s="3068" t="s">
        <v>2867</v>
      </c>
      <c r="B22" s="3069"/>
      <c r="C22" s="3069"/>
      <c r="D22" s="3069"/>
      <c r="E22" s="3065" t="e">
        <f t="shared" si="2"/>
        <v>#DIV/0!</v>
      </c>
      <c r="F22" s="3065" t="e">
        <f t="shared" si="3"/>
        <v>#DIV/0!</v>
      </c>
      <c r="G22" s="3069"/>
      <c r="H22" s="3069"/>
      <c r="I22" s="3069"/>
    </row>
    <row r="23" spans="1:9" ht="15.6">
      <c r="A23" s="3068" t="s">
        <v>2868</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31" zoomScaleNormal="100" zoomScaleSheetLayoutView="100" zoomScalePageLayoutView="80" workbookViewId="0">
      <selection activeCell="F38" sqref="F38"/>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9"/>
  </cols>
  <sheetData>
    <row r="1" spans="1:22" ht="21.75" customHeight="1" thickBot="1">
      <c r="A1" s="1772" t="s">
        <v>2054</v>
      </c>
      <c r="B1" s="1773"/>
      <c r="C1" s="1801" t="s">
        <v>2055</v>
      </c>
      <c r="D1" s="1802"/>
      <c r="E1" s="1801" t="s">
        <v>2056</v>
      </c>
      <c r="F1" s="1803"/>
      <c r="G1" s="310"/>
      <c r="H1" s="310"/>
      <c r="I1" s="310"/>
      <c r="J1" s="2025"/>
      <c r="K1" s="2025"/>
      <c r="L1" s="2025"/>
      <c r="M1" s="2025"/>
      <c r="N1" s="2025"/>
      <c r="O1" s="2025"/>
      <c r="P1" s="2025"/>
      <c r="Q1" s="2025"/>
      <c r="R1" s="2025"/>
      <c r="S1" s="2025"/>
      <c r="T1" s="2025"/>
      <c r="U1" s="2025"/>
      <c r="V1" s="2025"/>
    </row>
    <row r="2" spans="1:22" ht="21.75" customHeight="1" thickBot="1">
      <c r="A2" s="3356" t="str">
        <f>项目基本情况!K2</f>
        <v>北京市北京市大兴区旧宫镇旧忠路19号出让国有建设用地使用权</v>
      </c>
      <c r="B2" s="3357"/>
      <c r="C2" s="3358"/>
      <c r="D2" s="3358"/>
      <c r="E2" s="3358"/>
      <c r="F2" s="3358"/>
      <c r="G2" s="3357"/>
      <c r="H2" s="3357"/>
      <c r="I2" s="3359"/>
      <c r="J2" s="2026"/>
      <c r="K2" s="2025"/>
      <c r="L2" s="2025"/>
      <c r="M2" s="2025"/>
      <c r="N2" s="2025"/>
      <c r="O2" s="2025"/>
      <c r="P2" s="2025"/>
      <c r="Q2" s="2025"/>
      <c r="R2" s="2025"/>
      <c r="S2" s="2025"/>
      <c r="T2" s="2025"/>
      <c r="U2" s="2025"/>
      <c r="V2" s="2025"/>
    </row>
    <row r="3" spans="1:22" ht="13.8">
      <c r="A3" s="3367" t="s">
        <v>294</v>
      </c>
      <c r="B3" s="3368"/>
      <c r="C3" s="3368"/>
      <c r="D3" s="3368"/>
      <c r="E3" s="3368"/>
      <c r="F3" s="3368"/>
      <c r="G3" s="3368"/>
      <c r="H3" s="3368"/>
      <c r="I3" s="3368"/>
      <c r="J3" s="2026"/>
      <c r="K3" s="2025"/>
      <c r="L3" s="2025"/>
      <c r="M3" s="2025"/>
      <c r="N3" s="2025"/>
      <c r="O3" s="2025"/>
      <c r="P3" s="2025"/>
      <c r="Q3" s="2025"/>
      <c r="R3" s="2025"/>
      <c r="S3" s="2025"/>
      <c r="T3" s="2025"/>
      <c r="U3" s="2025"/>
      <c r="V3" s="2025"/>
    </row>
    <row r="4" spans="1:22" ht="14.4">
      <c r="A4" s="257" t="s">
        <v>295</v>
      </c>
      <c r="B4" s="258" t="s">
        <v>296</v>
      </c>
      <c r="C4" s="259" t="s">
        <v>3136</v>
      </c>
      <c r="D4" s="259" t="s">
        <v>3089</v>
      </c>
      <c r="E4" s="3331" t="s">
        <v>297</v>
      </c>
      <c r="F4" s="3373"/>
      <c r="G4" s="3373"/>
      <c r="H4" s="3373"/>
      <c r="I4" s="3332"/>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60" t="s">
        <v>298</v>
      </c>
      <c r="B5" s="3361">
        <v>25</v>
      </c>
      <c r="C5" s="3369"/>
      <c r="D5" s="3372"/>
      <c r="E5" s="260" t="s">
        <v>299</v>
      </c>
      <c r="F5" s="261"/>
      <c r="G5" s="261"/>
      <c r="H5" s="261"/>
      <c r="I5" s="262"/>
      <c r="J5" s="2026"/>
      <c r="K5" s="2025"/>
      <c r="L5" s="2025"/>
      <c r="M5" s="2025"/>
      <c r="N5" s="2025"/>
      <c r="O5" s="2025"/>
      <c r="P5" s="2025"/>
      <c r="Q5" s="2025"/>
      <c r="R5" s="2025"/>
      <c r="S5" s="2025"/>
      <c r="T5" s="2025"/>
      <c r="U5" s="2025"/>
      <c r="V5" s="2025"/>
    </row>
    <row r="6" spans="1:22" ht="13.8">
      <c r="A6" s="3360"/>
      <c r="B6" s="3361"/>
      <c r="C6" s="3370"/>
      <c r="D6" s="3372"/>
      <c r="E6" s="260" t="s">
        <v>300</v>
      </c>
      <c r="F6" s="261"/>
      <c r="G6" s="261"/>
      <c r="H6" s="261"/>
      <c r="I6" s="262"/>
      <c r="J6" s="2026"/>
      <c r="K6" s="2025"/>
      <c r="L6" s="2025"/>
      <c r="M6" s="2025"/>
      <c r="N6" s="2025"/>
      <c r="O6" s="2025"/>
      <c r="P6" s="2025"/>
      <c r="Q6" s="2025"/>
      <c r="R6" s="2025"/>
      <c r="S6" s="2025"/>
      <c r="T6" s="2025"/>
      <c r="U6" s="2025"/>
      <c r="V6" s="2025"/>
    </row>
    <row r="7" spans="1:22" ht="13.8">
      <c r="A7" s="3360"/>
      <c r="B7" s="3361"/>
      <c r="C7" s="3371"/>
      <c r="D7" s="3372"/>
      <c r="E7" s="260" t="s">
        <v>301</v>
      </c>
      <c r="F7" s="261"/>
      <c r="G7" s="261"/>
      <c r="H7" s="261"/>
      <c r="I7" s="262"/>
      <c r="J7" s="2026"/>
      <c r="K7" s="2025"/>
      <c r="L7" s="2025"/>
      <c r="M7" s="2025"/>
      <c r="N7" s="2025"/>
      <c r="O7" s="2025"/>
      <c r="P7" s="2025"/>
      <c r="Q7" s="2025"/>
      <c r="R7" s="2025"/>
      <c r="S7" s="2025"/>
      <c r="T7" s="2025"/>
      <c r="U7" s="2025"/>
      <c r="V7" s="2025"/>
    </row>
    <row r="8" spans="1:22" ht="13.8">
      <c r="A8" s="3360" t="s">
        <v>302</v>
      </c>
      <c r="B8" s="3361">
        <v>15</v>
      </c>
      <c r="C8" s="3369"/>
      <c r="D8" s="3372"/>
      <c r="E8" s="260" t="s">
        <v>303</v>
      </c>
      <c r="F8" s="261"/>
      <c r="G8" s="261"/>
      <c r="H8" s="261"/>
      <c r="I8" s="262"/>
      <c r="J8" s="2026"/>
      <c r="K8" s="2025"/>
      <c r="L8" s="2025"/>
      <c r="M8" s="2025"/>
      <c r="N8" s="2025"/>
      <c r="O8" s="2025"/>
      <c r="P8" s="2025"/>
      <c r="Q8" s="2025"/>
      <c r="R8" s="2025"/>
      <c r="S8" s="2025"/>
      <c r="T8" s="2025"/>
      <c r="U8" s="2025"/>
      <c r="V8" s="2025"/>
    </row>
    <row r="9" spans="1:22" ht="13.8">
      <c r="A9" s="3360"/>
      <c r="B9" s="3361"/>
      <c r="C9" s="3371"/>
      <c r="D9" s="3372"/>
      <c r="E9" s="260" t="s">
        <v>304</v>
      </c>
      <c r="F9" s="261"/>
      <c r="G9" s="261"/>
      <c r="H9" s="261"/>
      <c r="I9" s="262"/>
      <c r="J9" s="2026"/>
      <c r="K9" s="2025"/>
      <c r="L9" s="2025"/>
      <c r="M9" s="2025"/>
      <c r="N9" s="2025"/>
      <c r="O9" s="2025"/>
      <c r="P9" s="2025"/>
      <c r="Q9" s="2025"/>
      <c r="R9" s="2025"/>
      <c r="S9" s="2025"/>
      <c r="T9" s="2025"/>
      <c r="U9" s="2025"/>
      <c r="V9" s="2025"/>
    </row>
    <row r="10" spans="1:22" ht="13.8">
      <c r="A10" s="3360" t="s">
        <v>305</v>
      </c>
      <c r="B10" s="3361">
        <v>15</v>
      </c>
      <c r="C10" s="3369"/>
      <c r="D10" s="3372"/>
      <c r="E10" s="260" t="s">
        <v>306</v>
      </c>
      <c r="F10" s="261"/>
      <c r="G10" s="261"/>
      <c r="H10" s="261"/>
      <c r="I10" s="262"/>
      <c r="J10" s="2026"/>
      <c r="K10" s="2025"/>
      <c r="L10" s="2025"/>
      <c r="M10" s="2025"/>
      <c r="N10" s="2025"/>
      <c r="O10" s="2025"/>
      <c r="P10" s="2025"/>
      <c r="Q10" s="2025"/>
      <c r="R10" s="2025"/>
      <c r="S10" s="2025"/>
      <c r="T10" s="2025"/>
      <c r="U10" s="2025"/>
      <c r="V10" s="2025"/>
    </row>
    <row r="11" spans="1:22" ht="13.8">
      <c r="A11" s="3360"/>
      <c r="B11" s="3361"/>
      <c r="C11" s="3371"/>
      <c r="D11" s="3372"/>
      <c r="E11" s="260" t="s">
        <v>307</v>
      </c>
      <c r="F11" s="261"/>
      <c r="G11" s="261"/>
      <c r="H11" s="261"/>
      <c r="I11" s="262"/>
      <c r="J11" s="2026"/>
      <c r="K11" s="2025"/>
      <c r="L11" s="2025"/>
      <c r="M11" s="2025"/>
      <c r="N11" s="2025"/>
      <c r="O11" s="2025"/>
      <c r="P11" s="2025"/>
      <c r="Q11" s="2025"/>
      <c r="R11" s="2025"/>
      <c r="S11" s="2025"/>
      <c r="T11" s="2025"/>
      <c r="U11" s="2025"/>
      <c r="V11" s="2025"/>
    </row>
    <row r="12" spans="1:22" ht="13.8">
      <c r="A12" s="3360" t="s">
        <v>308</v>
      </c>
      <c r="B12" s="3361">
        <v>15</v>
      </c>
      <c r="C12" s="3369"/>
      <c r="D12" s="3372"/>
      <c r="E12" s="260" t="s">
        <v>309</v>
      </c>
      <c r="F12" s="261"/>
      <c r="G12" s="261"/>
      <c r="H12" s="261"/>
      <c r="I12" s="262"/>
      <c r="J12" s="2026"/>
      <c r="K12" s="2025"/>
      <c r="L12" s="2025"/>
      <c r="M12" s="2025"/>
      <c r="N12" s="2025"/>
      <c r="O12" s="2025"/>
      <c r="P12" s="2025"/>
      <c r="Q12" s="2025"/>
      <c r="R12" s="2025"/>
      <c r="S12" s="2025"/>
      <c r="T12" s="2025"/>
      <c r="U12" s="2025"/>
      <c r="V12" s="2025"/>
    </row>
    <row r="13" spans="1:22" ht="13.8">
      <c r="A13" s="3360"/>
      <c r="B13" s="3361"/>
      <c r="C13" s="3371"/>
      <c r="D13" s="3372"/>
      <c r="E13" s="260" t="s">
        <v>310</v>
      </c>
      <c r="F13" s="261"/>
      <c r="G13" s="261"/>
      <c r="H13" s="261"/>
      <c r="I13" s="262"/>
      <c r="J13" s="2026"/>
      <c r="K13" s="2025"/>
      <c r="L13" s="2025"/>
      <c r="M13" s="2025"/>
      <c r="N13" s="2025"/>
      <c r="O13" s="2025"/>
      <c r="P13" s="2025"/>
      <c r="Q13" s="2025"/>
      <c r="R13" s="2025"/>
      <c r="S13" s="2025"/>
      <c r="T13" s="2025"/>
      <c r="U13" s="2025"/>
      <c r="V13" s="2025"/>
    </row>
    <row r="14" spans="1:22" ht="13.8">
      <c r="A14" s="3360" t="s">
        <v>311</v>
      </c>
      <c r="B14" s="3361">
        <v>30</v>
      </c>
      <c r="C14" s="3369">
        <v>5</v>
      </c>
      <c r="D14" s="3372">
        <v>5</v>
      </c>
      <c r="E14" s="260" t="s">
        <v>312</v>
      </c>
      <c r="F14" s="261"/>
      <c r="G14" s="261"/>
      <c r="H14" s="261"/>
      <c r="I14" s="262"/>
      <c r="J14" s="2026"/>
      <c r="K14" s="2025"/>
      <c r="L14" s="2025"/>
      <c r="M14" s="2025"/>
      <c r="N14" s="2025"/>
      <c r="O14" s="2025"/>
      <c r="P14" s="2025"/>
      <c r="Q14" s="2025"/>
      <c r="R14" s="2025"/>
      <c r="S14" s="2025"/>
      <c r="T14" s="2025"/>
      <c r="U14" s="2025"/>
      <c r="V14" s="2025"/>
    </row>
    <row r="15" spans="1:22" ht="13.8">
      <c r="A15" s="3360"/>
      <c r="B15" s="3361"/>
      <c r="C15" s="3370"/>
      <c r="D15" s="3372"/>
      <c r="E15" s="260" t="s">
        <v>313</v>
      </c>
      <c r="F15" s="261"/>
      <c r="G15" s="261"/>
      <c r="H15" s="261"/>
      <c r="I15" s="262"/>
      <c r="J15" s="2026"/>
      <c r="K15" s="2025"/>
      <c r="L15" s="2025"/>
      <c r="M15" s="2025"/>
      <c r="N15" s="2025"/>
      <c r="O15" s="2025"/>
      <c r="P15" s="2025"/>
      <c r="Q15" s="2025"/>
      <c r="R15" s="2025"/>
      <c r="S15" s="2025"/>
      <c r="T15" s="2025"/>
      <c r="U15" s="2025"/>
      <c r="V15" s="2025"/>
    </row>
    <row r="16" spans="1:22" ht="13.8">
      <c r="A16" s="3360"/>
      <c r="B16" s="3361"/>
      <c r="C16" s="3371"/>
      <c r="D16" s="3372"/>
      <c r="E16" s="260" t="s">
        <v>314</v>
      </c>
      <c r="F16" s="261"/>
      <c r="G16" s="261"/>
      <c r="H16" s="261"/>
      <c r="I16" s="262"/>
      <c r="J16" s="2026"/>
      <c r="K16" s="2025"/>
      <c r="L16" s="2025"/>
      <c r="M16" s="2025"/>
      <c r="N16" s="2025"/>
      <c r="O16" s="2025"/>
      <c r="P16" s="2025"/>
      <c r="Q16" s="2025"/>
      <c r="R16" s="2025"/>
      <c r="S16" s="2025"/>
      <c r="T16" s="2025"/>
      <c r="U16" s="2025"/>
      <c r="V16" s="2025"/>
    </row>
    <row r="17" spans="1:26" ht="14.4">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317</v>
      </c>
      <c r="B19" s="268" t="s">
        <v>318</v>
      </c>
      <c r="C19" s="269">
        <f ca="1">SUMIF(INDIRECT("'"&amp;C4&amp;"'"&amp;"!A:A"),结果表!B19,INDIRECT("'"&amp;C4&amp;"'"&amp;"!B:B"))</f>
        <v>10987</v>
      </c>
      <c r="D19" s="270">
        <f ca="1">SUMIF(INDIRECT("'"&amp;D4&amp;"'"&amp;"!A:A"),结果表!B19,INDIRECT("'"&amp;D4&amp;"'"&amp;"!B:B"))</f>
        <v>9995</v>
      </c>
      <c r="E19" s="267" t="s">
        <v>319</v>
      </c>
      <c r="F19" s="268" t="s">
        <v>318</v>
      </c>
      <c r="G19" s="271">
        <f ca="1">ROUND(C19*$C$18+D19*$D$18,0)</f>
        <v>10491</v>
      </c>
      <c r="H19" s="272" t="s">
        <v>320</v>
      </c>
      <c r="I19" s="310"/>
      <c r="J19" s="2025"/>
      <c r="K19" s="2025"/>
      <c r="L19" s="2025"/>
      <c r="M19" s="2025"/>
      <c r="N19" s="2025"/>
      <c r="O19" s="2025"/>
      <c r="P19" s="2025"/>
      <c r="Q19" s="2025"/>
      <c r="R19" s="2025"/>
      <c r="S19" s="2025"/>
      <c r="T19" s="2025"/>
      <c r="U19" s="2025"/>
      <c r="V19" s="2025"/>
    </row>
    <row r="20" spans="1:26" ht="14.4">
      <c r="A20" s="273"/>
      <c r="B20" s="274" t="s">
        <v>321</v>
      </c>
      <c r="C20" s="275">
        <f ca="1">SUMIF(INDIRECT("'"&amp;C4&amp;"'"&amp;"!A:A"),结果表!B20,INDIRECT("'"&amp;C4&amp;"'"&amp;"!B:B"))</f>
        <v>12249</v>
      </c>
      <c r="D20" s="276">
        <f ca="1">SUMIF(INDIRECT("'"&amp;D4&amp;"'"&amp;"!A:A"),结果表!B20,INDIRECT("'"&amp;D4&amp;"'"&amp;"!B:B"))</f>
        <v>11143</v>
      </c>
      <c r="E20" s="273"/>
      <c r="F20" s="274" t="s">
        <v>321</v>
      </c>
      <c r="G20" s="277">
        <f ca="1">ROUND(C20*$C$18+D20*$D$18,0)</f>
        <v>11696</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36746</v>
      </c>
      <c r="D21" s="151">
        <f ca="1">SUMIF(INDIRECT("'"&amp;D4&amp;"'"&amp;"!A:A"),结果表!B21,INDIRECT("'"&amp;D4&amp;"'"&amp;"!B:B"))</f>
        <v>33428</v>
      </c>
      <c r="E21" s="273"/>
      <c r="F21" s="279" t="s">
        <v>323</v>
      </c>
      <c r="G21" s="281">
        <f ca="1">ROUND(C21*$C$18+D21*$D$18,0)</f>
        <v>35087</v>
      </c>
      <c r="H21" s="1250" t="s">
        <v>322</v>
      </c>
      <c r="I21" s="310"/>
      <c r="J21" s="2025"/>
      <c r="K21" s="2025"/>
      <c r="L21" s="2025"/>
      <c r="M21" s="2025"/>
      <c r="N21" s="2025"/>
      <c r="O21" s="2025"/>
      <c r="P21" s="2025"/>
      <c r="Q21" s="2025"/>
      <c r="R21" s="2025"/>
      <c r="S21" s="2025"/>
      <c r="T21" s="2025"/>
      <c r="U21" s="2025"/>
      <c r="V21" s="2025"/>
    </row>
    <row r="22" spans="1:26" ht="15" thickBot="1">
      <c r="A22" s="126" t="s">
        <v>324</v>
      </c>
      <c r="B22" s="1251"/>
      <c r="C22" s="1252"/>
      <c r="D22" s="282">
        <f ca="1">IF(C19&lt;D19,D19/C19-1,C19/D19-1)</f>
        <v>9.9249624812406179E-2</v>
      </c>
      <c r="E22" s="283"/>
      <c r="F22" s="284"/>
      <c r="G22" s="285">
        <f ca="1">ROUND(G19/('数据-汇总表'!D3/666.67),0)</f>
        <v>2339</v>
      </c>
      <c r="H22" s="286" t="s">
        <v>325</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33" t="s">
        <v>326</v>
      </c>
      <c r="B24" s="268" t="s">
        <v>318</v>
      </c>
      <c r="C24" s="287">
        <f>IF(B30=0,0,D30)</f>
        <v>3</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75"/>
      <c r="B25" s="1320" t="s">
        <v>327</v>
      </c>
      <c r="C25" s="289">
        <f>IF(B30=0,0,C30)</f>
        <v>0</v>
      </c>
      <c r="D25" s="290"/>
      <c r="E25" s="310"/>
      <c r="F25" s="310"/>
      <c r="G25" s="310"/>
      <c r="H25" s="310"/>
      <c r="I25" s="310"/>
      <c r="J25" s="2025"/>
      <c r="K25" s="1254" t="str">
        <f ca="1">项目基本情况!B16&amp;"国有建设用地使用权价格："&amp;O38&amp;"万元"</f>
        <v>出让国有建设用地使用权价格：10488万元</v>
      </c>
      <c r="L25" s="1255"/>
      <c r="M25" s="1255"/>
      <c r="N25" s="1255"/>
      <c r="O25" s="1256"/>
      <c r="P25" s="2025"/>
      <c r="Q25" s="2025"/>
      <c r="R25" s="2025"/>
      <c r="S25" s="2025"/>
      <c r="T25" s="2025"/>
      <c r="U25" s="2025"/>
      <c r="V25" s="2025"/>
    </row>
    <row r="26" spans="1:26" s="1253" customFormat="1" ht="17.399999999999999">
      <c r="A26" s="292" t="s">
        <v>328</v>
      </c>
      <c r="B26" s="293" t="s">
        <v>329</v>
      </c>
      <c r="C26" s="293" t="s">
        <v>330</v>
      </c>
      <c r="D26" s="294" t="s">
        <v>331</v>
      </c>
      <c r="E26" s="310"/>
      <c r="F26" s="310"/>
      <c r="G26" s="310"/>
      <c r="H26" s="310"/>
      <c r="I26" s="310"/>
      <c r="J26" s="2025"/>
      <c r="K26" s="1257" t="str">
        <f ca="1">"大写金额：人民币"&amp;NUMBERSTRING(INT(O38*10000),2)&amp;"元整"</f>
        <v>大写金额：人民币壹亿零肆佰捌拾捌万元整</v>
      </c>
      <c r="L26" s="1251"/>
      <c r="M26" s="1251"/>
      <c r="N26" s="1251"/>
      <c r="O26" s="1250"/>
      <c r="P26" s="2025"/>
      <c r="Q26" s="2025"/>
      <c r="R26" s="2025"/>
      <c r="S26" s="2025"/>
      <c r="T26" s="2025"/>
      <c r="U26" s="2025"/>
      <c r="V26" s="2025"/>
      <c r="W26" s="291"/>
      <c r="X26" s="291"/>
      <c r="Y26" s="291"/>
      <c r="Z26" s="291"/>
    </row>
    <row r="27" spans="1:26" ht="17.399999999999999">
      <c r="A27" s="3220" t="s">
        <v>3209</v>
      </c>
      <c r="B27" s="293">
        <f>'数据-汇总表'!D3</f>
        <v>2990</v>
      </c>
      <c r="C27" s="293">
        <v>10</v>
      </c>
      <c r="D27" s="294">
        <f>ROUND(B27*C27/10000,0)</f>
        <v>3</v>
      </c>
      <c r="E27" s="310"/>
      <c r="F27" s="310"/>
      <c r="G27" s="310"/>
      <c r="H27" s="310"/>
      <c r="I27" s="310"/>
      <c r="J27" s="2025"/>
      <c r="K27" s="1257" t="str">
        <f ca="1">"单位面积地价："&amp;M38&amp;"元/平方米"</f>
        <v>单位面积地价：35077元/平方米</v>
      </c>
      <c r="L27" s="1251"/>
      <c r="M27" s="1251"/>
      <c r="N27" s="1251"/>
      <c r="O27" s="1250"/>
      <c r="P27" s="2025"/>
      <c r="Q27" s="2025"/>
      <c r="R27" s="2025"/>
      <c r="S27" s="2025"/>
      <c r="T27" s="2025"/>
      <c r="U27" s="2025"/>
      <c r="V27" s="2025"/>
    </row>
    <row r="28" spans="1:26" ht="18.75" customHeight="1">
      <c r="A28" s="292"/>
      <c r="B28" s="293"/>
      <c r="C28" s="293"/>
      <c r="D28" s="294"/>
      <c r="E28" s="310"/>
      <c r="F28" s="310"/>
      <c r="G28" s="310"/>
      <c r="H28" s="310"/>
      <c r="I28" s="310"/>
      <c r="J28" s="2025"/>
      <c r="K28" s="1257" t="str">
        <f ca="1">"楼面地价："&amp;N38&amp;"元/平方米"</f>
        <v>楼面地价：11692元/平方米</v>
      </c>
      <c r="L28" s="1251"/>
      <c r="M28" s="1251"/>
      <c r="N28" s="1251"/>
      <c r="O28" s="1250"/>
      <c r="P28" s="2025"/>
      <c r="V28" s="2025"/>
    </row>
    <row r="29" spans="1:26" ht="17.399999999999999">
      <c r="A29" s="292"/>
      <c r="B29" s="293"/>
      <c r="C29" s="293"/>
      <c r="D29" s="294"/>
      <c r="E29" s="310"/>
      <c r="F29" s="310"/>
      <c r="G29" s="310"/>
      <c r="H29" s="310"/>
      <c r="I29" s="310"/>
      <c r="J29" s="2025"/>
      <c r="K29" s="1257" t="str">
        <f ca="1">IF(OR(项目基本情况!E8="抵押价格",项目基本情况!E8="已注销及未注销"),"抵押价格："&amp;O39&amp;"万元","——")</f>
        <v>抵押价格：5933万元</v>
      </c>
      <c r="L29" s="1251"/>
      <c r="M29" s="1251"/>
      <c r="N29" s="1251"/>
      <c r="O29" s="1250"/>
      <c r="P29" s="2025"/>
      <c r="V29" s="2025"/>
    </row>
    <row r="30" spans="1:26" ht="18" thickBot="1">
      <c r="A30" s="3148" t="s">
        <v>332</v>
      </c>
      <c r="B30" s="308">
        <f>B27</f>
        <v>2990</v>
      </c>
      <c r="C30" s="308"/>
      <c r="D30" s="309">
        <f>D27</f>
        <v>3</v>
      </c>
      <c r="E30" s="3149" t="s">
        <v>2961</v>
      </c>
      <c r="F30" s="310"/>
      <c r="G30" s="310"/>
      <c r="H30" s="310"/>
      <c r="I30" s="310"/>
      <c r="J30" s="2025"/>
      <c r="K30" s="1257" t="str">
        <f ca="1">IF(K29="——","——","大写金额：人民币"&amp;NUMBERSTRING(INT(O39*10000),2)&amp;"元整")</f>
        <v>大写金额：人民币伍仟玖佰叁拾叁万元整</v>
      </c>
      <c r="L30" s="1251"/>
      <c r="M30" s="1251"/>
      <c r="N30" s="1251"/>
      <c r="O30" s="1250"/>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 thickBot="1">
      <c r="A32" s="267" t="s">
        <v>333</v>
      </c>
      <c r="B32" s="1378" t="s">
        <v>1685</v>
      </c>
      <c r="C32" s="1379">
        <f ca="1">G19-C24</f>
        <v>10488</v>
      </c>
      <c r="D32" s="1380" t="s">
        <v>1686</v>
      </c>
      <c r="E32" s="310"/>
      <c r="F32" s="310"/>
      <c r="G32" s="310"/>
      <c r="H32" s="310"/>
      <c r="I32" s="310"/>
      <c r="J32" s="2025"/>
      <c r="K32" s="2484" t="str">
        <f>IF(K31="——","——","大写金额：人民币"&amp;NUMBERSTRING(INT(O40*10000),2)&amp;"元整")</f>
        <v>——</v>
      </c>
      <c r="L32" s="2487"/>
      <c r="M32" s="2487"/>
      <c r="N32" s="2487"/>
      <c r="O32" s="2488"/>
      <c r="P32" s="2025"/>
      <c r="V32" s="2025"/>
    </row>
    <row r="33" spans="1:26" ht="18" thickBot="1">
      <c r="A33" s="297" t="s">
        <v>336</v>
      </c>
      <c r="B33" s="1381" t="s">
        <v>1687</v>
      </c>
      <c r="C33" s="263">
        <f ca="1">ROUND(C32*10000/'数据-汇总表'!E3,0)</f>
        <v>11692</v>
      </c>
      <c r="D33" s="1382" t="s">
        <v>1688</v>
      </c>
      <c r="E33" s="3333" t="s">
        <v>334</v>
      </c>
      <c r="F33" s="295" t="s">
        <v>335</v>
      </c>
      <c r="G33" s="296"/>
      <c r="H33" s="979"/>
      <c r="I33" s="1258"/>
      <c r="J33" s="2025"/>
      <c r="K33" s="1257" t="str">
        <f>IF(项目基本情况!E9="——","——","抵押净值："&amp;C46&amp;"万元")</f>
        <v>抵押净值：——万元</v>
      </c>
      <c r="L33" s="1251"/>
      <c r="M33" s="1251"/>
      <c r="N33" s="1251"/>
      <c r="O33" s="1250"/>
      <c r="P33" s="2025"/>
      <c r="V33" s="2025"/>
    </row>
    <row r="34" spans="1:26" s="1253" customFormat="1" ht="18" thickBot="1">
      <c r="A34" s="299"/>
      <c r="B34" s="1383" t="s">
        <v>1689</v>
      </c>
      <c r="C34" s="263">
        <f ca="1">ROUND(C32*10000/'数据-汇总表'!D3,0)</f>
        <v>35077</v>
      </c>
      <c r="D34" s="1384" t="s">
        <v>1688</v>
      </c>
      <c r="E34" s="3334"/>
      <c r="F34" s="127" t="s">
        <v>337</v>
      </c>
      <c r="G34" s="298"/>
      <c r="H34" s="105"/>
      <c r="I34" s="310"/>
      <c r="J34" s="2025"/>
      <c r="K34" s="1260" t="e">
        <f>IF(K33="——","——","大写金额：人民币"&amp;NUMBERSTRING(INT(O41*10000),2)&amp;"元整")</f>
        <v>#VALUE!</v>
      </c>
      <c r="L34" s="1261"/>
      <c r="M34" s="1261"/>
      <c r="N34" s="1261"/>
      <c r="O34" s="1262"/>
      <c r="P34" s="2025"/>
      <c r="Q34" s="291"/>
      <c r="R34" s="291"/>
      <c r="S34" s="291"/>
      <c r="T34" s="291"/>
      <c r="U34" s="291"/>
      <c r="V34" s="2025"/>
      <c r="W34" s="291"/>
      <c r="X34" s="291"/>
      <c r="Y34" s="291"/>
      <c r="Z34" s="291"/>
    </row>
    <row r="35" spans="1:26" ht="15" thickBot="1">
      <c r="A35" s="283"/>
      <c r="B35" s="1385"/>
      <c r="C35" s="1386">
        <f ca="1">ROUND(C32/('数据-汇总表'!D3/666.67),0)</f>
        <v>2338</v>
      </c>
      <c r="D35" s="1387" t="s">
        <v>1690</v>
      </c>
      <c r="E35" s="3335"/>
      <c r="F35" s="300" t="s">
        <v>338</v>
      </c>
      <c r="G35" s="981">
        <f ca="1">E39</f>
        <v>4555</v>
      </c>
      <c r="H35" s="980" t="s">
        <v>339</v>
      </c>
      <c r="I35" s="310"/>
      <c r="J35" s="2025"/>
      <c r="K35" s="3339" t="s">
        <v>346</v>
      </c>
      <c r="L35" s="3339" t="s">
        <v>347</v>
      </c>
      <c r="M35" s="1263" t="s">
        <v>348</v>
      </c>
      <c r="N35" s="3339" t="s">
        <v>349</v>
      </c>
      <c r="O35" s="3339" t="s">
        <v>350</v>
      </c>
      <c r="P35" s="2025"/>
      <c r="V35" s="2025"/>
    </row>
    <row r="36" spans="1:26" ht="16.5" customHeight="1">
      <c r="A36" s="302" t="s">
        <v>340</v>
      </c>
      <c r="B36" s="303" t="s">
        <v>329</v>
      </c>
      <c r="C36" s="304" t="s">
        <v>341</v>
      </c>
      <c r="D36" s="304" t="s">
        <v>342</v>
      </c>
      <c r="E36" s="305" t="s">
        <v>343</v>
      </c>
      <c r="F36" s="310"/>
      <c r="G36" s="310"/>
      <c r="H36" s="310"/>
      <c r="I36" s="310"/>
      <c r="J36" s="2027"/>
      <c r="K36" s="3340"/>
      <c r="L36" s="3340"/>
      <c r="M36" s="1265" t="s">
        <v>351</v>
      </c>
      <c r="N36" s="3340"/>
      <c r="O36" s="3340"/>
      <c r="P36" s="2025"/>
      <c r="V36" s="2025"/>
    </row>
    <row r="37" spans="1:26" ht="16.5" customHeight="1" thickBot="1">
      <c r="A37" s="1259" t="s">
        <v>344</v>
      </c>
      <c r="B37" s="306">
        <f>'数据-汇总表'!D3*2</f>
        <v>5980</v>
      </c>
      <c r="C37" s="293">
        <f ca="1">基准地价!C29</f>
        <v>7392</v>
      </c>
      <c r="D37" s="3187">
        <v>3.0499999999999999E-2</v>
      </c>
      <c r="E37" s="294">
        <f ca="1">ROUND(B37*C37*(1+D37)/10000,0)</f>
        <v>4555</v>
      </c>
      <c r="F37" s="310"/>
      <c r="G37" s="310"/>
      <c r="H37" s="310"/>
      <c r="I37" s="310"/>
      <c r="J37" s="2027"/>
      <c r="K37" s="3341"/>
      <c r="L37" s="3341"/>
      <c r="M37" s="1266"/>
      <c r="N37" s="3341"/>
      <c r="O37" s="3341"/>
      <c r="P37" s="2025"/>
      <c r="V37" s="2025"/>
    </row>
    <row r="38" spans="1:26" ht="16.5" customHeight="1" thickBot="1">
      <c r="A38" s="1259" t="s">
        <v>345</v>
      </c>
      <c r="B38" s="306"/>
      <c r="C38" s="293"/>
      <c r="D38" s="3187"/>
      <c r="E38" s="294">
        <f>ROUND(B38*C38*(1+D38)/10000,0)</f>
        <v>0</v>
      </c>
      <c r="F38" s="310"/>
      <c r="G38" s="310"/>
      <c r="H38" s="310"/>
      <c r="I38" s="310"/>
      <c r="J38" s="2027"/>
      <c r="K38" s="1267">
        <f>'数据-汇总表'!D3</f>
        <v>2990</v>
      </c>
      <c r="L38" s="1268">
        <f>'数据-汇总表'!E3</f>
        <v>8970</v>
      </c>
      <c r="M38" s="1268">
        <f ca="1">C34</f>
        <v>35077</v>
      </c>
      <c r="N38" s="1268">
        <f ca="1">C33</f>
        <v>11692</v>
      </c>
      <c r="O38" s="1269">
        <f ca="1">C32</f>
        <v>10488</v>
      </c>
      <c r="P38" s="2025"/>
      <c r="V38" s="2025"/>
    </row>
    <row r="39" spans="1:26" ht="16.5" customHeight="1" thickBot="1">
      <c r="A39" s="1264"/>
      <c r="B39" s="307"/>
      <c r="C39" s="308"/>
      <c r="D39" s="308"/>
      <c r="E39" s="309">
        <f ca="1">E37+E38</f>
        <v>4555</v>
      </c>
      <c r="F39" s="310"/>
      <c r="G39" s="310"/>
      <c r="H39" s="310"/>
      <c r="I39" s="310"/>
      <c r="J39" s="2027"/>
      <c r="K39" s="3316" t="str">
        <f>MID(A44,3,LEN(A44)-2)</f>
        <v>抵押价格</v>
      </c>
      <c r="L39" s="3317"/>
      <c r="M39" s="3317"/>
      <c r="N39" s="3318"/>
      <c r="O39" s="1389">
        <f ca="1">C44</f>
        <v>5933</v>
      </c>
      <c r="P39" s="2025"/>
      <c r="V39" s="2025"/>
    </row>
    <row r="40" spans="1:26" ht="18" thickBot="1">
      <c r="A40" s="104" t="s">
        <v>869</v>
      </c>
      <c r="B40" s="310"/>
      <c r="C40" s="310"/>
      <c r="D40" s="310"/>
      <c r="E40" s="310"/>
      <c r="F40" s="310"/>
      <c r="G40" s="310"/>
      <c r="H40" s="310"/>
      <c r="I40" s="310"/>
      <c r="J40" s="2027"/>
      <c r="K40" s="3316" t="str">
        <f t="shared" ref="K40:K41" si="0">MID(A45,3,LEN(A45)-2)</f>
        <v/>
      </c>
      <c r="L40" s="3317"/>
      <c r="M40" s="3317"/>
      <c r="N40" s="3318"/>
      <c r="O40" s="1389" t="str">
        <f>C45</f>
        <v>——</v>
      </c>
      <c r="P40" s="2025"/>
      <c r="V40" s="2025"/>
    </row>
    <row r="41" spans="1:26" ht="16.2" thickBot="1">
      <c r="A41" s="311" t="s">
        <v>352</v>
      </c>
      <c r="B41" s="312"/>
      <c r="C41" s="313" t="s">
        <v>353</v>
      </c>
      <c r="D41" s="314" t="s">
        <v>354</v>
      </c>
      <c r="E41" s="314" t="s">
        <v>355</v>
      </c>
      <c r="F41" s="315" t="s">
        <v>356</v>
      </c>
      <c r="G41" s="310"/>
      <c r="H41" s="310"/>
      <c r="I41" s="310"/>
      <c r="J41" s="2027"/>
      <c r="K41" s="3316" t="str">
        <f t="shared" si="0"/>
        <v/>
      </c>
      <c r="L41" s="3317"/>
      <c r="M41" s="3317"/>
      <c r="N41" s="3318"/>
      <c r="O41" s="1389" t="str">
        <f>C46</f>
        <v>——</v>
      </c>
      <c r="P41" s="2025"/>
      <c r="V41" s="2025"/>
    </row>
    <row r="42" spans="1:26" ht="31.2">
      <c r="A42" s="3376" t="s">
        <v>2066</v>
      </c>
      <c r="B42" s="3377"/>
      <c r="C42" s="263">
        <f ca="1">C32</f>
        <v>10488</v>
      </c>
      <c r="D42" s="316">
        <f ca="1">C33</f>
        <v>11692</v>
      </c>
      <c r="E42" s="316">
        <f ca="1">C34</f>
        <v>35077</v>
      </c>
      <c r="F42" s="317">
        <f ca="1">C35</f>
        <v>2338</v>
      </c>
      <c r="G42" s="310"/>
      <c r="H42" s="310"/>
      <c r="I42" s="318"/>
      <c r="J42" s="2027"/>
      <c r="K42" s="1270" t="s">
        <v>357</v>
      </c>
      <c r="L42" s="2044" t="s">
        <v>358</v>
      </c>
      <c r="M42" s="1271" t="s">
        <v>359</v>
      </c>
      <c r="N42" s="2045" t="s">
        <v>360</v>
      </c>
      <c r="O42" s="2046" t="s">
        <v>361</v>
      </c>
      <c r="P42" s="2025"/>
      <c r="V42" s="2025"/>
    </row>
    <row r="43" spans="1:26" ht="30">
      <c r="A43" s="3386" t="s">
        <v>2730</v>
      </c>
      <c r="B43" s="3387"/>
      <c r="C43" s="263">
        <f ca="1">IF(H33="正常操作",G33+G34+G35,G34+G35)</f>
        <v>4555</v>
      </c>
      <c r="D43" s="316" t="s">
        <v>43</v>
      </c>
      <c r="E43" s="316" t="s">
        <v>44</v>
      </c>
      <c r="F43" s="317" t="s">
        <v>44</v>
      </c>
      <c r="G43" s="2887" t="s">
        <v>948</v>
      </c>
      <c r="H43" s="310"/>
      <c r="I43" s="318"/>
      <c r="J43" s="2027"/>
      <c r="K43" s="1272" t="str">
        <f>C4</f>
        <v>比较法-住宅、综合</v>
      </c>
      <c r="L43" s="1273">
        <f ca="1">IF(L42="估价结果/万元",C19,C20)</f>
        <v>10987</v>
      </c>
      <c r="M43" s="1274">
        <f>C18</f>
        <v>0.5</v>
      </c>
      <c r="N43" s="1275">
        <f ca="1">IF(N42="测算结果/万元",G19,G20)</f>
        <v>10491</v>
      </c>
      <c r="O43" s="1276">
        <f ca="1">IF(O42="最终结果/万元",C32,C33)</f>
        <v>10488</v>
      </c>
      <c r="P43" s="2025"/>
      <c r="V43" s="2025"/>
    </row>
    <row r="44" spans="1:26" ht="30.6" thickBot="1">
      <c r="A44" s="3376" t="str">
        <f>IF(OR(项目基本情况!E8="抵押价格",项目基本情况!E8="已注销及未注销"),"3.抵押价格","——")</f>
        <v>3.抵押价格</v>
      </c>
      <c r="B44" s="3377"/>
      <c r="C44" s="263">
        <f ca="1">IF(A44="——","——",C42-C43)</f>
        <v>5933</v>
      </c>
      <c r="D44" s="316">
        <f ca="1">ROUND(C44*10000/'数据-汇总表'!E3,0)</f>
        <v>6614</v>
      </c>
      <c r="E44" s="316">
        <f ca="1">ROUND(C44*10000/'数据-汇总表'!D3,0)</f>
        <v>19843</v>
      </c>
      <c r="F44" s="317">
        <f ca="1">ROUND(C44/('数据-汇总表'!D3/666.67),0)</f>
        <v>1323</v>
      </c>
      <c r="G44" s="310"/>
      <c r="H44" s="310"/>
      <c r="I44" s="318"/>
      <c r="J44" s="2027"/>
      <c r="K44" s="1277" t="str">
        <f>D4</f>
        <v>剩余法-待开发</v>
      </c>
      <c r="L44" s="1278">
        <f ca="1">IF(L42="估价结果/万元",D19,D20)</f>
        <v>9995</v>
      </c>
      <c r="M44" s="1279">
        <f>D18</f>
        <v>0.5</v>
      </c>
      <c r="N44" s="1280"/>
      <c r="O44" s="1281"/>
      <c r="P44" s="2025"/>
      <c r="V44" s="2025"/>
    </row>
    <row r="45" spans="1:26" ht="13.8">
      <c r="A45" s="3381" t="str">
        <f>IF(项目基本情况!E8="已注销及未注销","4.抵押担保权已注销时的抵押价格",IF(项目基本情况!E8="已注销","3.抵押担保权已注销时的抵押价格","——"))</f>
        <v>——</v>
      </c>
      <c r="B45" s="3382"/>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78" t="str">
        <f>IF(项目基本情况!E9="抵押净值",IF(A45="——","4.抵押净值","5.抵押净值"),"——")</f>
        <v>——</v>
      </c>
      <c r="B46" s="3379"/>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362</v>
      </c>
      <c r="B47" s="1282"/>
      <c r="C47" s="321" t="s">
        <v>363</v>
      </c>
      <c r="D47" s="322">
        <f ca="1">C44+[4]结果表!$H$118</f>
        <v>8681</v>
      </c>
      <c r="E47" s="322"/>
      <c r="F47" s="322"/>
      <c r="G47" s="323"/>
      <c r="H47" s="324"/>
      <c r="I47" s="325"/>
      <c r="J47" s="2027"/>
      <c r="K47" s="310" t="str">
        <f ca="1">IF(C43=0,"本次评估"&amp;IF(G43="设定","设定估价对象","")&amp;"不存在"&amp;MID(A43,3,LEN(A43)-2),"本次评估"&amp;IF(G43="设定","设定","")&amp;MID(A43,3,LEN(A43)-2)&amp;"为人民币"&amp;C43&amp;"万元整。")</f>
        <v>本次评估估价师知悉的法定优先受偿款为人民币4555万元整。</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3.2">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3.2">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3" t="s">
        <v>369</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44" t="s">
        <v>370</v>
      </c>
      <c r="B63" s="3345"/>
      <c r="C63" s="3346"/>
      <c r="D63" s="340">
        <f ca="1">ROUND(C42*F63,0)</f>
        <v>6293</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383" t="s">
        <v>374</v>
      </c>
      <c r="B64" s="3384"/>
      <c r="C64" s="3384"/>
      <c r="D64" s="3384"/>
      <c r="E64" s="3384"/>
      <c r="F64" s="3384"/>
      <c r="G64" s="3385"/>
      <c r="H64" s="1287"/>
      <c r="I64" s="947"/>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7"/>
      <c r="I65" s="947"/>
      <c r="J65" s="1987"/>
      <c r="K65" s="1288"/>
      <c r="L65" s="1289"/>
      <c r="M65" s="1289"/>
      <c r="N65" s="1321" t="s">
        <v>375</v>
      </c>
      <c r="O65" s="1322"/>
      <c r="P65" s="1323"/>
      <c r="Q65" s="2025"/>
      <c r="R65" s="2025"/>
      <c r="S65" s="2025"/>
      <c r="T65" s="2025"/>
      <c r="U65" s="2025"/>
      <c r="V65" s="2025"/>
    </row>
    <row r="66" spans="1:22" ht="26.4">
      <c r="A66" s="3380" t="s">
        <v>382</v>
      </c>
      <c r="B66" s="3351"/>
      <c r="C66" s="3351"/>
      <c r="D66" s="260">
        <f ca="1">IF(H66="情况1",0,IF(H66="情况2",D70,IF(H66="情况3",D71,IF(H66="情况4",D72))))</f>
        <v>330</v>
      </c>
      <c r="E66" s="992" t="str">
        <f>IF(H66="情况4","(销售额-原购置价)×税（费）率","销售额×税（费）率")</f>
        <v>销售额×税（费）率</v>
      </c>
      <c r="F66" s="349">
        <f>IF(H66="情况1","免征",'数据-取费表'!B41)</f>
        <v>5.5000000000000007E-2</v>
      </c>
      <c r="G66" s="350" t="s">
        <v>383</v>
      </c>
      <c r="H66" s="191" t="s">
        <v>384</v>
      </c>
      <c r="I66" s="1287"/>
      <c r="J66" s="2031"/>
      <c r="K66" s="1290">
        <v>1</v>
      </c>
      <c r="L66" s="3320" t="s">
        <v>381</v>
      </c>
      <c r="M66" s="3321"/>
      <c r="N66" s="2479"/>
      <c r="O66" s="2480"/>
      <c r="P66" s="2481"/>
      <c r="Q66" s="2025"/>
      <c r="R66" s="2025"/>
      <c r="S66" s="2025"/>
      <c r="T66" s="2025"/>
      <c r="U66" s="2025"/>
      <c r="V66" s="2025"/>
    </row>
    <row r="67" spans="1:22" ht="25.5" customHeight="1">
      <c r="A67" s="351" t="s">
        <v>386</v>
      </c>
      <c r="B67" s="3363" t="s">
        <v>387</v>
      </c>
      <c r="C67" s="3363"/>
      <c r="D67" s="352">
        <v>0</v>
      </c>
      <c r="E67" s="41" t="s">
        <v>388</v>
      </c>
      <c r="F67" s="62" t="s">
        <v>21</v>
      </c>
      <c r="G67" s="3347"/>
      <c r="H67" s="310"/>
      <c r="I67" s="1291"/>
      <c r="J67" s="2032"/>
      <c r="K67" s="1973">
        <v>2</v>
      </c>
      <c r="L67" s="3319" t="s">
        <v>385</v>
      </c>
      <c r="M67" s="3319"/>
      <c r="N67" s="1324">
        <f>'数据-取费表'!B2</f>
        <v>43340</v>
      </c>
      <c r="O67" s="1324"/>
      <c r="P67" s="1324"/>
      <c r="Q67" s="2025"/>
      <c r="R67" s="2025"/>
      <c r="S67" s="2025"/>
      <c r="T67" s="2025"/>
      <c r="U67" s="2025"/>
      <c r="V67" s="2025"/>
    </row>
    <row r="68" spans="1:22" ht="25.5" customHeight="1">
      <c r="A68" s="353"/>
      <c r="B68" s="3363" t="s">
        <v>390</v>
      </c>
      <c r="C68" s="3363"/>
      <c r="D68" s="354"/>
      <c r="E68" s="77"/>
      <c r="F68" s="355"/>
      <c r="G68" s="3348"/>
      <c r="H68" s="310"/>
      <c r="I68" s="1291"/>
      <c r="J68" s="2032"/>
      <c r="K68" s="1973">
        <v>3</v>
      </c>
      <c r="L68" s="3319" t="s">
        <v>389</v>
      </c>
      <c r="M68" s="3319"/>
      <c r="N68" s="1292">
        <f ca="1">C42</f>
        <v>10488</v>
      </c>
      <c r="O68" s="1292"/>
      <c r="P68" s="1292"/>
      <c r="Q68" s="2025"/>
      <c r="R68" s="2025"/>
      <c r="S68" s="2025"/>
      <c r="T68" s="2025"/>
      <c r="U68" s="2025"/>
      <c r="V68" s="2025"/>
    </row>
    <row r="69" spans="1:22" ht="12" customHeight="1">
      <c r="A69" s="356"/>
      <c r="B69" s="3363" t="s">
        <v>391</v>
      </c>
      <c r="C69" s="3363"/>
      <c r="D69" s="357"/>
      <c r="E69" s="73"/>
      <c r="F69" s="355"/>
      <c r="G69" s="3349"/>
      <c r="H69" s="310"/>
      <c r="I69" s="1291"/>
      <c r="J69" s="2032"/>
      <c r="K69" s="1293">
        <v>4</v>
      </c>
      <c r="L69" s="3325" t="s">
        <v>2882</v>
      </c>
      <c r="M69" s="3326"/>
      <c r="N69" s="1294">
        <f ca="1">C44</f>
        <v>5933</v>
      </c>
      <c r="O69" s="1294"/>
      <c r="P69" s="1294"/>
      <c r="Q69" s="2025"/>
      <c r="R69" s="2025"/>
      <c r="S69" s="2025"/>
      <c r="T69" s="2025"/>
      <c r="U69" s="2025"/>
      <c r="V69" s="2025"/>
    </row>
    <row r="70" spans="1:22" ht="24" customHeight="1">
      <c r="A70" s="358" t="s">
        <v>392</v>
      </c>
      <c r="B70" s="3363" t="s">
        <v>393</v>
      </c>
      <c r="C70" s="3363"/>
      <c r="D70" s="357">
        <f ca="1">ROUND(D63*'数据-取费表'!B41/(1+'数据-取费表'!C42),0)</f>
        <v>330</v>
      </c>
      <c r="E70" s="17" t="s">
        <v>394</v>
      </c>
      <c r="F70" s="359">
        <f>'数据-取费表'!B41</f>
        <v>5.5000000000000007E-2</v>
      </c>
      <c r="G70" s="360"/>
      <c r="H70" s="310"/>
      <c r="I70" s="1291"/>
      <c r="J70" s="2032"/>
      <c r="K70" s="3078"/>
      <c r="L70" s="3079"/>
      <c r="M70" s="3079"/>
      <c r="N70" s="3080" t="s">
        <v>2887</v>
      </c>
      <c r="O70" s="3079"/>
      <c r="P70" s="3081"/>
      <c r="Q70" s="2025"/>
      <c r="R70" s="2025"/>
      <c r="S70" s="2025"/>
      <c r="T70" s="2025"/>
      <c r="U70" s="2025"/>
      <c r="V70" s="2025"/>
    </row>
    <row r="71" spans="1:22" ht="12" customHeight="1">
      <c r="A71" s="358" t="s">
        <v>400</v>
      </c>
      <c r="B71" s="3362" t="s">
        <v>401</v>
      </c>
      <c r="C71" s="3374"/>
      <c r="D71" s="357">
        <f ca="1">ROUND(D63*'数据-取费表'!B41/(1+'数据-取费表'!C42),0)</f>
        <v>330</v>
      </c>
      <c r="E71" s="17" t="s">
        <v>394</v>
      </c>
      <c r="F71" s="359">
        <f>'数据-取费表'!B41</f>
        <v>5.5000000000000007E-2</v>
      </c>
      <c r="G71" s="360"/>
      <c r="H71" s="310"/>
      <c r="I71" s="1291"/>
      <c r="J71" s="2032"/>
      <c r="K71" s="3077" t="s">
        <v>395</v>
      </c>
      <c r="L71" s="3327" t="s">
        <v>396</v>
      </c>
      <c r="M71" s="3327"/>
      <c r="N71" s="3077" t="s">
        <v>397</v>
      </c>
      <c r="O71" s="3077" t="s">
        <v>398</v>
      </c>
      <c r="P71" s="3077" t="s">
        <v>399</v>
      </c>
      <c r="Q71" s="2025"/>
      <c r="R71" s="2025"/>
      <c r="S71" s="2025"/>
      <c r="T71" s="2025"/>
      <c r="U71" s="2025"/>
      <c r="V71" s="2025"/>
    </row>
    <row r="72" spans="1:22" ht="12" customHeight="1">
      <c r="A72" s="358" t="s">
        <v>403</v>
      </c>
      <c r="B72" s="3362" t="s">
        <v>404</v>
      </c>
      <c r="C72" s="3374"/>
      <c r="D72" s="357">
        <f ca="1">C86</f>
        <v>220</v>
      </c>
      <c r="E72" s="73" t="s">
        <v>405</v>
      </c>
      <c r="F72" s="359">
        <f>'数据-取费表'!B41</f>
        <v>5.5000000000000007E-2</v>
      </c>
      <c r="G72" s="360"/>
      <c r="H72" s="1297"/>
      <c r="I72" s="1291"/>
      <c r="J72" s="2032"/>
      <c r="K72" s="1973">
        <v>1</v>
      </c>
      <c r="L72" s="3324" t="s">
        <v>402</v>
      </c>
      <c r="M72" s="3324"/>
      <c r="N72" s="1295">
        <f ca="1">D66</f>
        <v>330</v>
      </c>
      <c r="O72" s="1856" t="str">
        <f>E66</f>
        <v>销售额×税（费）率</v>
      </c>
      <c r="P72" s="1296">
        <f>F66</f>
        <v>5.5000000000000007E-2</v>
      </c>
      <c r="Q72" s="2025"/>
      <c r="R72" s="2025"/>
      <c r="S72" s="2025"/>
      <c r="T72" s="2025"/>
      <c r="U72" s="2025"/>
      <c r="V72" s="2025"/>
    </row>
    <row r="73" spans="1:22" ht="24" customHeight="1">
      <c r="A73" s="3350" t="s">
        <v>407</v>
      </c>
      <c r="B73" s="3351"/>
      <c r="C73" s="3351"/>
      <c r="D73" s="361">
        <f>IF(H73="个人住宅",0,ROUND(D63*I73,0))</f>
        <v>0</v>
      </c>
      <c r="E73" s="17" t="s">
        <v>408</v>
      </c>
      <c r="F73" s="359" t="str">
        <f>IF(H73="正常",I73,"免征")</f>
        <v>免征</v>
      </c>
      <c r="G73" s="360"/>
      <c r="H73" s="191" t="s">
        <v>2455</v>
      </c>
      <c r="I73" s="359">
        <f>'数据-取费表'!B49</f>
        <v>5.0000000000000001E-4</v>
      </c>
      <c r="J73" s="2032"/>
      <c r="K73" s="1973">
        <v>2</v>
      </c>
      <c r="L73" s="3324" t="s">
        <v>406</v>
      </c>
      <c r="M73" s="3324"/>
      <c r="N73" s="1295">
        <f t="shared" ref="N73:P74" si="1">D73</f>
        <v>0</v>
      </c>
      <c r="O73" s="1856" t="str">
        <f t="shared" si="1"/>
        <v>销售额×税（费）率</v>
      </c>
      <c r="P73" s="1296" t="str">
        <f t="shared" si="1"/>
        <v>免征</v>
      </c>
      <c r="Q73" s="2025"/>
      <c r="R73" s="2025"/>
      <c r="S73" s="2025"/>
      <c r="T73" s="2025"/>
      <c r="U73" s="2025"/>
      <c r="V73" s="2025"/>
    </row>
    <row r="74" spans="1:22" ht="25.2">
      <c r="A74" s="3350" t="s">
        <v>411</v>
      </c>
      <c r="B74" s="3351"/>
      <c r="C74" s="3351"/>
      <c r="D74" s="361">
        <f ca="1">IF(H74="个人住宅",D75,D76)</f>
        <v>2912</v>
      </c>
      <c r="E74" s="17" t="s">
        <v>412</v>
      </c>
      <c r="F74" s="359" t="str">
        <f>IF(H74="正常",F76,"免征")</f>
        <v>——</v>
      </c>
      <c r="G74" s="982" t="s">
        <v>413</v>
      </c>
      <c r="H74" s="362" t="s">
        <v>409</v>
      </c>
      <c r="I74" s="42"/>
      <c r="J74" s="2032"/>
      <c r="K74" s="1973">
        <v>3</v>
      </c>
      <c r="L74" s="3324" t="s">
        <v>410</v>
      </c>
      <c r="M74" s="3324"/>
      <c r="N74" s="1295">
        <f t="shared" ca="1" si="1"/>
        <v>2912</v>
      </c>
      <c r="O74" s="1856" t="str">
        <f t="shared" si="1"/>
        <v>增值额×税（费）率</v>
      </c>
      <c r="P74" s="1298" t="str">
        <f t="shared" si="1"/>
        <v>——</v>
      </c>
      <c r="Q74" s="2025"/>
      <c r="R74" s="2025"/>
      <c r="S74" s="2025"/>
      <c r="T74" s="2025"/>
      <c r="U74" s="2025"/>
      <c r="V74" s="2025"/>
    </row>
    <row r="75" spans="1:22" ht="24">
      <c r="A75" s="358" t="s">
        <v>414</v>
      </c>
      <c r="B75" s="3331" t="s">
        <v>415</v>
      </c>
      <c r="C75" s="3332"/>
      <c r="D75" s="363">
        <v>0</v>
      </c>
      <c r="E75" s="41" t="s">
        <v>416</v>
      </c>
      <c r="F75" s="364"/>
      <c r="G75" s="360"/>
      <c r="H75" s="42"/>
      <c r="I75" s="42"/>
      <c r="J75" s="2032"/>
      <c r="K75" s="3070">
        <f>IF(H77="非个人房产","",4)</f>
        <v>4</v>
      </c>
      <c r="L75" s="3324" t="str">
        <f>IF(H77="非个人房产","——","个人所得税")</f>
        <v>个人所得税</v>
      </c>
      <c r="M75" s="3324"/>
      <c r="N75" s="1299">
        <f ca="1">D77</f>
        <v>63</v>
      </c>
      <c r="O75" s="1869" t="str">
        <f>E77</f>
        <v>销售额×税（费）率</v>
      </c>
      <c r="P75" s="1300">
        <f>F77</f>
        <v>0.01</v>
      </c>
      <c r="Q75" s="2025"/>
      <c r="R75" s="2025"/>
      <c r="S75" s="2025"/>
      <c r="T75" s="2025"/>
      <c r="U75" s="2025"/>
      <c r="V75" s="2025"/>
    </row>
    <row r="76" spans="1:22" ht="25.2">
      <c r="A76" s="358" t="s">
        <v>392</v>
      </c>
      <c r="B76" s="3331" t="s">
        <v>418</v>
      </c>
      <c r="C76" s="3373"/>
      <c r="D76" s="361">
        <f ca="1">IF(H76="转让取得",C99,C115)</f>
        <v>2912</v>
      </c>
      <c r="E76" s="17" t="s">
        <v>419</v>
      </c>
      <c r="F76" s="53" t="s">
        <v>21</v>
      </c>
      <c r="G76" s="360"/>
      <c r="H76" s="362" t="s">
        <v>420</v>
      </c>
      <c r="I76" s="42"/>
      <c r="J76" s="2032"/>
      <c r="K76" s="3070" t="str">
        <f>IF(项目基本情况!K6="上海银行",IF(K75="",4,K75+1),"")</f>
        <v/>
      </c>
      <c r="L76" s="3312" t="str">
        <f>IF(项目基本情况!K6="上海银行","其他处置费用","")</f>
        <v/>
      </c>
      <c r="M76" s="3313"/>
      <c r="N76" s="1295" t="str">
        <f>IF(项目基本情况!K6="上海银行",N89,"")</f>
        <v/>
      </c>
      <c r="O76" s="3314" t="str">
        <f>IF(项目基本情况!K6="上海银行","包含处置中涉及的律师、诉讼、拍卖、评估等费用","")</f>
        <v/>
      </c>
      <c r="P76" s="3315"/>
      <c r="Q76" s="2025"/>
      <c r="R76" s="2025"/>
      <c r="S76" s="2025"/>
      <c r="T76" s="2025"/>
      <c r="U76" s="2025"/>
      <c r="V76" s="2025"/>
    </row>
    <row r="77" spans="1:22" ht="27" thickBot="1">
      <c r="A77" s="3342" t="s">
        <v>422</v>
      </c>
      <c r="B77" s="3343"/>
      <c r="C77" s="3343"/>
      <c r="D77" s="365">
        <f ca="1">IF(H77="非个人房产","——",IF(H77="个人住宅",0,ROUND(D63*I77,0)))</f>
        <v>63</v>
      </c>
      <c r="E77" s="366" t="str">
        <f>IF(H77="非个人房产","——","销售额×税（费）率")</f>
        <v>销售额×税（费）率</v>
      </c>
      <c r="F77" s="367">
        <f>IF(H77="非个人房产","——",IF(H77="个人住宅","免征",I77))</f>
        <v>0.01</v>
      </c>
      <c r="G77" s="983" t="s">
        <v>413</v>
      </c>
      <c r="H77" s="362" t="s">
        <v>2883</v>
      </c>
      <c r="I77" s="368">
        <v>0.01</v>
      </c>
      <c r="J77" s="2032"/>
      <c r="K77" s="3338">
        <f>IF(AND(K75="",K76=""),4,IF(项目基本情况!K6="上海银行",K76+1,K75+1))</f>
        <v>5</v>
      </c>
      <c r="L77" s="3324" t="s">
        <v>2884</v>
      </c>
      <c r="M77" s="3076" t="s">
        <v>417</v>
      </c>
      <c r="N77" s="1301"/>
      <c r="O77" s="1302">
        <f ca="1">SUMIF(N72:N76,"&lt;9e307")</f>
        <v>3305</v>
      </c>
      <c r="P77" s="1303"/>
      <c r="Q77" s="3074">
        <f ca="1">O77/N69</f>
        <v>0.55705376706556553</v>
      </c>
      <c r="R77" s="2025"/>
      <c r="S77" s="2025"/>
      <c r="T77" s="2025"/>
      <c r="U77" s="2025"/>
      <c r="V77" s="2025"/>
    </row>
    <row r="78" spans="1:22" ht="12" customHeight="1">
      <c r="A78" s="1304"/>
      <c r="B78" s="310"/>
      <c r="C78" s="310"/>
      <c r="D78" s="310"/>
      <c r="E78" s="42"/>
      <c r="F78" s="42"/>
      <c r="G78" s="42"/>
      <c r="H78" s="1002"/>
      <c r="I78" s="310"/>
      <c r="J78" s="2032"/>
      <c r="K78" s="3338"/>
      <c r="L78" s="3324"/>
      <c r="M78" s="3076" t="s">
        <v>421</v>
      </c>
      <c r="N78" s="1301"/>
      <c r="O78" s="1302" t="str">
        <f ca="1">NUMBERSTRING(INT(O77*10000),2)&amp;"元整"</f>
        <v>叁仟叁佰零伍万元整</v>
      </c>
      <c r="P78" s="1303"/>
      <c r="Q78" s="2025"/>
      <c r="R78" s="2025"/>
      <c r="S78" s="2025"/>
      <c r="T78" s="2025"/>
      <c r="U78" s="2025"/>
      <c r="V78" s="2025"/>
    </row>
    <row r="79" spans="1:22" ht="13.8" thickBot="1">
      <c r="A79" s="3328" t="s">
        <v>423</v>
      </c>
      <c r="B79" s="3328"/>
      <c r="C79" s="3328"/>
      <c r="D79" s="3328"/>
      <c r="E79" s="3328"/>
      <c r="F79" s="42"/>
      <c r="G79" s="42"/>
      <c r="H79" s="1002"/>
      <c r="I79" s="310"/>
      <c r="J79" s="2032"/>
      <c r="K79" s="3322">
        <f>K77+1</f>
        <v>6</v>
      </c>
      <c r="L79" s="3324" t="s">
        <v>2885</v>
      </c>
      <c r="M79" s="3076" t="s">
        <v>417</v>
      </c>
      <c r="N79" s="1301"/>
      <c r="O79" s="1302">
        <f ca="1">N69-O77</f>
        <v>2628</v>
      </c>
      <c r="P79" s="1303"/>
      <c r="Q79" s="2025"/>
      <c r="R79" s="2025"/>
      <c r="S79" s="2025"/>
      <c r="T79" s="2025"/>
      <c r="U79" s="2025"/>
      <c r="V79" s="2025"/>
    </row>
    <row r="80" spans="1:22" ht="26.4">
      <c r="A80" s="3329" t="s">
        <v>424</v>
      </c>
      <c r="B80" s="3330"/>
      <c r="C80" s="993"/>
      <c r="D80" s="993" t="s">
        <v>425</v>
      </c>
      <c r="E80" s="369" t="s">
        <v>426</v>
      </c>
      <c r="F80" s="42"/>
      <c r="G80" s="42"/>
      <c r="H80" s="1002"/>
      <c r="I80" s="310"/>
      <c r="J80" s="2025"/>
      <c r="K80" s="3323"/>
      <c r="L80" s="3324"/>
      <c r="M80" s="3076" t="s">
        <v>421</v>
      </c>
      <c r="N80" s="1301"/>
      <c r="O80" s="1302" t="str">
        <f ca="1">NUMBERSTRING(INT(O79*10000),2)&amp;"元整"</f>
        <v>贰仟陆佰贰拾捌万元整</v>
      </c>
      <c r="P80" s="1303"/>
      <c r="Q80" s="2025"/>
      <c r="R80" s="2025"/>
      <c r="S80" s="2025"/>
      <c r="T80" s="2025"/>
      <c r="U80" s="2025"/>
      <c r="V80" s="2025"/>
    </row>
    <row r="81" spans="1:26" ht="13.8" thickBot="1">
      <c r="A81" s="380" t="s">
        <v>1820</v>
      </c>
      <c r="B81" s="370" t="s">
        <v>427</v>
      </c>
      <c r="C81" s="371">
        <f ca="1">ROUND((C82+C83)/(1+'数据-取费表'!C42),0)</f>
        <v>5993</v>
      </c>
      <c r="D81" s="372"/>
      <c r="E81" s="373"/>
      <c r="F81" s="42"/>
      <c r="G81" s="42"/>
      <c r="H81" s="1002"/>
      <c r="I81" s="310"/>
      <c r="J81" s="2025"/>
      <c r="K81" s="3070">
        <f>K79+1</f>
        <v>7</v>
      </c>
      <c r="L81" s="3336" t="s">
        <v>2886</v>
      </c>
      <c r="M81" s="3337"/>
      <c r="N81" s="1305"/>
      <c r="O81" s="1306">
        <f ca="1">ROUND(O79*10000/'数据-汇总表'!E3,0)</f>
        <v>2930</v>
      </c>
      <c r="P81" s="1307"/>
      <c r="Q81" s="2025"/>
      <c r="R81" s="2025"/>
      <c r="S81" s="2025"/>
      <c r="T81" s="2025"/>
      <c r="U81" s="2025"/>
      <c r="V81" s="2025"/>
    </row>
    <row r="82" spans="1:26" ht="13.8" thickTop="1">
      <c r="A82" s="374" t="s">
        <v>1821</v>
      </c>
      <c r="B82" s="375" t="s">
        <v>428</v>
      </c>
      <c r="C82" s="376">
        <f ca="1">D63</f>
        <v>6293</v>
      </c>
      <c r="D82" s="377" t="s">
        <v>19</v>
      </c>
      <c r="E82" s="378"/>
      <c r="F82" s="42"/>
      <c r="G82" s="42"/>
      <c r="H82" s="1002"/>
      <c r="I82" s="310"/>
      <c r="J82" s="2025"/>
      <c r="K82" s="2025"/>
      <c r="L82" s="2025"/>
      <c r="M82" s="2025"/>
      <c r="N82" s="2025"/>
      <c r="O82" s="2025"/>
      <c r="P82" s="2025"/>
      <c r="Q82" s="2025"/>
      <c r="R82" s="2025"/>
      <c r="S82" s="2025"/>
      <c r="T82" s="2025"/>
      <c r="U82" s="2025"/>
      <c r="V82" s="2025"/>
    </row>
    <row r="83" spans="1:26" ht="13.2">
      <c r="A83" s="374" t="s">
        <v>1822</v>
      </c>
      <c r="B83" s="375" t="s">
        <v>429</v>
      </c>
      <c r="C83" s="379">
        <v>0</v>
      </c>
      <c r="D83" s="377"/>
      <c r="E83" s="378"/>
      <c r="F83" s="42"/>
      <c r="G83" s="42"/>
      <c r="H83" s="1002"/>
      <c r="I83" s="310"/>
      <c r="J83" s="2025"/>
      <c r="K83" s="3311" t="s">
        <v>2873</v>
      </c>
      <c r="L83" s="3082" t="s">
        <v>2874</v>
      </c>
      <c r="M83" s="3072">
        <f ca="1">IF(N69&gt;10000,N69*0.5%,IF(AND(N69&gt;1000,N69&lt;=10000),N69*1%,IF(AND(N69&gt;100,N69&lt;=1000),N69*3%,IF(AND(N69&gt;10,N69&lt;=100),N69*5%,N69*8%))))</f>
        <v>59.33</v>
      </c>
      <c r="N83" s="53">
        <f ca="1">ROUND(M83,1)</f>
        <v>59.3</v>
      </c>
      <c r="O83" s="3075"/>
      <c r="P83" s="2025"/>
      <c r="Q83" s="2025"/>
      <c r="R83" s="2025"/>
      <c r="S83" s="2025"/>
      <c r="T83" s="2025"/>
      <c r="U83" s="2025"/>
      <c r="V83" s="2025"/>
    </row>
    <row r="84" spans="1:26" ht="25.2">
      <c r="A84" s="380" t="s">
        <v>1823</v>
      </c>
      <c r="B84" s="381" t="s">
        <v>430</v>
      </c>
      <c r="C84" s="382">
        <v>2000</v>
      </c>
      <c r="D84" s="383" t="s">
        <v>19</v>
      </c>
      <c r="E84" s="3113" t="s">
        <v>2932</v>
      </c>
      <c r="F84" s="42"/>
      <c r="G84" s="42"/>
      <c r="H84" s="1002"/>
      <c r="I84" s="310"/>
      <c r="J84" s="2025"/>
      <c r="K84" s="3311"/>
      <c r="L84" s="3082" t="s">
        <v>2875</v>
      </c>
      <c r="M84" s="3072">
        <f ca="1">IF(N69&gt;2000,N69*0.5%,IF(AND(N69&gt;1000,N69&lt;=2000),N69*0.6%,IF(AND(N69&gt;500,N69&lt;=1000),N69*0.7%,IF(AND(N69&gt;200,N69&lt;=500),N69*0.8%,IF(AND(N69&gt;100,N69&lt;=200),N69*0.9%,IF(AND(N69&gt;50,N69&lt;=100),N69*1%,IF(AND(N69&gt;20,N69&lt;=50),N69*1.5%,IF(AND(N69&gt;10,N69&lt;=20),N69*2%,IF(AND(N69&gt;1,N69&lt;=10),N69*2.5%)))))))))</f>
        <v>29.664999999999999</v>
      </c>
      <c r="N84" s="53">
        <f t="shared" ref="N84:N85" ca="1" si="2">ROUND(M84,1)</f>
        <v>29.7</v>
      </c>
      <c r="O84" s="2025" t="s">
        <v>2876</v>
      </c>
      <c r="P84" s="2025"/>
      <c r="Q84" s="2025"/>
      <c r="R84" s="2025"/>
      <c r="S84" s="2025"/>
      <c r="T84" s="2025"/>
      <c r="U84" s="2025"/>
      <c r="V84" s="2025"/>
    </row>
    <row r="85" spans="1:26" ht="13.2">
      <c r="A85" s="380" t="s">
        <v>1824</v>
      </c>
      <c r="B85" s="381" t="s">
        <v>431</v>
      </c>
      <c r="C85" s="384">
        <f ca="1">C81-C84</f>
        <v>3993</v>
      </c>
      <c r="D85" s="377" t="s">
        <v>19</v>
      </c>
      <c r="E85" s="378"/>
      <c r="F85" s="42"/>
      <c r="G85" s="42"/>
      <c r="H85" s="1002"/>
      <c r="I85" s="310"/>
      <c r="J85" s="2025"/>
      <c r="K85" s="3311"/>
      <c r="L85" s="3082" t="s">
        <v>2877</v>
      </c>
      <c r="M85" s="3072">
        <f ca="1">IF(N69&gt;1000,N69*0.1%,IF(AND(N69&gt;500,N69&lt;=1000),N69*0.5%,IF(AND(N69&gt;50,N69&lt;=500),N69*1%,IF(AND(N69&gt;1,N69&lt;=50),N69*1.5%))))</f>
        <v>5.9329999999999998</v>
      </c>
      <c r="N85" s="53">
        <f t="shared" ca="1" si="2"/>
        <v>5.9</v>
      </c>
      <c r="O85" s="2025" t="s">
        <v>2876</v>
      </c>
      <c r="P85" s="2025"/>
      <c r="Q85" s="2025"/>
      <c r="R85" s="2025"/>
      <c r="S85" s="2025"/>
      <c r="T85" s="2025"/>
      <c r="U85" s="2025"/>
      <c r="V85" s="2025"/>
    </row>
    <row r="86" spans="1:26" ht="13.8" thickBot="1">
      <c r="A86" s="385" t="s">
        <v>1825</v>
      </c>
      <c r="B86" s="386" t="s">
        <v>432</v>
      </c>
      <c r="C86" s="387">
        <f ca="1">IF(C85&lt;=0,0,ROUND(C85*D86,0))</f>
        <v>220</v>
      </c>
      <c r="D86" s="388">
        <f>'数据-取费表'!B41</f>
        <v>5.5000000000000007E-2</v>
      </c>
      <c r="E86" s="389"/>
      <c r="F86" s="42"/>
      <c r="G86" s="42"/>
      <c r="H86" s="1002"/>
      <c r="I86" s="310"/>
      <c r="J86" s="2025"/>
      <c r="K86" s="3311"/>
      <c r="L86" s="3082" t="s">
        <v>2878</v>
      </c>
      <c r="M86" s="3072">
        <f ca="1">N69*0.5%</f>
        <v>29.664999999999999</v>
      </c>
      <c r="N86" s="53">
        <f ca="1">IF(M86&gt;0.5,0.5,ROUND(M86,0))</f>
        <v>0.5</v>
      </c>
      <c r="O86" s="2025" t="s">
        <v>2879</v>
      </c>
      <c r="P86" s="2025"/>
      <c r="Q86" s="2025"/>
      <c r="R86" s="2025"/>
      <c r="S86" s="2025"/>
      <c r="T86" s="2025"/>
      <c r="U86" s="2025"/>
      <c r="V86" s="2025"/>
    </row>
    <row r="87" spans="1:26" s="1253" customFormat="1" ht="14.25" customHeight="1">
      <c r="A87" s="1308"/>
      <c r="B87" s="1309"/>
      <c r="C87" s="1310"/>
      <c r="D87" s="1311"/>
      <c r="E87" s="1312"/>
      <c r="F87" s="42"/>
      <c r="G87" s="42"/>
      <c r="H87" s="1002"/>
      <c r="I87" s="310"/>
      <c r="J87" s="2025"/>
      <c r="K87" s="3311"/>
      <c r="L87" s="3082" t="s">
        <v>2880</v>
      </c>
      <c r="M87" s="3072">
        <f ca="1">IF(N69&gt;=10000,(8.25+(N69-10000)*0.01%),IF(AND(N69&gt;=8000,N69&lt;10000),(7.85+(N69-8000)*0.02%),IF(AND(N69&gt;=5000,N69&lt;8000),(6.65+(N69-5000)*0.04%),IF(AND(N69&gt;=2000,N69&lt;5000),(4.25+(PN69-2000)*0.08%),IF(AND(N69&gt;=1000,N69&lt;2000),(2.75+(N69-1000)*0.15%),IF(AND(N69&gt;=100,N69&lt;1000),(0.5+(N69-100)*0.25%),IF(AND(N69&gt;0,N69&lt;100),N69*0.5%)))))))</f>
        <v>7.0232000000000001</v>
      </c>
      <c r="N87" s="53">
        <f ca="1">ROUND(M87*0.9,1)</f>
        <v>6.3</v>
      </c>
      <c r="O87" s="3075"/>
      <c r="P87" s="310"/>
      <c r="Q87" s="2025"/>
      <c r="R87" s="2025"/>
      <c r="S87" s="2025"/>
      <c r="T87" s="2025"/>
      <c r="U87" s="2025"/>
      <c r="V87" s="2025"/>
      <c r="W87" s="291"/>
      <c r="X87" s="291"/>
      <c r="Y87" s="291"/>
      <c r="Z87" s="291"/>
    </row>
    <row r="88" spans="1:26" s="1313" customFormat="1" ht="14.4" thickBot="1">
      <c r="A88" s="3365" t="s">
        <v>433</v>
      </c>
      <c r="B88" s="3366"/>
      <c r="C88" s="3366"/>
      <c r="D88" s="3366"/>
      <c r="E88" s="3366"/>
      <c r="F88" s="3366"/>
      <c r="G88" s="3366"/>
      <c r="H88" s="3366"/>
      <c r="I88" s="1314"/>
      <c r="J88" s="2033"/>
      <c r="K88" s="3311"/>
      <c r="L88" s="3082" t="s">
        <v>2881</v>
      </c>
      <c r="M88" s="3072">
        <f ca="1">IF(N69&gt;10000,N69*0.5%,IF(AND(N69&gt;5000,N69&lt;=10000),N69*1%,IF(AND(N69&gt;1000,N69&lt;=5000),N69*2%,IF(AND(N69&gt;200,N69&lt;=1000),N69*3%,N69*5%))))</f>
        <v>59.33</v>
      </c>
      <c r="N88" s="53">
        <f ca="1">ROUND(M88,1)</f>
        <v>59.3</v>
      </c>
      <c r="O88" s="3075"/>
      <c r="P88" s="11"/>
      <c r="Q88" s="2030"/>
      <c r="R88" s="2030"/>
      <c r="S88" s="2030"/>
      <c r="T88" s="2030"/>
      <c r="U88" s="2030"/>
      <c r="V88" s="2030"/>
      <c r="W88" s="2034"/>
      <c r="X88" s="2034"/>
      <c r="Y88" s="2034"/>
      <c r="Z88" s="2034"/>
    </row>
    <row r="89" spans="1:26" s="1313" customFormat="1" ht="13.8">
      <c r="A89" s="3329" t="s">
        <v>424</v>
      </c>
      <c r="B89" s="3330"/>
      <c r="C89" s="993"/>
      <c r="D89" s="993" t="s">
        <v>425</v>
      </c>
      <c r="E89" s="390" t="s">
        <v>434</v>
      </c>
      <c r="F89" s="391"/>
      <c r="G89" s="391"/>
      <c r="H89" s="392"/>
      <c r="I89" s="1315"/>
      <c r="J89" s="2035"/>
      <c r="K89" s="3311"/>
      <c r="L89" s="3082" t="s">
        <v>27</v>
      </c>
      <c r="M89" s="3073"/>
      <c r="N89" s="53">
        <f ca="1">ROUND(SUM(N83:N88),0)</f>
        <v>161</v>
      </c>
      <c r="O89" s="3083">
        <f ca="1">N89/N69</f>
        <v>2.7136355975054777E-2</v>
      </c>
      <c r="P89" s="2030"/>
      <c r="Q89" s="2030"/>
      <c r="R89" s="2030"/>
      <c r="S89" s="2030"/>
      <c r="T89" s="2030"/>
      <c r="U89" s="2030"/>
      <c r="V89" s="2030"/>
      <c r="W89" s="2034"/>
      <c r="X89" s="2034"/>
      <c r="Y89" s="2034"/>
      <c r="Z89" s="2034"/>
    </row>
    <row r="90" spans="1:26" s="1313" customFormat="1" ht="13.8">
      <c r="A90" s="380" t="s">
        <v>1820</v>
      </c>
      <c r="B90" s="381" t="s">
        <v>435</v>
      </c>
      <c r="C90" s="384">
        <f ca="1">ROUND(D63/(1+'数据-取费表'!C42),0)</f>
        <v>5993</v>
      </c>
      <c r="D90" s="377" t="s">
        <v>19</v>
      </c>
      <c r="E90" s="990"/>
      <c r="F90" s="989"/>
      <c r="G90" s="989"/>
      <c r="H90" s="393"/>
      <c r="I90" s="1315"/>
      <c r="J90" s="2035"/>
      <c r="K90" s="2030"/>
      <c r="L90" s="2030"/>
      <c r="M90" s="2030"/>
      <c r="N90" s="2030"/>
      <c r="O90" s="2030"/>
      <c r="P90" s="2030"/>
      <c r="Q90" s="2030"/>
      <c r="R90" s="2030"/>
      <c r="S90" s="2030"/>
      <c r="T90" s="2030"/>
      <c r="U90" s="2030"/>
      <c r="V90" s="2030"/>
      <c r="W90" s="2034"/>
      <c r="X90" s="2034"/>
      <c r="Y90" s="2034"/>
      <c r="Z90" s="2034"/>
    </row>
    <row r="91" spans="1:26" s="1313" customFormat="1" ht="13.8">
      <c r="A91" s="380" t="s">
        <v>1826</v>
      </c>
      <c r="B91" s="347" t="s">
        <v>436</v>
      </c>
      <c r="C91" s="384">
        <f ca="1">C92+C96</f>
        <v>2591</v>
      </c>
      <c r="D91" s="377" t="s">
        <v>19</v>
      </c>
      <c r="E91" s="990"/>
      <c r="F91" s="989"/>
      <c r="G91" s="989"/>
      <c r="H91" s="393"/>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4" t="s">
        <v>1827</v>
      </c>
      <c r="B92" s="375" t="s">
        <v>437</v>
      </c>
      <c r="C92" s="377">
        <f>ROUND(IF(G95="2016年5月1日后购买",C93/(1+'数据-取费表'!C30)+C94+C95,C93+C94+C95),0)</f>
        <v>2561</v>
      </c>
      <c r="D92" s="377" t="s">
        <v>19</v>
      </c>
      <c r="E92" s="990"/>
      <c r="F92" s="989"/>
      <c r="G92" s="989"/>
      <c r="H92" s="393"/>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4">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4" t="s">
        <v>1829</v>
      </c>
      <c r="B94" s="399" t="s">
        <v>442</v>
      </c>
      <c r="C94" s="377">
        <f>IF(F93="购房发票",ROUND(C93*H93*5%,0),0)</f>
        <v>500</v>
      </c>
      <c r="D94" s="400">
        <v>0.05</v>
      </c>
      <c r="E94" s="3362" t="s">
        <v>443</v>
      </c>
      <c r="F94" s="3363"/>
      <c r="G94" s="3363"/>
      <c r="H94" s="3364"/>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4" t="s">
        <v>1831</v>
      </c>
      <c r="B96" s="375" t="s">
        <v>446</v>
      </c>
      <c r="C96" s="404">
        <f ca="1">ROUND(D63*D96/(1+'数据-取费表'!C42),0)</f>
        <v>30</v>
      </c>
      <c r="D96" s="405">
        <f>'数据-取费表'!B43</f>
        <v>5.000000000000001E-3</v>
      </c>
      <c r="E96" s="3352" t="s">
        <v>2428</v>
      </c>
      <c r="F96" s="3353"/>
      <c r="G96" s="3353"/>
      <c r="H96" s="3354"/>
      <c r="I96" s="1316"/>
      <c r="J96" s="2036"/>
      <c r="K96" s="2030"/>
      <c r="L96" s="2030"/>
      <c r="M96" s="2030"/>
      <c r="N96" s="2030"/>
      <c r="O96" s="2030"/>
      <c r="P96" s="2030"/>
      <c r="Q96" s="2030"/>
      <c r="R96" s="2030"/>
      <c r="S96" s="2030"/>
      <c r="T96" s="2030"/>
      <c r="U96" s="2030"/>
      <c r="V96" s="2030"/>
      <c r="W96" s="2034"/>
      <c r="X96" s="2034"/>
      <c r="Y96" s="2034"/>
      <c r="Z96" s="2034"/>
    </row>
    <row r="97" spans="1:26" s="1313" customFormat="1" ht="13.8">
      <c r="A97" s="1613" t="s">
        <v>1832</v>
      </c>
      <c r="B97" s="381" t="s">
        <v>447</v>
      </c>
      <c r="C97" s="384">
        <f ca="1">C90-C91</f>
        <v>3402</v>
      </c>
      <c r="D97" s="377" t="s">
        <v>19</v>
      </c>
      <c r="E97" s="990"/>
      <c r="F97" s="989"/>
      <c r="G97" s="989"/>
      <c r="H97" s="393"/>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3" t="s">
        <v>1833</v>
      </c>
      <c r="B98" s="381" t="s">
        <v>448</v>
      </c>
      <c r="C98" s="406">
        <f ca="1">IF(C97&lt;=0,0,C97/C91)</f>
        <v>1.3130065611732922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3"/>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6" thickBot="1">
      <c r="A99" s="1614" t="s">
        <v>1834</v>
      </c>
      <c r="B99" s="386" t="s">
        <v>449</v>
      </c>
      <c r="C99" s="407">
        <f ca="1">ROUND(IF(C97&lt;=0,0,IF(C98&gt;=200%,C97*60%-C91*35%,IF(C98&gt;=100%,C97*50%-C91*15%,IF(C98&gt;=50%,C97*40%-C91*5%,IF(C98&lt;50%,C97*30%,0))))),0)</f>
        <v>1312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0"/>
      <c r="G99" s="410"/>
      <c r="H99" s="411"/>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4.4" thickBot="1">
      <c r="A101" s="3365" t="s">
        <v>450</v>
      </c>
      <c r="B101" s="3366"/>
      <c r="C101" s="3366"/>
      <c r="D101" s="3366"/>
      <c r="E101" s="3366"/>
      <c r="F101" s="3366"/>
      <c r="G101" s="3366"/>
      <c r="H101" s="3366"/>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3.8">
      <c r="A102" s="3329" t="s">
        <v>424</v>
      </c>
      <c r="B102" s="3330"/>
      <c r="C102" s="993"/>
      <c r="D102" s="993"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3.8">
      <c r="A103" s="380" t="s">
        <v>1820</v>
      </c>
      <c r="B103" s="381" t="s">
        <v>435</v>
      </c>
      <c r="C103" s="384">
        <f ca="1">ROUND(D63/(1+'数据-取费表'!C42),0)</f>
        <v>5993</v>
      </c>
      <c r="D103" s="377" t="s">
        <v>19</v>
      </c>
      <c r="E103" s="990"/>
      <c r="F103" s="989"/>
      <c r="G103" s="989"/>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3.8">
      <c r="A104" s="380" t="s">
        <v>1826</v>
      </c>
      <c r="B104" s="347" t="s">
        <v>436</v>
      </c>
      <c r="C104" s="384">
        <f ca="1">IF(H106="仅含出让金",C105+C108+C109+C110+C111+C112,C105+C109+C110+C111+C112)</f>
        <v>720</v>
      </c>
      <c r="D104" s="414"/>
      <c r="E104" s="990"/>
      <c r="F104" s="989"/>
      <c r="G104" s="989"/>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3.8">
      <c r="A105" s="394" t="s">
        <v>1827</v>
      </c>
      <c r="B105" s="375" t="s">
        <v>451</v>
      </c>
      <c r="C105" s="404">
        <f>C106+C107</f>
        <v>572</v>
      </c>
      <c r="D105" s="405"/>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26.4">
      <c r="A106" s="394" t="s">
        <v>1828</v>
      </c>
      <c r="B106" s="375" t="s">
        <v>452</v>
      </c>
      <c r="C106" s="415">
        <v>555</v>
      </c>
      <c r="D106" s="405"/>
      <c r="E106" s="416" t="s">
        <v>453</v>
      </c>
      <c r="F106" s="985"/>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3.8">
      <c r="A107" s="394" t="s">
        <v>1829</v>
      </c>
      <c r="B107" s="375" t="s">
        <v>444</v>
      </c>
      <c r="C107" s="404">
        <f>ROUND(C106*D107,0)</f>
        <v>17</v>
      </c>
      <c r="D107" s="405">
        <f>'数据-取费表'!B48+'数据-取费表'!B49</f>
        <v>3.0499999999999999E-2</v>
      </c>
      <c r="E107" s="416" t="s">
        <v>455</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3.8">
      <c r="A108" s="394" t="s">
        <v>1831</v>
      </c>
      <c r="B108" s="375" t="s">
        <v>456</v>
      </c>
      <c r="C108" s="415"/>
      <c r="D108" s="405"/>
      <c r="E108" s="416"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5" t="s">
        <v>1835</v>
      </c>
      <c r="B109" s="375" t="s">
        <v>457</v>
      </c>
      <c r="C109" s="404">
        <f>IF(H109="——",IF(F1="现房",'剩余法-现房'!C18,'剩余法-待开发'!C18),I109)</f>
        <v>55</v>
      </c>
      <c r="D109" s="405"/>
      <c r="E109" s="3355" t="s">
        <v>458</v>
      </c>
      <c r="F109" s="3353"/>
      <c r="G109" s="3353"/>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5" t="s">
        <v>1836</v>
      </c>
      <c r="B110" s="375" t="s">
        <v>459</v>
      </c>
      <c r="C110" s="404">
        <f>ROUND((C105+C108+C109)*D110,0)</f>
        <v>63</v>
      </c>
      <c r="D110" s="405">
        <v>0.1</v>
      </c>
      <c r="E110" s="3355" t="s">
        <v>460</v>
      </c>
      <c r="F110" s="3353"/>
      <c r="G110" s="3353"/>
      <c r="H110" s="3354"/>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5" t="s">
        <v>1837</v>
      </c>
      <c r="B111" s="375" t="s">
        <v>446</v>
      </c>
      <c r="C111" s="404">
        <f ca="1">ROUND(D63*D111/(1+'数据-取费表'!C42),0)</f>
        <v>30</v>
      </c>
      <c r="D111" s="405">
        <f>'数据-取费表'!B43</f>
        <v>5.000000000000001E-3</v>
      </c>
      <c r="E111" s="3352" t="s">
        <v>2428</v>
      </c>
      <c r="F111" s="3353"/>
      <c r="G111" s="3353"/>
      <c r="H111" s="3354"/>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5" t="s">
        <v>1838</v>
      </c>
      <c r="B112" s="375" t="s">
        <v>461</v>
      </c>
      <c r="C112" s="404">
        <f>ROUND(C108*D112,0)</f>
        <v>0</v>
      </c>
      <c r="D112" s="405">
        <v>0.2</v>
      </c>
      <c r="E112" s="3355" t="s">
        <v>2453</v>
      </c>
      <c r="F112" s="3353"/>
      <c r="G112" s="3353"/>
      <c r="H112" s="3354"/>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3.8">
      <c r="A113" s="1613" t="s">
        <v>1832</v>
      </c>
      <c r="B113" s="381" t="s">
        <v>447</v>
      </c>
      <c r="C113" s="384">
        <f ca="1">ROUND(C103-C104,0)</f>
        <v>5273</v>
      </c>
      <c r="D113" s="377" t="s">
        <v>19</v>
      </c>
      <c r="E113" s="990"/>
      <c r="F113" s="989"/>
      <c r="G113" s="989"/>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3" t="s">
        <v>1833</v>
      </c>
      <c r="B114" s="381" t="s">
        <v>448</v>
      </c>
      <c r="C114" s="406">
        <f ca="1">IF(C113&lt;=0,0,C113/C104)</f>
        <v>7.3236111111111111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6" thickBot="1">
      <c r="A115" s="1614" t="s">
        <v>1834</v>
      </c>
      <c r="B115" s="386" t="s">
        <v>449</v>
      </c>
      <c r="C115" s="407">
        <f ca="1">ROUND(IF(C113&lt;=0,0,IF(C114&gt;=200%,C113*60%-C104*35%,IF(C114&gt;=100%,C113*50%-C104*15%,IF(C114&gt;=50%,C113*40%-C104*5%,IF(C114&lt;50%,C113*30%,0))))),0)</f>
        <v>2912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M45" sqref="M45"/>
    </sheetView>
  </sheetViews>
  <sheetFormatPr defaultColWidth="9" defaultRowHeight="13.8"/>
  <cols>
    <col min="1" max="1" width="15.6640625" style="1336" customWidth="1"/>
    <col min="2" max="2" width="15.77734375" style="1336" customWidth="1"/>
    <col min="3" max="3" width="21" style="1336" customWidth="1"/>
    <col min="4" max="4" width="16" style="1336" customWidth="1"/>
    <col min="5" max="5" width="16.109375" style="1336" customWidth="1"/>
    <col min="6" max="6" width="12.21875" style="1336" customWidth="1"/>
    <col min="7" max="7" width="15.6640625" style="1336" customWidth="1"/>
    <col min="8" max="8" width="12.21875" style="1336" customWidth="1"/>
    <col min="9" max="9" width="18"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4"/>
    </row>
    <row r="2" spans="1:30" s="1335" customFormat="1" ht="28.5" customHeight="1">
      <c r="A2" s="422" t="s">
        <v>463</v>
      </c>
      <c r="B2" s="507">
        <f>F68</f>
        <v>10987</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4"/>
    </row>
    <row r="3" spans="1:30" s="1335" customFormat="1" ht="28.5" customHeight="1">
      <c r="A3" s="1376" t="s">
        <v>1681</v>
      </c>
      <c r="B3" s="509">
        <f>ROUND(B2*10000/'数据-汇总表'!E3,0)</f>
        <v>12249</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5" customFormat="1" ht="28.5" customHeight="1">
      <c r="A4" s="510" t="s">
        <v>516</v>
      </c>
      <c r="B4" s="426">
        <f>IF(B48="单位面积地价",C50,ROUND(B2*10000/'数据-汇总表'!D3,0))</f>
        <v>36746</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5" customFormat="1" ht="28.5" customHeight="1" thickBot="1">
      <c r="A5" s="428"/>
      <c r="B5" s="429">
        <f>ROUND(B2/('数据-汇总表'!D3/666.67),0)</f>
        <v>2450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517</v>
      </c>
      <c r="B6" s="512"/>
      <c r="C6" s="3410" t="s">
        <v>518</v>
      </c>
      <c r="D6" s="3411"/>
      <c r="E6" s="3410" t="s">
        <v>519</v>
      </c>
      <c r="F6" s="3411"/>
      <c r="G6" s="3410" t="s">
        <v>520</v>
      </c>
      <c r="H6" s="3411"/>
      <c r="I6" s="3410" t="s">
        <v>521</v>
      </c>
      <c r="J6" s="3411"/>
      <c r="K6" s="513" t="s">
        <v>522</v>
      </c>
      <c r="L6" s="2130"/>
      <c r="M6" s="2129"/>
      <c r="N6" s="2129"/>
      <c r="O6" s="2131"/>
      <c r="P6" s="3412" t="s">
        <v>523</v>
      </c>
      <c r="Q6" s="3413"/>
      <c r="R6" s="3398" t="s">
        <v>519</v>
      </c>
      <c r="S6" s="3399"/>
      <c r="T6" s="3398" t="s">
        <v>520</v>
      </c>
      <c r="U6" s="3399"/>
      <c r="V6" s="3418" t="s">
        <v>521</v>
      </c>
      <c r="W6" s="3418"/>
      <c r="X6" s="1563"/>
      <c r="Y6" s="3398" t="s">
        <v>523</v>
      </c>
      <c r="Z6" s="3399"/>
      <c r="AA6" s="3393" t="s">
        <v>519</v>
      </c>
      <c r="AB6" s="3394" t="s">
        <v>520</v>
      </c>
      <c r="AC6" s="3393" t="s">
        <v>521</v>
      </c>
    </row>
    <row r="7" spans="1:30" ht="42" customHeight="1">
      <c r="A7" s="514"/>
      <c r="B7" s="515"/>
      <c r="C7" s="3423" t="s">
        <v>2921</v>
      </c>
      <c r="D7" s="3422"/>
      <c r="E7" s="3421" t="s">
        <v>3130</v>
      </c>
      <c r="F7" s="3422"/>
      <c r="G7" s="3421" t="s">
        <v>3134</v>
      </c>
      <c r="H7" s="3422"/>
      <c r="I7" s="3421" t="s">
        <v>3135</v>
      </c>
      <c r="J7" s="3422"/>
      <c r="K7" s="513"/>
      <c r="L7" s="2130"/>
      <c r="M7" s="2129"/>
      <c r="N7" s="2129"/>
      <c r="O7" s="2131"/>
      <c r="P7" s="3414"/>
      <c r="Q7" s="3415"/>
      <c r="R7" s="3400"/>
      <c r="S7" s="3401"/>
      <c r="T7" s="3400"/>
      <c r="U7" s="3401"/>
      <c r="V7" s="3418"/>
      <c r="W7" s="3418"/>
      <c r="X7" s="1563"/>
      <c r="Y7" s="3400"/>
      <c r="Z7" s="3401"/>
      <c r="AA7" s="3394"/>
      <c r="AB7" s="3394"/>
      <c r="AC7" s="3394"/>
    </row>
    <row r="8" spans="1:30" ht="21.6" thickBot="1">
      <c r="A8" s="514"/>
      <c r="B8" s="515"/>
      <c r="C8" s="3424" t="s">
        <v>2925</v>
      </c>
      <c r="D8" s="3425"/>
      <c r="E8" s="3424" t="s">
        <v>2925</v>
      </c>
      <c r="F8" s="3425"/>
      <c r="G8" s="3419" t="s">
        <v>2925</v>
      </c>
      <c r="H8" s="3420"/>
      <c r="I8" s="3419" t="s">
        <v>2925</v>
      </c>
      <c r="J8" s="3420"/>
      <c r="K8" s="513" t="s">
        <v>524</v>
      </c>
      <c r="L8" s="2130"/>
      <c r="M8" s="2129"/>
      <c r="N8" s="2129"/>
      <c r="O8" s="2131"/>
      <c r="P8" s="3416"/>
      <c r="Q8" s="3417"/>
      <c r="R8" s="3400"/>
      <c r="S8" s="3401"/>
      <c r="T8" s="3402"/>
      <c r="U8" s="3403"/>
      <c r="V8" s="3418"/>
      <c r="W8" s="3418"/>
      <c r="X8" s="1563"/>
      <c r="Y8" s="3402"/>
      <c r="Z8" s="3403"/>
      <c r="AA8" s="3395"/>
      <c r="AB8" s="3395"/>
      <c r="AC8" s="3395"/>
    </row>
    <row r="9" spans="1:30" s="1219" customFormat="1" ht="21.6" thickBot="1">
      <c r="A9" s="2933"/>
      <c r="B9" s="2940" t="s">
        <v>525</v>
      </c>
      <c r="C9" s="2932">
        <f>'数据-取费表'!B2</f>
        <v>43340</v>
      </c>
      <c r="D9" s="519">
        <v>100</v>
      </c>
      <c r="E9" s="520">
        <v>42955</v>
      </c>
      <c r="F9" s="521">
        <f>SUMIF(72:72,YEAR(E9)&amp;"-"&amp;INT((MONTH(E9)+2)/3),73:73)</f>
        <v>96</v>
      </c>
      <c r="G9" s="522">
        <v>42824</v>
      </c>
      <c r="H9" s="519">
        <f>SUMIF(72:72,YEAR(G9)&amp;"-"&amp;INT((MONTH(G9)+2)/3),73:73)</f>
        <v>94</v>
      </c>
      <c r="I9" s="522">
        <v>42724</v>
      </c>
      <c r="J9" s="519">
        <f>SUMIF(72:72,YEAR(I9)&amp;"-"&amp;INT((MONTH(I9)+2)/3),73:73)</f>
        <v>93</v>
      </c>
      <c r="K9" s="523"/>
      <c r="L9" s="2132"/>
      <c r="M9" s="2129"/>
      <c r="N9" s="2129"/>
      <c r="O9" s="2133"/>
      <c r="P9" s="3396" t="s">
        <v>526</v>
      </c>
      <c r="Q9" s="3405"/>
      <c r="R9" s="1564" t="s">
        <v>8</v>
      </c>
      <c r="S9" s="1565">
        <f t="shared" ref="S9:S17" si="0">F9</f>
        <v>96</v>
      </c>
      <c r="T9" s="1564" t="s">
        <v>8</v>
      </c>
      <c r="U9" s="1565">
        <f t="shared" ref="U9:U17" si="1">H9</f>
        <v>94</v>
      </c>
      <c r="V9" s="1564" t="s">
        <v>8</v>
      </c>
      <c r="W9" s="1565">
        <f t="shared" ref="W9:W17" si="2">J9</f>
        <v>93</v>
      </c>
      <c r="X9" s="1566"/>
      <c r="Y9" s="3396" t="s">
        <v>526</v>
      </c>
      <c r="Z9" s="3397"/>
      <c r="AA9" s="1567">
        <f>D9/F9</f>
        <v>1.0416666666666667</v>
      </c>
      <c r="AB9" s="1567">
        <f>D9/H9</f>
        <v>1.0638297872340425</v>
      </c>
      <c r="AC9" s="1567">
        <f>D9/J9</f>
        <v>1.075268817204301</v>
      </c>
    </row>
    <row r="10" spans="1:30" s="1219" customFormat="1" ht="21.6"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396" t="s">
        <v>529</v>
      </c>
      <c r="Q10" s="3397"/>
      <c r="R10" s="1564" t="s">
        <v>8</v>
      </c>
      <c r="S10" s="1565">
        <f t="shared" si="0"/>
        <v>100</v>
      </c>
      <c r="T10" s="1564" t="s">
        <v>8</v>
      </c>
      <c r="U10" s="1565">
        <f t="shared" si="1"/>
        <v>100</v>
      </c>
      <c r="V10" s="1564" t="s">
        <v>8</v>
      </c>
      <c r="W10" s="1565">
        <f t="shared" si="2"/>
        <v>100</v>
      </c>
      <c r="X10" s="1566"/>
      <c r="Y10" s="3396" t="s">
        <v>529</v>
      </c>
      <c r="Z10" s="3397"/>
      <c r="AA10" s="1567">
        <f t="shared" ref="AA10:AA47" si="3">D10/F10</f>
        <v>1</v>
      </c>
      <c r="AB10" s="1567">
        <f t="shared" ref="AB10:AB47" si="4">D10/H10</f>
        <v>1</v>
      </c>
      <c r="AC10" s="1567">
        <f t="shared" ref="AC10:AC47" si="5">D10/J10</f>
        <v>1</v>
      </c>
    </row>
    <row r="11" spans="1:30" s="1219" customFormat="1" ht="26.25" customHeight="1">
      <c r="A11" s="2935"/>
      <c r="B11" s="2942" t="s">
        <v>2756</v>
      </c>
      <c r="C11" s="2929" t="s">
        <v>1674</v>
      </c>
      <c r="D11" s="253">
        <v>100</v>
      </c>
      <c r="E11" s="2929" t="s">
        <v>3132</v>
      </c>
      <c r="F11" s="253">
        <f>SUMIF(77:77,E11,78:78)-SUMIF(77:77,C11,78:78)+100</f>
        <v>102</v>
      </c>
      <c r="G11" s="2929" t="s">
        <v>3132</v>
      </c>
      <c r="H11" s="253">
        <f>SUMIF(77:77,G11,78:78)-SUMIF(77:77,C11,78:78)+100</f>
        <v>102</v>
      </c>
      <c r="I11" s="2929" t="s">
        <v>3132</v>
      </c>
      <c r="J11" s="253">
        <f>SUMIF(77:77,I11,78:78)-SUMIF(77:77,C11,78:78)+100</f>
        <v>102</v>
      </c>
      <c r="K11" s="523"/>
      <c r="L11" s="2132"/>
      <c r="M11" s="2129"/>
      <c r="N11" s="2129"/>
      <c r="O11" s="2134"/>
      <c r="P11" s="3404" t="s">
        <v>531</v>
      </c>
      <c r="Q11" s="1150" t="str">
        <f t="shared" ref="Q11:Q17" si="6">B11</f>
        <v>用途</v>
      </c>
      <c r="R11" s="1564" t="s">
        <v>8</v>
      </c>
      <c r="S11" s="1565">
        <f t="shared" si="0"/>
        <v>102</v>
      </c>
      <c r="T11" s="1564" t="s">
        <v>8</v>
      </c>
      <c r="U11" s="1565">
        <f t="shared" si="1"/>
        <v>102</v>
      </c>
      <c r="V11" s="1564" t="s">
        <v>8</v>
      </c>
      <c r="W11" s="1565">
        <f t="shared" si="2"/>
        <v>102</v>
      </c>
      <c r="X11" s="1566"/>
      <c r="Y11" s="3361" t="s">
        <v>532</v>
      </c>
      <c r="Z11" s="1149" t="str">
        <f t="shared" ref="Z11:Z17" si="7">Q11</f>
        <v>用途</v>
      </c>
      <c r="AA11" s="1567">
        <f t="shared" si="3"/>
        <v>0.98039215686274506</v>
      </c>
      <c r="AB11" s="1567">
        <f t="shared" si="4"/>
        <v>0.98039215686274506</v>
      </c>
      <c r="AC11" s="1567">
        <f t="shared" si="5"/>
        <v>0.98039215686274506</v>
      </c>
    </row>
    <row r="12" spans="1:30" s="1337" customFormat="1" ht="28.8">
      <c r="A12" s="2936"/>
      <c r="B12" s="2941" t="s">
        <v>2757</v>
      </c>
      <c r="C12" s="909"/>
      <c r="D12" s="254">
        <v>100</v>
      </c>
      <c r="E12" s="528"/>
      <c r="F12" s="254">
        <f>ROUND(100/'数据-取费表'!G16,0)</f>
        <v>115</v>
      </c>
      <c r="G12" s="529"/>
      <c r="H12" s="254">
        <f>ROUND(100/'数据-取费表'!G16,0)</f>
        <v>115</v>
      </c>
      <c r="I12" s="529"/>
      <c r="J12" s="254">
        <f>ROUND(100/'数据-取费表'!G16,0)</f>
        <v>115</v>
      </c>
      <c r="K12" s="530"/>
      <c r="L12" s="2135"/>
      <c r="M12" s="2129"/>
      <c r="N12" s="2129"/>
      <c r="O12" s="2136"/>
      <c r="P12" s="3404"/>
      <c r="Q12" s="1150" t="str">
        <f t="shared" si="6"/>
        <v>土地使用年限（年）</v>
      </c>
      <c r="R12" s="1564" t="s">
        <v>8</v>
      </c>
      <c r="S12" s="1565">
        <f t="shared" si="0"/>
        <v>115</v>
      </c>
      <c r="T12" s="1564" t="s">
        <v>8</v>
      </c>
      <c r="U12" s="1565">
        <f t="shared" si="1"/>
        <v>115</v>
      </c>
      <c r="V12" s="1564" t="s">
        <v>8</v>
      </c>
      <c r="W12" s="1565">
        <f t="shared" si="2"/>
        <v>115</v>
      </c>
      <c r="X12" s="1566"/>
      <c r="Y12" s="3361"/>
      <c r="Z12" s="1149" t="str">
        <f t="shared" si="7"/>
        <v>土地使用年限（年）</v>
      </c>
      <c r="AA12" s="1567">
        <f t="shared" si="3"/>
        <v>0.86956521739130432</v>
      </c>
      <c r="AB12" s="1567">
        <f t="shared" si="4"/>
        <v>0.86956521739130432</v>
      </c>
      <c r="AC12" s="1567">
        <f t="shared" si="5"/>
        <v>0.86956521739130432</v>
      </c>
    </row>
    <row r="13" spans="1:30" ht="21">
      <c r="A13" s="2937"/>
      <c r="B13" s="2941" t="s">
        <v>2758</v>
      </c>
      <c r="C13" s="533">
        <f>'数据-汇总表'!I4</f>
        <v>3</v>
      </c>
      <c r="D13" s="254">
        <v>100</v>
      </c>
      <c r="E13" s="532">
        <v>3.99</v>
      </c>
      <c r="F13" s="254">
        <f>LOOKUP(E13,82:82,83:83)-LOOKUP(C13,82:82,83:83)+100</f>
        <v>100</v>
      </c>
      <c r="G13" s="533">
        <v>2.5</v>
      </c>
      <c r="H13" s="254">
        <f>LOOKUP(G13,82:82,83:83)-LOOKUP(C13,82:82,83:83)+100</f>
        <v>101</v>
      </c>
      <c r="I13" s="532">
        <v>3.2</v>
      </c>
      <c r="J13" s="254">
        <f>LOOKUP(I13,82:82,83:83)-LOOKUP(C13,82:82,83:83)+100</f>
        <v>100</v>
      </c>
      <c r="K13" s="534">
        <v>1</v>
      </c>
      <c r="L13" s="2137"/>
      <c r="M13" s="2129"/>
      <c r="N13" s="2129"/>
      <c r="O13" s="2138"/>
      <c r="P13" s="3404"/>
      <c r="Q13" s="1150" t="str">
        <f t="shared" si="6"/>
        <v>容积率</v>
      </c>
      <c r="R13" s="1564" t="s">
        <v>8</v>
      </c>
      <c r="S13" s="1565">
        <f t="shared" si="0"/>
        <v>100</v>
      </c>
      <c r="T13" s="1564" t="s">
        <v>8</v>
      </c>
      <c r="U13" s="1565">
        <f t="shared" si="1"/>
        <v>101</v>
      </c>
      <c r="V13" s="1564" t="s">
        <v>8</v>
      </c>
      <c r="W13" s="1565">
        <f t="shared" si="2"/>
        <v>100</v>
      </c>
      <c r="X13" s="1566"/>
      <c r="Y13" s="3361"/>
      <c r="Z13" s="1149" t="str">
        <f t="shared" si="7"/>
        <v>容积率</v>
      </c>
      <c r="AA13" s="1567">
        <f t="shared" si="3"/>
        <v>1</v>
      </c>
      <c r="AB13" s="1567">
        <f t="shared" si="4"/>
        <v>0.99009900990099009</v>
      </c>
      <c r="AC13" s="1567">
        <f t="shared" si="5"/>
        <v>1</v>
      </c>
    </row>
    <row r="14" spans="1:30" s="1219" customFormat="1" ht="21">
      <c r="A14" s="2934"/>
      <c r="B14" s="2943" t="s">
        <v>2759</v>
      </c>
      <c r="C14" s="2930"/>
      <c r="D14" s="537">
        <v>100</v>
      </c>
      <c r="E14" s="1373"/>
      <c r="F14" s="254">
        <f>SUMIF(84:84,E14,85:85)-SUMIF(84:84,C14,85:85)+100</f>
        <v>100</v>
      </c>
      <c r="G14" s="3176"/>
      <c r="H14" s="254">
        <f>SUMIF(84:84,G14,85:85)-SUMIF(84:84,C14,85:85)+100</f>
        <v>100</v>
      </c>
      <c r="I14" s="3176"/>
      <c r="J14" s="254">
        <f>SUMIF(84:84,I14,85:85)-SUMIF(84:84,C14,85:85)+100</f>
        <v>100</v>
      </c>
      <c r="K14" s="530"/>
      <c r="L14" s="2132"/>
      <c r="M14" s="2129"/>
      <c r="N14" s="2129"/>
      <c r="O14" s="2134"/>
      <c r="P14" s="3404"/>
      <c r="Q14" s="1150" t="str">
        <f t="shared" si="6"/>
        <v>配建</v>
      </c>
      <c r="R14" s="1564" t="s">
        <v>8</v>
      </c>
      <c r="S14" s="1565">
        <f t="shared" si="0"/>
        <v>100</v>
      </c>
      <c r="T14" s="1564" t="s">
        <v>8</v>
      </c>
      <c r="U14" s="1565">
        <f t="shared" si="1"/>
        <v>100</v>
      </c>
      <c r="V14" s="1564" t="s">
        <v>8</v>
      </c>
      <c r="W14" s="1565">
        <f t="shared" si="2"/>
        <v>100</v>
      </c>
      <c r="X14" s="1566"/>
      <c r="Y14" s="3361"/>
      <c r="Z14" s="1149" t="str">
        <f t="shared" si="7"/>
        <v>配建</v>
      </c>
      <c r="AA14" s="1567">
        <f>D14/F14</f>
        <v>1</v>
      </c>
      <c r="AB14" s="1567">
        <f>D14/H14</f>
        <v>1</v>
      </c>
      <c r="AC14" s="1567">
        <f>D14/J14</f>
        <v>1</v>
      </c>
    </row>
    <row r="15" spans="1:30" ht="18.75" customHeight="1">
      <c r="A15" s="2938"/>
      <c r="B15" s="3177" t="s">
        <v>3065</v>
      </c>
      <c r="C15" s="2930"/>
      <c r="D15" s="539">
        <v>100</v>
      </c>
      <c r="E15" s="3178"/>
      <c r="F15" s="254">
        <f>SUMIF(86:86,E15,87:87)-SUMIF(86:86,C15,87:87)+100</f>
        <v>100</v>
      </c>
      <c r="G15" s="3178"/>
      <c r="H15" s="539">
        <f>SUMIF(86:86,G15,87:87)-SUMIF(86:86,C15,87:87)+100</f>
        <v>100</v>
      </c>
      <c r="I15" s="3178"/>
      <c r="J15" s="539">
        <f>SUMIF(86:86,I15,87:87)-SUMIF(86:86,C15,87:87)+100</f>
        <v>100</v>
      </c>
      <c r="K15" s="530"/>
      <c r="L15" s="2139"/>
      <c r="M15" s="2129"/>
      <c r="N15" s="2129"/>
      <c r="O15" s="2138"/>
      <c r="P15" s="3404"/>
      <c r="Q15" s="1150" t="str">
        <f t="shared" si="6"/>
        <v>特殊情况</v>
      </c>
      <c r="R15" s="1564" t="s">
        <v>8</v>
      </c>
      <c r="S15" s="1565">
        <f t="shared" si="0"/>
        <v>100</v>
      </c>
      <c r="T15" s="1564" t="s">
        <v>8</v>
      </c>
      <c r="U15" s="1565">
        <f t="shared" si="1"/>
        <v>100</v>
      </c>
      <c r="V15" s="1564" t="s">
        <v>8</v>
      </c>
      <c r="W15" s="1565">
        <f t="shared" si="2"/>
        <v>100</v>
      </c>
      <c r="X15" s="1566"/>
      <c r="Y15" s="3361"/>
      <c r="Z15" s="1149" t="str">
        <f t="shared" si="7"/>
        <v>特殊情况</v>
      </c>
      <c r="AA15" s="1567">
        <f>D15/F15</f>
        <v>1</v>
      </c>
      <c r="AB15" s="1567">
        <f>D15/H15</f>
        <v>1</v>
      </c>
      <c r="AC15" s="1567">
        <f>D15/J15</f>
        <v>1</v>
      </c>
    </row>
    <row r="16" spans="1:30" ht="21.6" thickBot="1">
      <c r="A16" s="2939"/>
      <c r="B16" s="2945"/>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4"/>
      <c r="Q16" s="1150">
        <f t="shared" si="6"/>
        <v>0</v>
      </c>
      <c r="R16" s="1564" t="s">
        <v>8</v>
      </c>
      <c r="S16" s="1565">
        <f t="shared" si="0"/>
        <v>100</v>
      </c>
      <c r="T16" s="1564" t="s">
        <v>8</v>
      </c>
      <c r="U16" s="1565">
        <f t="shared" si="1"/>
        <v>100</v>
      </c>
      <c r="V16" s="1564" t="s">
        <v>8</v>
      </c>
      <c r="W16" s="1565">
        <f t="shared" si="2"/>
        <v>100</v>
      </c>
      <c r="X16" s="1566"/>
      <c r="Y16" s="3361"/>
      <c r="Z16" s="1149">
        <f t="shared" si="7"/>
        <v>0</v>
      </c>
      <c r="AA16" s="1567">
        <f>D16/F16</f>
        <v>1</v>
      </c>
      <c r="AB16" s="1567">
        <f>D16/H16</f>
        <v>1</v>
      </c>
      <c r="AC16" s="1567">
        <f>D16/J16</f>
        <v>1</v>
      </c>
    </row>
    <row r="17" spans="1:29" ht="93" customHeight="1">
      <c r="A17" s="2931" t="s">
        <v>2754</v>
      </c>
      <c r="B17" s="577" t="s">
        <v>291</v>
      </c>
      <c r="C17" s="547">
        <f>估价对象房地状况!C15</f>
        <v>0</v>
      </c>
      <c r="D17" s="550">
        <v>100</v>
      </c>
      <c r="E17" s="3180"/>
      <c r="F17" s="548">
        <f>SUMIF(90:90,E18,91:91)-SUMIF(90:90,C18,91:91)+100</f>
        <v>100</v>
      </c>
      <c r="G17" s="3180"/>
      <c r="H17" s="548">
        <f>SUMIF(90:90,G18,91:91)-SUMIF(90:90,C18,91:91)+100</f>
        <v>100</v>
      </c>
      <c r="I17" s="3180"/>
      <c r="J17" s="548">
        <f>SUMIF(90:90,I18,91:91)-SUMIF(90:90,C18,91:91)+100</f>
        <v>100</v>
      </c>
      <c r="K17" s="534">
        <v>2</v>
      </c>
      <c r="L17" s="2139"/>
      <c r="M17" s="2129"/>
      <c r="N17" s="2129"/>
      <c r="O17" s="2138"/>
      <c r="P17" s="3406" t="s">
        <v>536</v>
      </c>
      <c r="Q17" s="1568" t="str">
        <f t="shared" si="6"/>
        <v>居住社区成熟度</v>
      </c>
      <c r="R17" s="1569" t="s">
        <v>8</v>
      </c>
      <c r="S17" s="1570">
        <f t="shared" si="0"/>
        <v>100</v>
      </c>
      <c r="T17" s="1569" t="s">
        <v>8</v>
      </c>
      <c r="U17" s="1570">
        <f t="shared" si="1"/>
        <v>100</v>
      </c>
      <c r="V17" s="1569" t="s">
        <v>8</v>
      </c>
      <c r="W17" s="1570">
        <f t="shared" si="2"/>
        <v>100</v>
      </c>
      <c r="X17" s="1563"/>
      <c r="Y17" s="3406" t="s">
        <v>536</v>
      </c>
      <c r="Z17" s="1571" t="str">
        <f t="shared" si="7"/>
        <v>居住社区成熟度</v>
      </c>
      <c r="AA17" s="1572">
        <f t="shared" si="3"/>
        <v>1</v>
      </c>
      <c r="AB17" s="1572">
        <f t="shared" si="4"/>
        <v>1</v>
      </c>
      <c r="AC17" s="1572">
        <f t="shared" si="5"/>
        <v>1</v>
      </c>
    </row>
    <row r="18" spans="1:29" ht="21">
      <c r="A18" s="531"/>
      <c r="B18" s="552"/>
      <c r="C18" s="553"/>
      <c r="D18" s="556"/>
      <c r="E18" s="557"/>
      <c r="F18" s="554"/>
      <c r="G18" s="555"/>
      <c r="H18" s="558"/>
      <c r="I18" s="557"/>
      <c r="J18" s="554"/>
      <c r="K18" s="530"/>
      <c r="L18" s="2139"/>
      <c r="M18" s="2129"/>
      <c r="N18" s="2129"/>
      <c r="O18" s="2138"/>
      <c r="P18" s="3407"/>
      <c r="Q18" s="1568"/>
      <c r="R18" s="1569"/>
      <c r="S18" s="1570"/>
      <c r="T18" s="1569"/>
      <c r="U18" s="1570"/>
      <c r="V18" s="1569"/>
      <c r="W18" s="1570"/>
      <c r="X18" s="1563"/>
      <c r="Y18" s="3407"/>
      <c r="Z18" s="1571"/>
      <c r="AA18" s="1572">
        <v>1</v>
      </c>
      <c r="AB18" s="1572">
        <v>1</v>
      </c>
      <c r="AC18" s="1572">
        <v>1</v>
      </c>
    </row>
    <row r="19" spans="1:29" ht="21">
      <c r="A19" s="531"/>
      <c r="B19" s="559" t="s">
        <v>537</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2.5</v>
      </c>
      <c r="L19" s="2139"/>
      <c r="M19" s="2129"/>
      <c r="N19" s="2129"/>
      <c r="O19" s="2138"/>
      <c r="P19" s="3407"/>
      <c r="Q19" s="1568" t="str">
        <f>B19</f>
        <v>商业繁华度</v>
      </c>
      <c r="R19" s="1569" t="s">
        <v>8</v>
      </c>
      <c r="S19" s="1570">
        <f>F19</f>
        <v>100</v>
      </c>
      <c r="T19" s="1569" t="s">
        <v>8</v>
      </c>
      <c r="U19" s="1570">
        <f>H19</f>
        <v>100</v>
      </c>
      <c r="V19" s="1569" t="s">
        <v>8</v>
      </c>
      <c r="W19" s="1570">
        <f>J19</f>
        <v>100</v>
      </c>
      <c r="X19" s="1563"/>
      <c r="Y19" s="3407"/>
      <c r="Z19" s="1571" t="str">
        <f>Q19</f>
        <v>商业繁华度</v>
      </c>
      <c r="AA19" s="1572">
        <f t="shared" si="3"/>
        <v>1</v>
      </c>
      <c r="AB19" s="1572">
        <f t="shared" si="4"/>
        <v>1</v>
      </c>
      <c r="AC19" s="1572">
        <f t="shared" si="5"/>
        <v>1</v>
      </c>
    </row>
    <row r="20" spans="1:29" ht="21">
      <c r="A20" s="531"/>
      <c r="B20" s="565"/>
      <c r="C20" s="566"/>
      <c r="D20" s="562"/>
      <c r="E20" s="568"/>
      <c r="F20" s="558"/>
      <c r="G20" s="567"/>
      <c r="H20" s="554"/>
      <c r="I20" s="568"/>
      <c r="J20" s="554"/>
      <c r="K20" s="530"/>
      <c r="L20" s="2139"/>
      <c r="M20" s="2129"/>
      <c r="N20" s="2129"/>
      <c r="O20" s="2138"/>
      <c r="P20" s="3407"/>
      <c r="Q20" s="1568"/>
      <c r="R20" s="1569"/>
      <c r="S20" s="1570"/>
      <c r="T20" s="1569"/>
      <c r="U20" s="1570"/>
      <c r="V20" s="1569"/>
      <c r="W20" s="1570"/>
      <c r="X20" s="1563"/>
      <c r="Y20" s="3407"/>
      <c r="Z20" s="1571"/>
      <c r="AA20" s="1572">
        <v>1</v>
      </c>
      <c r="AB20" s="1572">
        <v>1</v>
      </c>
      <c r="AC20" s="1572">
        <v>1</v>
      </c>
    </row>
    <row r="21" spans="1:29" ht="51.75" customHeight="1">
      <c r="A21" s="531"/>
      <c r="B21" s="559" t="s">
        <v>538</v>
      </c>
      <c r="C21" s="560" t="str">
        <f>估价对象房地状况!C17</f>
        <v>办公集聚程度一般</v>
      </c>
      <c r="D21" s="570">
        <v>100</v>
      </c>
      <c r="E21" s="571"/>
      <c r="F21" s="564">
        <f>SUMIF(94:94,E22,95:95)-SUMIF(94:94,C22,95:95)+100</f>
        <v>105</v>
      </c>
      <c r="G21" s="569"/>
      <c r="H21" s="558">
        <f>SUMIF(94:94,G22,95:95)-SUMIF(94:94,C22,95:95)+100</f>
        <v>100</v>
      </c>
      <c r="I21" s="571"/>
      <c r="J21" s="558">
        <f>SUMIF(94:94,I22,95:95)-SUMIF(94:94,C22,95:95)+100</f>
        <v>100</v>
      </c>
      <c r="K21" s="534">
        <v>5</v>
      </c>
      <c r="L21" s="2139"/>
      <c r="M21" s="2129"/>
      <c r="N21" s="2129"/>
      <c r="O21" s="2138"/>
      <c r="P21" s="3407"/>
      <c r="Q21" s="1568" t="str">
        <f>B21</f>
        <v>办公集聚程度</v>
      </c>
      <c r="R21" s="1569" t="s">
        <v>8</v>
      </c>
      <c r="S21" s="1570">
        <f>F21</f>
        <v>105</v>
      </c>
      <c r="T21" s="1569" t="s">
        <v>8</v>
      </c>
      <c r="U21" s="1570">
        <f>H21</f>
        <v>100</v>
      </c>
      <c r="V21" s="1569" t="s">
        <v>8</v>
      </c>
      <c r="W21" s="1570">
        <f>J21</f>
        <v>100</v>
      </c>
      <c r="X21" s="1563"/>
      <c r="Y21" s="3407"/>
      <c r="Z21" s="1571" t="str">
        <f>Q21</f>
        <v>办公集聚程度</v>
      </c>
      <c r="AA21" s="1572">
        <f t="shared" si="3"/>
        <v>0.95238095238095233</v>
      </c>
      <c r="AB21" s="1572">
        <f t="shared" si="4"/>
        <v>1</v>
      </c>
      <c r="AC21" s="1572">
        <f t="shared" si="5"/>
        <v>1</v>
      </c>
    </row>
    <row r="22" spans="1:29" ht="21">
      <c r="A22" s="531"/>
      <c r="B22" s="565"/>
      <c r="C22" s="553" t="s">
        <v>3066</v>
      </c>
      <c r="D22" s="556"/>
      <c r="E22" s="557" t="s">
        <v>3068</v>
      </c>
      <c r="F22" s="554"/>
      <c r="G22" s="555" t="s">
        <v>3066</v>
      </c>
      <c r="H22" s="554"/>
      <c r="I22" s="557" t="s">
        <v>3066</v>
      </c>
      <c r="J22" s="554"/>
      <c r="K22" s="530"/>
      <c r="L22" s="2139"/>
      <c r="M22" s="2129"/>
      <c r="N22" s="2129"/>
      <c r="O22" s="2138"/>
      <c r="P22" s="3407"/>
      <c r="Q22" s="1568"/>
      <c r="R22" s="1569"/>
      <c r="S22" s="1570"/>
      <c r="T22" s="1569"/>
      <c r="U22" s="1570"/>
      <c r="V22" s="1569"/>
      <c r="W22" s="1570"/>
      <c r="X22" s="1563"/>
      <c r="Y22" s="3407"/>
      <c r="Z22" s="1571"/>
      <c r="AA22" s="1572">
        <v>1</v>
      </c>
      <c r="AB22" s="1572">
        <v>1</v>
      </c>
      <c r="AC22" s="1572">
        <v>1</v>
      </c>
    </row>
    <row r="23" spans="1:29" ht="21">
      <c r="A23" s="531"/>
      <c r="B23" s="559" t="s">
        <v>539</v>
      </c>
      <c r="C23" s="572" t="str">
        <f>估价对象房地状况!C18</f>
        <v>交通便捷度较差</v>
      </c>
      <c r="D23" s="562">
        <v>100</v>
      </c>
      <c r="E23" s="563"/>
      <c r="F23" s="564">
        <f>SUMIF(96:96,E24,97:97)-SUMIF(96:96,C24,97:97)+100</f>
        <v>104</v>
      </c>
      <c r="G23" s="3182"/>
      <c r="H23" s="558">
        <f>SUMIF(96:96,G24,97:97)-SUMIF(96:96,C24,97:97)+100</f>
        <v>102</v>
      </c>
      <c r="I23" s="3182"/>
      <c r="J23" s="558">
        <f>SUMIF(96:96,I24,97:97)-SUMIF(96:96,C24,97:97)+100</f>
        <v>102</v>
      </c>
      <c r="K23" s="534">
        <v>2</v>
      </c>
      <c r="L23" s="2139"/>
      <c r="M23" s="2129"/>
      <c r="N23" s="2129"/>
      <c r="O23" s="2138"/>
      <c r="P23" s="3407"/>
      <c r="Q23" s="1568" t="str">
        <f>B23</f>
        <v>交通便捷度</v>
      </c>
      <c r="R23" s="1569" t="s">
        <v>8</v>
      </c>
      <c r="S23" s="1570">
        <f>F23</f>
        <v>104</v>
      </c>
      <c r="T23" s="1569" t="s">
        <v>8</v>
      </c>
      <c r="U23" s="1570">
        <f>H23</f>
        <v>102</v>
      </c>
      <c r="V23" s="1569" t="s">
        <v>8</v>
      </c>
      <c r="W23" s="1570">
        <f>J23</f>
        <v>102</v>
      </c>
      <c r="X23" s="1563"/>
      <c r="Y23" s="3407"/>
      <c r="Z23" s="1571" t="str">
        <f>Q23</f>
        <v>交通便捷度</v>
      </c>
      <c r="AA23" s="1572">
        <f t="shared" si="3"/>
        <v>0.96153846153846156</v>
      </c>
      <c r="AB23" s="1572">
        <f t="shared" si="4"/>
        <v>0.98039215686274506</v>
      </c>
      <c r="AC23" s="1572">
        <f t="shared" si="5"/>
        <v>0.98039215686274506</v>
      </c>
    </row>
    <row r="24" spans="1:29" ht="21">
      <c r="A24" s="531"/>
      <c r="B24" s="577"/>
      <c r="C24" s="553" t="s">
        <v>3067</v>
      </c>
      <c r="D24" s="556"/>
      <c r="E24" s="557" t="s">
        <v>3068</v>
      </c>
      <c r="F24" s="554"/>
      <c r="G24" s="555" t="s">
        <v>3066</v>
      </c>
      <c r="H24" s="554"/>
      <c r="I24" s="557" t="s">
        <v>3066</v>
      </c>
      <c r="J24" s="554"/>
      <c r="K24" s="530"/>
      <c r="L24" s="2139"/>
      <c r="M24" s="2129"/>
      <c r="N24" s="2129"/>
      <c r="O24" s="2138"/>
      <c r="P24" s="3407"/>
      <c r="Q24" s="1568"/>
      <c r="R24" s="1569"/>
      <c r="S24" s="1570"/>
      <c r="T24" s="1569"/>
      <c r="U24" s="1570"/>
      <c r="V24" s="1569"/>
      <c r="W24" s="1570"/>
      <c r="X24" s="1563"/>
      <c r="Y24" s="3407"/>
      <c r="Z24" s="1571"/>
      <c r="AA24" s="1572">
        <v>1</v>
      </c>
      <c r="AB24" s="1572">
        <v>1</v>
      </c>
      <c r="AC24" s="1572">
        <v>1</v>
      </c>
    </row>
    <row r="25" spans="1:29" ht="28.8">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07"/>
      <c r="Q25" s="1568" t="str">
        <f t="shared" ref="Q25:Q39" si="8">B25</f>
        <v>区域土地利用方向</v>
      </c>
      <c r="R25" s="1569" t="s">
        <v>8</v>
      </c>
      <c r="S25" s="1570">
        <f>F25</f>
        <v>100</v>
      </c>
      <c r="T25" s="1569" t="s">
        <v>8</v>
      </c>
      <c r="U25" s="1570">
        <f>H25</f>
        <v>100</v>
      </c>
      <c r="V25" s="1569" t="s">
        <v>8</v>
      </c>
      <c r="W25" s="1570">
        <f>J25</f>
        <v>100</v>
      </c>
      <c r="X25" s="1563"/>
      <c r="Y25" s="3407"/>
      <c r="Z25" s="1571" t="str">
        <f>Q25</f>
        <v>区域土地利用方向</v>
      </c>
      <c r="AA25" s="1572">
        <f t="shared" si="3"/>
        <v>1</v>
      </c>
      <c r="AB25" s="1572">
        <f t="shared" si="4"/>
        <v>1</v>
      </c>
      <c r="AC25" s="1572">
        <f t="shared" si="5"/>
        <v>1</v>
      </c>
    </row>
    <row r="26" spans="1:29" ht="21">
      <c r="A26" s="514"/>
      <c r="B26" s="1006"/>
      <c r="C26" s="553" t="s">
        <v>3066</v>
      </c>
      <c r="D26" s="556"/>
      <c r="E26" s="553" t="s">
        <v>3066</v>
      </c>
      <c r="F26" s="554"/>
      <c r="G26" s="553" t="s">
        <v>3066</v>
      </c>
      <c r="H26" s="554"/>
      <c r="I26" s="553" t="s">
        <v>3066</v>
      </c>
      <c r="J26" s="554"/>
      <c r="K26" s="530"/>
      <c r="L26" s="2139"/>
      <c r="M26" s="2129"/>
      <c r="N26" s="2129"/>
      <c r="O26" s="2138"/>
      <c r="P26" s="3407"/>
      <c r="Q26" s="1568"/>
      <c r="R26" s="1569"/>
      <c r="S26" s="1570"/>
      <c r="T26" s="1569"/>
      <c r="U26" s="1570"/>
      <c r="V26" s="1569"/>
      <c r="W26" s="1570"/>
      <c r="X26" s="1563"/>
      <c r="Y26" s="3407"/>
      <c r="Z26" s="1571"/>
      <c r="AA26" s="1572"/>
      <c r="AB26" s="1572"/>
      <c r="AC26" s="1572"/>
    </row>
    <row r="27" spans="1:29" ht="79.5" customHeight="1">
      <c r="A27" s="514"/>
      <c r="B27" s="577" t="s">
        <v>541</v>
      </c>
      <c r="C27" s="560" t="str">
        <f>估价对象房地状况!C20</f>
        <v>自然人文环境较差</v>
      </c>
      <c r="D27" s="562">
        <v>100</v>
      </c>
      <c r="E27" s="3185"/>
      <c r="F27" s="558">
        <f>SUMIF(100:100,E28,101:101)-SUMIF(100:100,C28,101:101)+100</f>
        <v>101</v>
      </c>
      <c r="G27" s="3185"/>
      <c r="H27" s="558">
        <f>SUMIF(100:100,G28,101:101)-SUMIF(100:100,C28,101:101)+100</f>
        <v>101</v>
      </c>
      <c r="I27" s="3185"/>
      <c r="J27" s="558">
        <f>SUMIF(100:100,I28,101:101)-SUMIF(100:100,C28,101:101)+100</f>
        <v>101</v>
      </c>
      <c r="K27" s="534">
        <v>1</v>
      </c>
      <c r="L27" s="2139"/>
      <c r="M27" s="2129"/>
      <c r="N27" s="2129"/>
      <c r="O27" s="2138"/>
      <c r="P27" s="3407"/>
      <c r="Q27" s="1568" t="str">
        <f t="shared" si="8"/>
        <v>自然及人文环境状况</v>
      </c>
      <c r="R27" s="1569" t="s">
        <v>8</v>
      </c>
      <c r="S27" s="1570">
        <f>F27</f>
        <v>101</v>
      </c>
      <c r="T27" s="1569" t="s">
        <v>8</v>
      </c>
      <c r="U27" s="1570">
        <f>H27</f>
        <v>101</v>
      </c>
      <c r="V27" s="1569" t="s">
        <v>8</v>
      </c>
      <c r="W27" s="1570">
        <f>J27</f>
        <v>101</v>
      </c>
      <c r="X27" s="1563"/>
      <c r="Y27" s="3407"/>
      <c r="Z27" s="1571" t="str">
        <f>Q27</f>
        <v>自然及人文环境状况</v>
      </c>
      <c r="AA27" s="1572">
        <f t="shared" si="3"/>
        <v>0.99009900990099009</v>
      </c>
      <c r="AB27" s="1572">
        <f t="shared" si="4"/>
        <v>0.99009900990099009</v>
      </c>
      <c r="AC27" s="1572">
        <f t="shared" si="5"/>
        <v>0.99009900990099009</v>
      </c>
    </row>
    <row r="28" spans="1:29" ht="21">
      <c r="A28" s="514"/>
      <c r="B28" s="565"/>
      <c r="C28" s="553" t="s">
        <v>3067</v>
      </c>
      <c r="D28" s="556"/>
      <c r="E28" s="553" t="s">
        <v>3066</v>
      </c>
      <c r="F28" s="554"/>
      <c r="G28" s="553" t="s">
        <v>3066</v>
      </c>
      <c r="H28" s="554"/>
      <c r="I28" s="553" t="s">
        <v>3066</v>
      </c>
      <c r="J28" s="554"/>
      <c r="K28" s="530"/>
      <c r="L28" s="2139"/>
      <c r="M28" s="2129"/>
      <c r="N28" s="2129"/>
      <c r="O28" s="2138"/>
      <c r="P28" s="3407"/>
      <c r="Q28" s="1568"/>
      <c r="R28" s="1569"/>
      <c r="S28" s="1570"/>
      <c r="T28" s="1569"/>
      <c r="U28" s="1570"/>
      <c r="V28" s="1569"/>
      <c r="W28" s="1570"/>
      <c r="X28" s="1563"/>
      <c r="Y28" s="3407"/>
      <c r="Z28" s="1571"/>
      <c r="AA28" s="1572">
        <v>1</v>
      </c>
      <c r="AB28" s="1572">
        <v>1</v>
      </c>
      <c r="AC28" s="1572">
        <v>1</v>
      </c>
    </row>
    <row r="29" spans="1:29" s="1219" customFormat="1" ht="27.6">
      <c r="A29" s="576"/>
      <c r="B29" s="2612" t="s">
        <v>2548</v>
      </c>
      <c r="C29" s="572" t="str">
        <f>估价对象房地状况!C21</f>
        <v>公共配套设施齐备度较差</v>
      </c>
      <c r="D29" s="562">
        <v>100</v>
      </c>
      <c r="E29" s="563"/>
      <c r="F29" s="558">
        <f>SUMIF(102:102,E30,103:103)-SUMIF(102:102,C30,103:103)+100</f>
        <v>101</v>
      </c>
      <c r="G29" s="561"/>
      <c r="H29" s="558">
        <f>SUMIF(102:102,G30,103:103)-SUMIF(102:102,C30,103:103)+100</f>
        <v>100</v>
      </c>
      <c r="I29" s="563"/>
      <c r="J29" s="558">
        <f>SUMIF(102:102,I30,103:103)-SUMIF(102:102,C30,103:103)+100</f>
        <v>100</v>
      </c>
      <c r="K29" s="534">
        <v>1</v>
      </c>
      <c r="L29" s="2132"/>
      <c r="M29" s="2129"/>
      <c r="N29" s="2129"/>
      <c r="O29" s="2134"/>
      <c r="P29" s="3407"/>
      <c r="Q29" s="1150" t="str">
        <f t="shared" si="8"/>
        <v>公共配套设施</v>
      </c>
      <c r="R29" s="1564" t="s">
        <v>8</v>
      </c>
      <c r="S29" s="1565">
        <f>F29</f>
        <v>101</v>
      </c>
      <c r="T29" s="1564" t="s">
        <v>8</v>
      </c>
      <c r="U29" s="1565">
        <f>H29</f>
        <v>100</v>
      </c>
      <c r="V29" s="1564" t="s">
        <v>8</v>
      </c>
      <c r="W29" s="1565">
        <f>J29</f>
        <v>100</v>
      </c>
      <c r="X29" s="1566"/>
      <c r="Y29" s="3407"/>
      <c r="Z29" s="1149" t="str">
        <f>Q29</f>
        <v>公共配套设施</v>
      </c>
      <c r="AA29" s="1572">
        <f>D29/F29</f>
        <v>0.99009900990099009</v>
      </c>
      <c r="AB29" s="1572">
        <f>D29/H29</f>
        <v>1</v>
      </c>
      <c r="AC29" s="1572">
        <f>D29/J29</f>
        <v>1</v>
      </c>
    </row>
    <row r="30" spans="1:29" s="1219" customFormat="1" ht="21">
      <c r="A30" s="576"/>
      <c r="B30" s="565"/>
      <c r="C30" s="578" t="s">
        <v>3067</v>
      </c>
      <c r="D30" s="556"/>
      <c r="E30" s="575" t="s">
        <v>3066</v>
      </c>
      <c r="F30" s="554"/>
      <c r="G30" s="553" t="s">
        <v>3067</v>
      </c>
      <c r="H30" s="554"/>
      <c r="I30" s="575" t="s">
        <v>3067</v>
      </c>
      <c r="J30" s="554"/>
      <c r="K30" s="530"/>
      <c r="L30" s="2132"/>
      <c r="M30" s="2129"/>
      <c r="N30" s="2129"/>
      <c r="O30" s="2134"/>
      <c r="P30" s="3407"/>
      <c r="Q30" s="1150"/>
      <c r="R30" s="1564"/>
      <c r="S30" s="1565"/>
      <c r="T30" s="1564"/>
      <c r="U30" s="1565"/>
      <c r="V30" s="1564"/>
      <c r="W30" s="1565"/>
      <c r="X30" s="1566"/>
      <c r="Y30" s="3407"/>
      <c r="Z30" s="1149"/>
      <c r="AA30" s="1572">
        <v>1</v>
      </c>
      <c r="AB30" s="1572">
        <v>1</v>
      </c>
      <c r="AC30" s="1572">
        <v>1</v>
      </c>
    </row>
    <row r="31" spans="1:29" s="1219" customFormat="1" ht="21">
      <c r="A31" s="576"/>
      <c r="B31" s="2612" t="s">
        <v>2549</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07"/>
      <c r="Q31" s="2599" t="str">
        <f t="shared" ref="Q31" si="9">B31</f>
        <v>基础设施水平</v>
      </c>
      <c r="R31" s="1564" t="s">
        <v>8</v>
      </c>
      <c r="S31" s="1565">
        <f>F31</f>
        <v>100</v>
      </c>
      <c r="T31" s="1564" t="s">
        <v>8</v>
      </c>
      <c r="U31" s="1565">
        <f>H31</f>
        <v>100</v>
      </c>
      <c r="V31" s="1564" t="s">
        <v>8</v>
      </c>
      <c r="W31" s="1565">
        <f>J31</f>
        <v>100</v>
      </c>
      <c r="X31" s="1566"/>
      <c r="Y31" s="3407"/>
      <c r="Z31" s="2596" t="str">
        <f>Q31</f>
        <v>基础设施水平</v>
      </c>
      <c r="AA31" s="1572">
        <f>D31/F31</f>
        <v>1</v>
      </c>
      <c r="AB31" s="1572">
        <f>D31/H31</f>
        <v>1</v>
      </c>
      <c r="AC31" s="1572">
        <f>D31/J31</f>
        <v>1</v>
      </c>
    </row>
    <row r="32" spans="1:29" s="1219" customFormat="1" ht="21">
      <c r="A32" s="576"/>
      <c r="B32" s="565"/>
      <c r="C32" s="578" t="s">
        <v>3071</v>
      </c>
      <c r="D32" s="556"/>
      <c r="E32" s="578" t="s">
        <v>3071</v>
      </c>
      <c r="F32" s="554"/>
      <c r="G32" s="578" t="s">
        <v>3071</v>
      </c>
      <c r="H32" s="554"/>
      <c r="I32" s="578" t="s">
        <v>3071</v>
      </c>
      <c r="J32" s="554"/>
      <c r="K32" s="530"/>
      <c r="L32" s="2132"/>
      <c r="M32" s="2129"/>
      <c r="N32" s="2129"/>
      <c r="O32" s="2134"/>
      <c r="P32" s="3407"/>
      <c r="Q32" s="2599"/>
      <c r="R32" s="1564"/>
      <c r="S32" s="1565"/>
      <c r="T32" s="1564"/>
      <c r="U32" s="1565"/>
      <c r="V32" s="1564"/>
      <c r="W32" s="1565"/>
      <c r="X32" s="1566"/>
      <c r="Y32" s="3407"/>
      <c r="Z32" s="2596"/>
      <c r="AA32" s="1572">
        <v>1</v>
      </c>
      <c r="AB32" s="1572">
        <v>1</v>
      </c>
      <c r="AC32" s="1572">
        <v>1</v>
      </c>
    </row>
    <row r="33" spans="1:29" ht="21">
      <c r="A33" s="531"/>
      <c r="B33" s="565" t="s">
        <v>543</v>
      </c>
      <c r="C33" s="579" t="s">
        <v>3208</v>
      </c>
      <c r="D33" s="574">
        <v>100</v>
      </c>
      <c r="E33" s="582" t="s">
        <v>3192</v>
      </c>
      <c r="F33" s="539">
        <f>SUMIF(106:106,E33,107:107)-SUMIF(106:106,C33,107:107)+100</f>
        <v>102</v>
      </c>
      <c r="G33" s="579" t="s">
        <v>3072</v>
      </c>
      <c r="H33" s="539">
        <f>SUMIF(106:106,G33,107:107)-SUMIF(106:106,C33,107:107)+100</f>
        <v>101</v>
      </c>
      <c r="I33" s="579" t="s">
        <v>3072</v>
      </c>
      <c r="J33" s="539">
        <f>SUMIF(106:106,I33,107:107)-SUMIF(106:106,C33,107:107)+100</f>
        <v>101</v>
      </c>
      <c r="K33" s="534">
        <v>1</v>
      </c>
      <c r="L33" s="2139"/>
      <c r="M33" s="2129"/>
      <c r="N33" s="2129"/>
      <c r="O33" s="2138"/>
      <c r="P33" s="3407"/>
      <c r="Q33" s="1568" t="str">
        <f t="shared" si="8"/>
        <v>临街状况</v>
      </c>
      <c r="R33" s="1569" t="s">
        <v>8</v>
      </c>
      <c r="S33" s="1570">
        <f t="shared" ref="S33:S47" si="10">F33</f>
        <v>102</v>
      </c>
      <c r="T33" s="1569" t="s">
        <v>8</v>
      </c>
      <c r="U33" s="1570">
        <f t="shared" ref="U33:U47" si="11">H33</f>
        <v>101</v>
      </c>
      <c r="V33" s="1569" t="s">
        <v>8</v>
      </c>
      <c r="W33" s="1570">
        <f t="shared" ref="W33:W47" si="12">J33</f>
        <v>101</v>
      </c>
      <c r="X33" s="1563"/>
      <c r="Y33" s="3407"/>
      <c r="Z33" s="1571" t="str">
        <f t="shared" ref="Z33:Z47" si="13">Q33</f>
        <v>临街状况</v>
      </c>
      <c r="AA33" s="1572">
        <f t="shared" si="3"/>
        <v>0.98039215686274506</v>
      </c>
      <c r="AB33" s="1572">
        <f t="shared" si="4"/>
        <v>0.99009900990099009</v>
      </c>
      <c r="AC33" s="1572">
        <f t="shared" si="5"/>
        <v>0.99009900990099009</v>
      </c>
    </row>
    <row r="34" spans="1:29" ht="28.8">
      <c r="A34" s="531"/>
      <c r="B34" s="577" t="s">
        <v>544</v>
      </c>
      <c r="C34" s="3182"/>
      <c r="D34" s="562">
        <v>100</v>
      </c>
      <c r="E34" s="3185"/>
      <c r="F34" s="558">
        <f>SUMIF(108:108,E35,109:109)-SUMIF(108:108,C35,109:109)+100</f>
        <v>100</v>
      </c>
      <c r="G34" s="3182"/>
      <c r="H34" s="558">
        <f>SUMIF(108:108,G35,109:109)-SUMIF(108:108,C35,109:109)+100</f>
        <v>100</v>
      </c>
      <c r="I34" s="3182"/>
      <c r="J34" s="558">
        <f>SUMIF(108:108,I35,109:109)-SUMIF(108:108,C35,109:109)+100</f>
        <v>100</v>
      </c>
      <c r="K34" s="534">
        <v>1</v>
      </c>
      <c r="L34" s="2139"/>
      <c r="M34" s="2129"/>
      <c r="N34" s="2129"/>
      <c r="O34" s="2138"/>
      <c r="P34" s="3407"/>
      <c r="Q34" s="1568" t="str">
        <f t="shared" si="8"/>
        <v>毗邻道路的类型与等级</v>
      </c>
      <c r="R34" s="1569" t="s">
        <v>8</v>
      </c>
      <c r="S34" s="1570">
        <f t="shared" si="10"/>
        <v>100</v>
      </c>
      <c r="T34" s="1569" t="s">
        <v>8</v>
      </c>
      <c r="U34" s="1570">
        <f t="shared" si="11"/>
        <v>100</v>
      </c>
      <c r="V34" s="1569" t="s">
        <v>8</v>
      </c>
      <c r="W34" s="1570">
        <f t="shared" si="12"/>
        <v>100</v>
      </c>
      <c r="X34" s="1563"/>
      <c r="Y34" s="3407"/>
      <c r="Z34" s="1571" t="str">
        <f t="shared" si="13"/>
        <v>毗邻道路的类型与等级</v>
      </c>
      <c r="AA34" s="1572">
        <f t="shared" si="3"/>
        <v>1</v>
      </c>
      <c r="AB34" s="1572">
        <f t="shared" si="4"/>
        <v>1</v>
      </c>
      <c r="AC34" s="1572">
        <f t="shared" si="5"/>
        <v>1</v>
      </c>
    </row>
    <row r="35" spans="1:29" ht="21">
      <c r="A35" s="531"/>
      <c r="B35" s="565"/>
      <c r="C35" s="553" t="s">
        <v>3193</v>
      </c>
      <c r="D35" s="556"/>
      <c r="E35" s="553" t="s">
        <v>3193</v>
      </c>
      <c r="F35" s="554"/>
      <c r="G35" s="553" t="s">
        <v>3193</v>
      </c>
      <c r="H35" s="554"/>
      <c r="I35" s="553" t="s">
        <v>3193</v>
      </c>
      <c r="J35" s="554"/>
      <c r="K35" s="580"/>
      <c r="L35" s="2139"/>
      <c r="M35" s="2129"/>
      <c r="N35" s="2129"/>
      <c r="O35" s="2138"/>
      <c r="P35" s="3407"/>
      <c r="Q35" s="1568"/>
      <c r="R35" s="1569"/>
      <c r="S35" s="1570"/>
      <c r="T35" s="1569"/>
      <c r="U35" s="1570"/>
      <c r="V35" s="1569"/>
      <c r="W35" s="1570"/>
      <c r="X35" s="1563"/>
      <c r="Y35" s="3407"/>
      <c r="Z35" s="1571"/>
      <c r="AA35" s="1572">
        <v>1</v>
      </c>
      <c r="AB35" s="1572">
        <v>1</v>
      </c>
      <c r="AC35" s="1572">
        <v>1</v>
      </c>
    </row>
    <row r="36" spans="1:29" ht="21">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07"/>
      <c r="Q36" s="1568" t="str">
        <f t="shared" si="8"/>
        <v>土地级别</v>
      </c>
      <c r="R36" s="1569" t="s">
        <v>8</v>
      </c>
      <c r="S36" s="1570">
        <f t="shared" si="10"/>
        <v>100</v>
      </c>
      <c r="T36" s="1569" t="s">
        <v>8</v>
      </c>
      <c r="U36" s="1570">
        <f t="shared" si="11"/>
        <v>100</v>
      </c>
      <c r="V36" s="1569" t="s">
        <v>8</v>
      </c>
      <c r="W36" s="1570">
        <f t="shared" si="12"/>
        <v>100</v>
      </c>
      <c r="X36" s="1563"/>
      <c r="Y36" s="3407"/>
      <c r="Z36" s="1571" t="str">
        <f t="shared" si="13"/>
        <v>土地级别</v>
      </c>
      <c r="AA36" s="1572">
        <f t="shared" si="3"/>
        <v>1</v>
      </c>
      <c r="AB36" s="1572">
        <f t="shared" si="4"/>
        <v>1</v>
      </c>
      <c r="AC36" s="1572">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07"/>
      <c r="Q37" s="1568">
        <f t="shared" si="8"/>
        <v>111</v>
      </c>
      <c r="R37" s="1569" t="s">
        <v>8</v>
      </c>
      <c r="S37" s="1570">
        <f t="shared" si="10"/>
        <v>100</v>
      </c>
      <c r="T37" s="1569" t="s">
        <v>8</v>
      </c>
      <c r="U37" s="1570">
        <f t="shared" si="11"/>
        <v>100</v>
      </c>
      <c r="V37" s="1569" t="s">
        <v>8</v>
      </c>
      <c r="W37" s="1570">
        <f t="shared" si="12"/>
        <v>100</v>
      </c>
      <c r="X37" s="1563"/>
      <c r="Y37" s="3407"/>
      <c r="Z37" s="1571">
        <f t="shared" si="13"/>
        <v>111</v>
      </c>
      <c r="AA37" s="1572">
        <f t="shared" si="3"/>
        <v>1</v>
      </c>
      <c r="AB37" s="1572">
        <f t="shared" si="4"/>
        <v>1</v>
      </c>
      <c r="AC37" s="1572">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08" t="s">
        <v>546</v>
      </c>
      <c r="Q38" s="1568">
        <f t="shared" si="8"/>
        <v>111</v>
      </c>
      <c r="R38" s="1569" t="s">
        <v>8</v>
      </c>
      <c r="S38" s="1570">
        <f t="shared" si="10"/>
        <v>100</v>
      </c>
      <c r="T38" s="1569" t="s">
        <v>8</v>
      </c>
      <c r="U38" s="1570">
        <f t="shared" si="11"/>
        <v>100</v>
      </c>
      <c r="V38" s="1569" t="s">
        <v>8</v>
      </c>
      <c r="W38" s="1570">
        <f t="shared" si="12"/>
        <v>100</v>
      </c>
      <c r="X38" s="1563"/>
      <c r="Y38" s="3409" t="s">
        <v>546</v>
      </c>
      <c r="Z38" s="1571">
        <f t="shared" si="13"/>
        <v>111</v>
      </c>
      <c r="AA38" s="1572">
        <f t="shared" si="3"/>
        <v>1</v>
      </c>
      <c r="AB38" s="1572">
        <f t="shared" si="4"/>
        <v>1</v>
      </c>
      <c r="AC38" s="1572">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09"/>
      <c r="Q39" s="1568">
        <f t="shared" si="8"/>
        <v>111</v>
      </c>
      <c r="R39" s="1573" t="s">
        <v>8</v>
      </c>
      <c r="S39" s="1574">
        <f t="shared" si="10"/>
        <v>100</v>
      </c>
      <c r="T39" s="1573" t="s">
        <v>8</v>
      </c>
      <c r="U39" s="1574">
        <f t="shared" si="11"/>
        <v>100</v>
      </c>
      <c r="V39" s="1573" t="s">
        <v>8</v>
      </c>
      <c r="W39" s="1574">
        <f t="shared" si="12"/>
        <v>100</v>
      </c>
      <c r="X39" s="1575"/>
      <c r="Y39" s="3409"/>
      <c r="Z39" s="1576">
        <f t="shared" si="13"/>
        <v>111</v>
      </c>
      <c r="AA39" s="1572">
        <f t="shared" si="3"/>
        <v>1</v>
      </c>
      <c r="AB39" s="1572">
        <f t="shared" si="4"/>
        <v>1</v>
      </c>
      <c r="AC39" s="1572">
        <f t="shared" si="5"/>
        <v>1</v>
      </c>
    </row>
    <row r="40" spans="1:29" ht="21">
      <c r="A40" s="2928" t="s">
        <v>2755</v>
      </c>
      <c r="B40" s="594" t="s">
        <v>548</v>
      </c>
      <c r="C40" s="3214">
        <f>'数据-基础表'!A3</f>
        <v>2990</v>
      </c>
      <c r="D40" s="3215">
        <v>100</v>
      </c>
      <c r="E40" s="3214">
        <v>66237.2</v>
      </c>
      <c r="F40" s="3215">
        <f>LOOKUP(E40,119:119,120:120)-LOOKUP(C40,119:119,120:120)+100</f>
        <v>97</v>
      </c>
      <c r="G40" s="3214">
        <v>29183.54</v>
      </c>
      <c r="H40" s="3215">
        <f>LOOKUP(G40,119:119,120:120)-LOOKUP(C40,119:119,120:120)+100</f>
        <v>99</v>
      </c>
      <c r="I40" s="3216">
        <v>23639.39</v>
      </c>
      <c r="J40" s="3215">
        <f>LOOKUP(I40,119:119,120:120)-LOOKUP(C40,119:119,120:120)+100</f>
        <v>99</v>
      </c>
      <c r="K40" s="580"/>
      <c r="L40" s="2139"/>
      <c r="M40" s="2129"/>
      <c r="N40" s="2129"/>
      <c r="O40" s="2138"/>
      <c r="P40" s="3409"/>
      <c r="Q40" s="1568" t="str">
        <f>B40</f>
        <v>宗地面积</v>
      </c>
      <c r="R40" s="1569" t="s">
        <v>8</v>
      </c>
      <c r="S40" s="1570">
        <f t="shared" si="10"/>
        <v>97</v>
      </c>
      <c r="T40" s="1569" t="s">
        <v>8</v>
      </c>
      <c r="U40" s="1570">
        <f t="shared" si="11"/>
        <v>99</v>
      </c>
      <c r="V40" s="1569" t="s">
        <v>8</v>
      </c>
      <c r="W40" s="1570">
        <f t="shared" si="12"/>
        <v>99</v>
      </c>
      <c r="X40" s="1563"/>
      <c r="Y40" s="3409"/>
      <c r="Z40" s="1571" t="str">
        <f t="shared" si="13"/>
        <v>宗地面积</v>
      </c>
      <c r="AA40" s="1572">
        <f t="shared" si="3"/>
        <v>1.0309278350515463</v>
      </c>
      <c r="AB40" s="1572">
        <f t="shared" si="4"/>
        <v>1.0101010101010102</v>
      </c>
      <c r="AC40" s="1572">
        <f t="shared" si="5"/>
        <v>1.0101010101010102</v>
      </c>
    </row>
    <row r="41" spans="1:29" ht="21">
      <c r="A41" s="593"/>
      <c r="B41" s="526" t="s">
        <v>549</v>
      </c>
      <c r="C41" s="598" t="s">
        <v>3201</v>
      </c>
      <c r="D41" s="539">
        <v>100</v>
      </c>
      <c r="E41" s="598" t="s">
        <v>3194</v>
      </c>
      <c r="F41" s="539">
        <f>SUMIF(121:121,E41,122:122)-SUMIF(121:121,C41,122:122)+100</f>
        <v>98.5</v>
      </c>
      <c r="G41" s="598" t="s">
        <v>3194</v>
      </c>
      <c r="H41" s="539">
        <f>SUMIF(121:121,G41,122:122)-SUMIF(121:121,C41,122:122)+100</f>
        <v>98.5</v>
      </c>
      <c r="I41" s="598" t="s">
        <v>3194</v>
      </c>
      <c r="J41" s="539">
        <f>SUMIF(121:121,I41,122:122)-SUMIF(121:121,C41,122:122)+100</f>
        <v>98.5</v>
      </c>
      <c r="K41" s="583">
        <v>1.5</v>
      </c>
      <c r="L41" s="2139"/>
      <c r="M41" s="2129"/>
      <c r="N41" s="2129"/>
      <c r="O41" s="2138"/>
      <c r="P41" s="3409"/>
      <c r="Q41" s="1568" t="str">
        <f t="shared" ref="Q41:Q47" si="14">B41</f>
        <v>宗地形状</v>
      </c>
      <c r="R41" s="1569" t="s">
        <v>8</v>
      </c>
      <c r="S41" s="1570">
        <f t="shared" si="10"/>
        <v>98.5</v>
      </c>
      <c r="T41" s="1569" t="s">
        <v>8</v>
      </c>
      <c r="U41" s="1570">
        <f t="shared" si="11"/>
        <v>98.5</v>
      </c>
      <c r="V41" s="1569" t="s">
        <v>8</v>
      </c>
      <c r="W41" s="1570">
        <f t="shared" si="12"/>
        <v>98.5</v>
      </c>
      <c r="X41" s="1563"/>
      <c r="Y41" s="3409"/>
      <c r="Z41" s="1571" t="str">
        <f t="shared" si="13"/>
        <v>宗地形状</v>
      </c>
      <c r="AA41" s="1572">
        <f t="shared" si="3"/>
        <v>1.015228426395939</v>
      </c>
      <c r="AB41" s="1572">
        <f t="shared" si="4"/>
        <v>1.015228426395939</v>
      </c>
      <c r="AC41" s="1572">
        <f t="shared" si="5"/>
        <v>1.015228426395939</v>
      </c>
    </row>
    <row r="42" spans="1:29" ht="21">
      <c r="A42" s="593"/>
      <c r="B42" s="526" t="s">
        <v>550</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9"/>
      <c r="M42" s="2129"/>
      <c r="N42" s="2129"/>
      <c r="O42" s="2138"/>
      <c r="P42" s="3409"/>
      <c r="Q42" s="1568" t="str">
        <f t="shared" si="14"/>
        <v>临街宽度及深度</v>
      </c>
      <c r="R42" s="1569" t="s">
        <v>8</v>
      </c>
      <c r="S42" s="1570">
        <f t="shared" si="10"/>
        <v>100</v>
      </c>
      <c r="T42" s="1569" t="s">
        <v>8</v>
      </c>
      <c r="U42" s="1570">
        <f t="shared" si="11"/>
        <v>100</v>
      </c>
      <c r="V42" s="1569" t="s">
        <v>8</v>
      </c>
      <c r="W42" s="1570">
        <f t="shared" si="12"/>
        <v>100</v>
      </c>
      <c r="X42" s="1563"/>
      <c r="Y42" s="3409"/>
      <c r="Z42" s="1571" t="str">
        <f t="shared" si="13"/>
        <v>临街宽度及深度</v>
      </c>
      <c r="AA42" s="1572">
        <f t="shared" si="3"/>
        <v>1</v>
      </c>
      <c r="AB42" s="1572">
        <f t="shared" si="4"/>
        <v>1</v>
      </c>
      <c r="AC42" s="1572">
        <f t="shared" si="5"/>
        <v>1</v>
      </c>
    </row>
    <row r="43" spans="1:29" s="1219" customFormat="1" ht="21">
      <c r="A43" s="599"/>
      <c r="B43" s="1892" t="s">
        <v>2424</v>
      </c>
      <c r="C43" s="600" t="s">
        <v>3085</v>
      </c>
      <c r="D43" s="254">
        <v>100</v>
      </c>
      <c r="E43" s="600" t="s">
        <v>3071</v>
      </c>
      <c r="F43" s="539">
        <f>SUMIF(125:125,E43,126:126)-SUMIF(125:125,C43,126:126)+100</f>
        <v>103</v>
      </c>
      <c r="G43" s="600" t="s">
        <v>3071</v>
      </c>
      <c r="H43" s="539">
        <f>SUMIF(125:125,G43,126:126)-SUMIF(125:125,C43,126:126)+100</f>
        <v>103</v>
      </c>
      <c r="I43" s="600" t="s">
        <v>3087</v>
      </c>
      <c r="J43" s="539">
        <f>SUMIF(125:125,I43,126:126)-SUMIF(125:125,C43,126:126)+100</f>
        <v>97</v>
      </c>
      <c r="K43" s="583">
        <v>1.5</v>
      </c>
      <c r="L43" s="2132"/>
      <c r="M43" s="2129"/>
      <c r="N43" s="2129"/>
      <c r="O43" s="2134"/>
      <c r="P43" s="3409"/>
      <c r="Q43" s="1568" t="str">
        <f t="shared" si="14"/>
        <v>宗地开发程度</v>
      </c>
      <c r="R43" s="1564" t="s">
        <v>8</v>
      </c>
      <c r="S43" s="1565">
        <f t="shared" si="10"/>
        <v>103</v>
      </c>
      <c r="T43" s="1564" t="s">
        <v>8</v>
      </c>
      <c r="U43" s="1565">
        <f t="shared" si="11"/>
        <v>103</v>
      </c>
      <c r="V43" s="1564" t="s">
        <v>8</v>
      </c>
      <c r="W43" s="1565">
        <f t="shared" si="12"/>
        <v>97</v>
      </c>
      <c r="X43" s="1566"/>
      <c r="Y43" s="3409"/>
      <c r="Z43" s="1149" t="str">
        <f t="shared" si="13"/>
        <v>宗地开发程度</v>
      </c>
      <c r="AA43" s="1567">
        <f t="shared" si="3"/>
        <v>0.970873786407767</v>
      </c>
      <c r="AB43" s="1567">
        <f t="shared" si="4"/>
        <v>0.970873786407767</v>
      </c>
      <c r="AC43" s="1567">
        <f t="shared" si="5"/>
        <v>1.0309278350515463</v>
      </c>
    </row>
    <row r="44" spans="1:29" ht="21">
      <c r="A44" s="593"/>
      <c r="B44" s="526" t="s">
        <v>551</v>
      </c>
      <c r="C44" s="598" t="s">
        <v>3068</v>
      </c>
      <c r="D44" s="539">
        <v>100</v>
      </c>
      <c r="E44" s="598" t="s">
        <v>3068</v>
      </c>
      <c r="F44" s="539">
        <f>SUMIF(127:127,E44,128:128)-SUMIF(127:127,C44,128:128)+100</f>
        <v>100</v>
      </c>
      <c r="G44" s="598" t="s">
        <v>3068</v>
      </c>
      <c r="H44" s="539">
        <f>SUMIF(127:127,G44,128:128)-SUMIF(127:127,C44,128:128)+100</f>
        <v>100</v>
      </c>
      <c r="I44" s="598" t="s">
        <v>3068</v>
      </c>
      <c r="J44" s="539">
        <f>SUMIF(127:127,I44,128:128)-SUMIF(127:127,C44,128:128)+100</f>
        <v>100</v>
      </c>
      <c r="K44" s="583">
        <v>2</v>
      </c>
      <c r="L44" s="2139"/>
      <c r="M44" s="2129"/>
      <c r="N44" s="2129"/>
      <c r="O44" s="2138"/>
      <c r="P44" s="3409" t="s">
        <v>546</v>
      </c>
      <c r="Q44" s="1568" t="str">
        <f t="shared" si="14"/>
        <v>工程地质条件</v>
      </c>
      <c r="R44" s="1569" t="s">
        <v>8</v>
      </c>
      <c r="S44" s="1570">
        <f t="shared" si="10"/>
        <v>100</v>
      </c>
      <c r="T44" s="1569" t="s">
        <v>8</v>
      </c>
      <c r="U44" s="1570">
        <f t="shared" si="11"/>
        <v>100</v>
      </c>
      <c r="V44" s="1569" t="s">
        <v>8</v>
      </c>
      <c r="W44" s="1570">
        <f t="shared" si="12"/>
        <v>100</v>
      </c>
      <c r="X44" s="1563"/>
      <c r="Y44" s="3409" t="s">
        <v>546</v>
      </c>
      <c r="Z44" s="1571" t="str">
        <f t="shared" si="13"/>
        <v>工程地质条件</v>
      </c>
      <c r="AA44" s="1572">
        <f t="shared" si="3"/>
        <v>1</v>
      </c>
      <c r="AB44" s="1572">
        <f t="shared" si="4"/>
        <v>1</v>
      </c>
      <c r="AC44" s="1572">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09"/>
      <c r="Q45" s="1568">
        <f t="shared" si="14"/>
        <v>111</v>
      </c>
      <c r="R45" s="1569" t="s">
        <v>8</v>
      </c>
      <c r="S45" s="1570">
        <f t="shared" si="10"/>
        <v>100</v>
      </c>
      <c r="T45" s="1569" t="s">
        <v>8</v>
      </c>
      <c r="U45" s="1570">
        <f t="shared" si="11"/>
        <v>100</v>
      </c>
      <c r="V45" s="1569" t="s">
        <v>8</v>
      </c>
      <c r="W45" s="1570">
        <f t="shared" si="12"/>
        <v>100</v>
      </c>
      <c r="X45" s="1563"/>
      <c r="Y45" s="3409"/>
      <c r="Z45" s="1571">
        <f t="shared" si="13"/>
        <v>111</v>
      </c>
      <c r="AA45" s="1572">
        <f t="shared" si="3"/>
        <v>1</v>
      </c>
      <c r="AB45" s="1572">
        <f t="shared" si="4"/>
        <v>1</v>
      </c>
      <c r="AC45" s="1572">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09"/>
      <c r="Q46" s="1568">
        <f t="shared" si="14"/>
        <v>111</v>
      </c>
      <c r="R46" s="1569" t="s">
        <v>8</v>
      </c>
      <c r="S46" s="1570">
        <f t="shared" si="10"/>
        <v>100</v>
      </c>
      <c r="T46" s="1569" t="s">
        <v>8</v>
      </c>
      <c r="U46" s="1570">
        <f t="shared" si="11"/>
        <v>100</v>
      </c>
      <c r="V46" s="1569" t="s">
        <v>8</v>
      </c>
      <c r="W46" s="1570">
        <f t="shared" si="12"/>
        <v>100</v>
      </c>
      <c r="X46" s="1563"/>
      <c r="Y46" s="3409"/>
      <c r="Z46" s="1571">
        <f t="shared" si="13"/>
        <v>111</v>
      </c>
      <c r="AA46" s="1572">
        <f t="shared" si="3"/>
        <v>1</v>
      </c>
      <c r="AB46" s="1572">
        <f t="shared" si="4"/>
        <v>1</v>
      </c>
      <c r="AC46" s="1572">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09"/>
      <c r="Q47" s="1568">
        <f t="shared" si="14"/>
        <v>111</v>
      </c>
      <c r="R47" s="1573" t="s">
        <v>8</v>
      </c>
      <c r="S47" s="1574">
        <f t="shared" si="10"/>
        <v>100</v>
      </c>
      <c r="T47" s="1573" t="s">
        <v>8</v>
      </c>
      <c r="U47" s="1574">
        <f t="shared" si="11"/>
        <v>100</v>
      </c>
      <c r="V47" s="1573" t="s">
        <v>8</v>
      </c>
      <c r="W47" s="1574">
        <f t="shared" si="12"/>
        <v>100</v>
      </c>
      <c r="X47" s="1575"/>
      <c r="Y47" s="3409"/>
      <c r="Z47" s="1576">
        <f t="shared" si="13"/>
        <v>111</v>
      </c>
      <c r="AA47" s="1572">
        <f t="shared" si="3"/>
        <v>1</v>
      </c>
      <c r="AB47" s="1572">
        <f t="shared" si="4"/>
        <v>1</v>
      </c>
      <c r="AC47" s="1572">
        <f t="shared" si="5"/>
        <v>1</v>
      </c>
    </row>
    <row r="48" spans="1:29" ht="21">
      <c r="A48" s="606" t="s">
        <v>552</v>
      </c>
      <c r="B48" s="607" t="s">
        <v>3088</v>
      </c>
      <c r="C48" s="608" t="s">
        <v>1</v>
      </c>
      <c r="D48" s="609"/>
      <c r="E48" s="610">
        <v>14580</v>
      </c>
      <c r="F48" s="611"/>
      <c r="G48" s="610">
        <v>14529</v>
      </c>
      <c r="H48" s="613"/>
      <c r="I48" s="610">
        <v>13619</v>
      </c>
      <c r="J48" s="613"/>
      <c r="K48" s="1339"/>
      <c r="L48" s="2141"/>
      <c r="M48" s="2129"/>
      <c r="N48" s="2129"/>
      <c r="O48" s="2142"/>
      <c r="P48" s="3404" t="str">
        <f>A48</f>
        <v>成交单价</v>
      </c>
      <c r="Q48" s="3404"/>
      <c r="R48" s="3418">
        <f>E48</f>
        <v>14580</v>
      </c>
      <c r="S48" s="3418"/>
      <c r="T48" s="3418">
        <f>G48</f>
        <v>14529</v>
      </c>
      <c r="U48" s="3418"/>
      <c r="V48" s="3418">
        <f>I48</f>
        <v>13619</v>
      </c>
      <c r="W48" s="3418"/>
      <c r="X48" s="1555"/>
      <c r="Y48" s="1577"/>
      <c r="Z48" s="1555"/>
      <c r="AA48" s="1555"/>
      <c r="AB48" s="1555"/>
      <c r="AC48" s="1555"/>
    </row>
    <row r="49" spans="1:29" ht="21.6" thickBot="1">
      <c r="A49" s="614" t="s">
        <v>2693</v>
      </c>
      <c r="B49" s="615"/>
      <c r="C49" s="616">
        <f>R50</f>
        <v>12249</v>
      </c>
      <c r="D49" s="617"/>
      <c r="E49" s="616">
        <f>R49</f>
        <v>11579</v>
      </c>
      <c r="F49" s="618"/>
      <c r="G49" s="619">
        <f>T49</f>
        <v>12484</v>
      </c>
      <c r="H49" s="617"/>
      <c r="I49" s="616">
        <f>V49</f>
        <v>12685</v>
      </c>
      <c r="J49" s="617"/>
      <c r="K49" s="1340"/>
      <c r="L49" s="2141"/>
      <c r="M49" s="2129"/>
      <c r="N49" s="2129"/>
      <c r="O49" s="2142"/>
      <c r="P49" s="3404" t="str">
        <f>A49</f>
        <v>比较价格（元/平方米）</v>
      </c>
      <c r="Q49" s="3404"/>
      <c r="R49" s="3429">
        <f>ROUND(PRODUCT(R48,AA9:AA47),0)</f>
        <v>11579</v>
      </c>
      <c r="S49" s="3429"/>
      <c r="T49" s="3429">
        <f>ROUND(PRODUCT(T48,AB9:AB47),0)</f>
        <v>12484</v>
      </c>
      <c r="U49" s="3429"/>
      <c r="V49" s="3429">
        <f>ROUND(PRODUCT(V48,AC9:AC47),0)</f>
        <v>12685</v>
      </c>
      <c r="W49" s="3429"/>
      <c r="X49" s="1555"/>
      <c r="Y49" s="1555"/>
      <c r="Z49" s="1555"/>
      <c r="AA49" s="1555"/>
      <c r="AB49" s="1555"/>
      <c r="AC49" s="1555"/>
    </row>
    <row r="50" spans="1:29" ht="21.6" thickBot="1">
      <c r="A50" s="620" t="s">
        <v>2927</v>
      </c>
      <c r="B50" s="621"/>
      <c r="C50" s="622">
        <f>R50</f>
        <v>12249</v>
      </c>
      <c r="D50" s="622"/>
      <c r="E50" s="622"/>
      <c r="F50" s="622"/>
      <c r="G50" s="622"/>
      <c r="H50" s="622"/>
      <c r="I50" s="622"/>
      <c r="J50" s="622"/>
      <c r="K50" s="1341"/>
      <c r="L50" s="2141"/>
      <c r="M50" s="2129"/>
      <c r="N50" s="2129"/>
      <c r="O50" s="2142"/>
      <c r="P50" s="3426" t="str">
        <f>A50</f>
        <v>估价对象XX用房的比较价格（楼面单价，元/平方米）</v>
      </c>
      <c r="Q50" s="3427"/>
      <c r="R50" s="3428">
        <f>ROUND(AVERAGE(R49:V49),0)</f>
        <v>12249</v>
      </c>
      <c r="S50" s="3428"/>
      <c r="T50" s="3428"/>
      <c r="U50" s="3428"/>
      <c r="V50" s="3428"/>
      <c r="W50" s="3428"/>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0.25917609465411529</v>
      </c>
      <c r="F53" s="626" t="str">
        <f>IF(OR(E53&gt;=0.3,E53&lt;=-0.3),"超过30%","")</f>
        <v/>
      </c>
      <c r="G53" s="625">
        <f>IF(G48&lt;G49,G49/G48-1,G48/G49-1)</f>
        <v>0.16380967638577371</v>
      </c>
      <c r="H53" s="626" t="str">
        <f>IF(OR(G53&gt;=0.3,G53&lt;=-0.3),"超过30%","")</f>
        <v/>
      </c>
      <c r="I53" s="625">
        <f>IF(I48&lt;I49,I49/I48-1,I48/I49-1)</f>
        <v>7.3630271974773454E-2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7.8158735642110733E-2</v>
      </c>
      <c r="F54" s="626" t="str">
        <f>IF(OR(E54&gt;=0.2,E54&lt;=-0.2),"超过20%","")</f>
        <v/>
      </c>
      <c r="G54" s="625">
        <f>IF(G49&lt;I49,I49/G49-1,G49/I49-1)</f>
        <v>1.6100608779237469E-2</v>
      </c>
      <c r="H54" s="626" t="str">
        <f>IF(OR(G54&gt;=0.2,G54&lt;=-0.2),"超过20%","")</f>
        <v/>
      </c>
      <c r="I54" s="625">
        <f>IF(I49&lt;E49,E49/I49-1,I49/E49-1)</f>
        <v>9.5517747646601592E-2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4" customFormat="1" ht="13.5" customHeight="1">
      <c r="A55" s="2143"/>
      <c r="B55" s="2143"/>
      <c r="C55" s="623" t="s">
        <v>555</v>
      </c>
      <c r="D55" s="627"/>
      <c r="E55" s="625">
        <f>IF(E48&lt;G48,G48/E48-1,E48/G48-1)</f>
        <v>3.5102209374355819E-3</v>
      </c>
      <c r="F55" s="626" t="str">
        <f>IF(OR(E55&gt;=0.3,E55&lt;=-0.3),"超过30%","")</f>
        <v/>
      </c>
      <c r="G55" s="625">
        <f>IF(G48&lt;I48,I48/G48-1,G48/I48-1)</f>
        <v>6.681841544900502E-2</v>
      </c>
      <c r="H55" s="626" t="str">
        <f>IF(OR(G55&gt;=0.3,G55&lt;=-0.3),"超过30%","")</f>
        <v/>
      </c>
      <c r="I55" s="625">
        <f>IF(I48&lt;E48,E48/I48-1,I48/E48-1)</f>
        <v>7.0563183787355932E-2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4"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388" t="s">
        <v>2280</v>
      </c>
      <c r="H57" s="3389"/>
      <c r="I57" s="1551" t="s">
        <v>1719</v>
      </c>
      <c r="J57" s="1551">
        <f>项目基本情况!F41</f>
        <v>0</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3.2">
      <c r="A58" s="632" t="s">
        <v>560</v>
      </c>
      <c r="B58" s="633">
        <f>C50</f>
        <v>12249</v>
      </c>
      <c r="C58" s="634">
        <v>1</v>
      </c>
      <c r="D58" s="2225">
        <v>1</v>
      </c>
      <c r="E58" s="634">
        <f>'数据-汇总表'!E8+'数据-汇总表'!E9</f>
        <v>8970</v>
      </c>
      <c r="F58" s="635">
        <f t="shared" ref="F58:F67" si="15">ROUND(B58*E58/10000,0)</f>
        <v>10987</v>
      </c>
      <c r="G58" s="3390"/>
      <c r="H58" s="3391"/>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561</v>
      </c>
      <c r="B59" s="637">
        <f>ROUND($C$50*C59*D59,0)</f>
        <v>0</v>
      </c>
      <c r="C59" s="377">
        <f t="shared" ref="C59:C67" si="16">IF($C$57="北京市系数",I59,J59)</f>
        <v>0</v>
      </c>
      <c r="D59" s="2226">
        <v>0.25</v>
      </c>
      <c r="E59" s="638">
        <v>0</v>
      </c>
      <c r="F59" s="635">
        <f t="shared" si="15"/>
        <v>0</v>
      </c>
      <c r="G59" s="3392" t="s">
        <v>2281</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562</v>
      </c>
      <c r="B60" s="637">
        <f t="shared" ref="B60:B67" si="17">ROUND($C$50*C60*D60,0)</f>
        <v>0</v>
      </c>
      <c r="C60" s="377">
        <f t="shared" si="16"/>
        <v>0</v>
      </c>
      <c r="D60" s="2226">
        <v>0.25</v>
      </c>
      <c r="E60" s="638">
        <v>0</v>
      </c>
      <c r="F60" s="635">
        <f t="shared" si="15"/>
        <v>0</v>
      </c>
      <c r="G60" s="3392"/>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563</v>
      </c>
      <c r="B61" s="637">
        <f t="shared" si="17"/>
        <v>0</v>
      </c>
      <c r="C61" s="377">
        <f t="shared" si="16"/>
        <v>0</v>
      </c>
      <c r="D61" s="2226">
        <v>0.25</v>
      </c>
      <c r="E61" s="638">
        <v>0</v>
      </c>
      <c r="F61" s="635">
        <f t="shared" si="15"/>
        <v>0</v>
      </c>
      <c r="G61" s="3392"/>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2">
      <c r="A62" s="636" t="s">
        <v>564</v>
      </c>
      <c r="B62" s="637">
        <f t="shared" si="17"/>
        <v>0</v>
      </c>
      <c r="C62" s="377">
        <f t="shared" si="16"/>
        <v>0</v>
      </c>
      <c r="D62" s="2226">
        <v>0.25</v>
      </c>
      <c r="E62" s="638">
        <v>0</v>
      </c>
      <c r="F62" s="635">
        <f t="shared" si="15"/>
        <v>0</v>
      </c>
      <c r="G62" s="3392"/>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2">
      <c r="A63" s="2328" t="s">
        <v>2327</v>
      </c>
      <c r="B63" s="637">
        <f t="shared" si="17"/>
        <v>766</v>
      </c>
      <c r="C63" s="377">
        <f t="shared" si="16"/>
        <v>0.25</v>
      </c>
      <c r="D63" s="2226">
        <v>0.25</v>
      </c>
      <c r="E63" s="640">
        <f>'数据-汇总表'!E11</f>
        <v>0</v>
      </c>
      <c r="F63" s="635">
        <f t="shared" si="15"/>
        <v>0</v>
      </c>
      <c r="G63" s="1942" t="s">
        <v>2282</v>
      </c>
      <c r="H63" s="1945" t="str">
        <f>项目基本情况!C43</f>
        <v>七级</v>
      </c>
      <c r="I63" s="1552">
        <f>SUMIF(修正!$A$45:$A$56,H63,修正!F45:F56)</f>
        <v>0.25</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3.2">
      <c r="A64" s="636" t="s">
        <v>565</v>
      </c>
      <c r="B64" s="637">
        <f t="shared" si="17"/>
        <v>0</v>
      </c>
      <c r="C64" s="377">
        <f t="shared" si="16"/>
        <v>0</v>
      </c>
      <c r="D64" s="2226">
        <v>0.25</v>
      </c>
      <c r="E64" s="640">
        <f>'数据-汇总表'!E12</f>
        <v>0</v>
      </c>
      <c r="F64" s="635">
        <f t="shared" si="15"/>
        <v>0</v>
      </c>
      <c r="G64" s="1943" t="s">
        <v>919</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3.2">
      <c r="A65" s="636" t="s">
        <v>566</v>
      </c>
      <c r="B65" s="637">
        <f t="shared" si="17"/>
        <v>0</v>
      </c>
      <c r="C65" s="377">
        <f t="shared" si="16"/>
        <v>0</v>
      </c>
      <c r="D65" s="2226">
        <v>0.25</v>
      </c>
      <c r="E65" s="640">
        <f>'数据-汇总表'!E13</f>
        <v>0</v>
      </c>
      <c r="F65" s="635">
        <f t="shared" si="15"/>
        <v>0</v>
      </c>
      <c r="G65" s="1943" t="s">
        <v>919</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3.2">
      <c r="A66" s="636" t="s">
        <v>567</v>
      </c>
      <c r="B66" s="637">
        <f t="shared" si="17"/>
        <v>0</v>
      </c>
      <c r="C66" s="377">
        <f t="shared" si="16"/>
        <v>0</v>
      </c>
      <c r="D66" s="2226">
        <v>0.25</v>
      </c>
      <c r="E66" s="640">
        <f>'数据-汇总表'!E14</f>
        <v>0</v>
      </c>
      <c r="F66" s="635">
        <f t="shared" si="15"/>
        <v>0</v>
      </c>
      <c r="G66" s="1942" t="s">
        <v>2281</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thickBot="1">
      <c r="A67" s="636" t="s">
        <v>568</v>
      </c>
      <c r="B67" s="637">
        <f t="shared" si="17"/>
        <v>612</v>
      </c>
      <c r="C67" s="377">
        <f t="shared" si="16"/>
        <v>0.2</v>
      </c>
      <c r="D67" s="2226">
        <v>0.25</v>
      </c>
      <c r="E67" s="640">
        <f>'数据-汇总表'!E15</f>
        <v>0</v>
      </c>
      <c r="F67" s="635">
        <f t="shared" si="15"/>
        <v>0</v>
      </c>
      <c r="G67" s="1944" t="s">
        <v>2282</v>
      </c>
      <c r="H67" s="1946" t="str">
        <f>项目基本情况!C43</f>
        <v>七级</v>
      </c>
      <c r="I67" s="1552">
        <f>SUMIF(修正!$A$45:$A$56,H67,修正!H45:H56)</f>
        <v>0.2</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thickBot="1">
      <c r="A68" s="641" t="s">
        <v>569</v>
      </c>
      <c r="B68" s="642" t="s">
        <v>17</v>
      </c>
      <c r="C68" s="642" t="s">
        <v>18</v>
      </c>
      <c r="D68" s="642" t="s">
        <v>2293</v>
      </c>
      <c r="E68" s="642">
        <f>IF(B48="楼面地价",SUM(E58:E67),'数据-汇总表'!D3)</f>
        <v>8970</v>
      </c>
      <c r="F68" s="643">
        <f>IF(B48="楼面地价",SUM(F58:F67),ROUND(C50*E68/10000,0))</f>
        <v>10987</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2018-8-1</v>
      </c>
      <c r="D70" s="2820">
        <f>EDATE(C70,-3)</f>
        <v>43221</v>
      </c>
      <c r="E70" s="2820">
        <f t="shared" ref="E70:N70" si="18">EDATE(D70,-3)</f>
        <v>43132</v>
      </c>
      <c r="F70" s="2820">
        <f t="shared" si="18"/>
        <v>43040</v>
      </c>
      <c r="G70" s="2820">
        <f t="shared" si="18"/>
        <v>42948</v>
      </c>
      <c r="H70" s="2820">
        <f t="shared" si="18"/>
        <v>42856</v>
      </c>
      <c r="I70" s="2820">
        <f t="shared" si="18"/>
        <v>42767</v>
      </c>
      <c r="J70" s="2820">
        <f t="shared" si="18"/>
        <v>42675</v>
      </c>
      <c r="K70" s="2820">
        <f t="shared" si="18"/>
        <v>42583</v>
      </c>
      <c r="L70" s="2820">
        <f t="shared" si="18"/>
        <v>42491</v>
      </c>
      <c r="M70" s="2820">
        <f t="shared" si="18"/>
        <v>42401</v>
      </c>
      <c r="N70" s="2820">
        <f t="shared" si="18"/>
        <v>42309</v>
      </c>
      <c r="O70" s="2142"/>
      <c r="P70" s="2142"/>
      <c r="Q70" s="2142"/>
      <c r="R70" s="2142"/>
      <c r="S70" s="2142"/>
      <c r="T70" s="2142"/>
      <c r="U70" s="2142"/>
      <c r="V70" s="2142"/>
      <c r="W70" s="2142"/>
      <c r="X70" s="2142"/>
      <c r="Y70" s="2142"/>
      <c r="Z70" s="2142"/>
      <c r="AA70" s="2142"/>
      <c r="AB70" s="2142"/>
      <c r="AC70" s="2142"/>
    </row>
    <row r="71" spans="1:29" ht="22.2"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6" customFormat="1" ht="14.4">
      <c r="A72" s="2589" t="s">
        <v>2532</v>
      </c>
      <c r="B72" s="2590"/>
      <c r="C72" s="2815" t="str">
        <f>YEAR(C70)&amp;"-"&amp;ROUNDUP(MONTH(C70)/3,0)</f>
        <v>2018-3</v>
      </c>
      <c r="D72" s="2822" t="str">
        <f>YEAR(D70)&amp;"-"&amp;ROUNDUP(MONTH(D70)/3,0)</f>
        <v>2018-2</v>
      </c>
      <c r="E72" s="2822" t="str">
        <f t="shared" ref="E72:N72" si="19">YEAR(E70)&amp;"-"&amp;ROUNDUP(MONTH(E70)/3,0)</f>
        <v>2018-1</v>
      </c>
      <c r="F72" s="2822" t="str">
        <f t="shared" si="19"/>
        <v>2017-4</v>
      </c>
      <c r="G72" s="2822" t="str">
        <f t="shared" si="19"/>
        <v>2017-3</v>
      </c>
      <c r="H72" s="2822" t="str">
        <f t="shared" si="19"/>
        <v>2017-2</v>
      </c>
      <c r="I72" s="2822" t="str">
        <f t="shared" si="19"/>
        <v>2017-1</v>
      </c>
      <c r="J72" s="2822" t="str">
        <f t="shared" si="19"/>
        <v>2016-4</v>
      </c>
      <c r="K72" s="2822" t="str">
        <f t="shared" si="19"/>
        <v>2016-3</v>
      </c>
      <c r="L72" s="2822" t="str">
        <f t="shared" si="19"/>
        <v>2016-2</v>
      </c>
      <c r="M72" s="2822" t="str">
        <f t="shared" si="19"/>
        <v>2016-1</v>
      </c>
      <c r="N72" s="2822" t="str">
        <f t="shared" si="19"/>
        <v>2015-4</v>
      </c>
      <c r="O72" s="2156"/>
      <c r="P72" s="2157"/>
      <c r="Q72" s="2158"/>
      <c r="R72" s="2158"/>
      <c r="S72" s="2158"/>
      <c r="T72" s="2158"/>
      <c r="U72" s="2158"/>
      <c r="V72" s="2158"/>
      <c r="W72" s="2158"/>
      <c r="X72" s="2158"/>
      <c r="Y72" s="2158"/>
      <c r="Z72" s="2158"/>
      <c r="AA72" s="2158"/>
      <c r="AB72" s="2158"/>
      <c r="AC72" s="2158"/>
    </row>
    <row r="73" spans="1:29" s="1219" customFormat="1" ht="27" customHeight="1">
      <c r="A73" s="2827" t="s">
        <v>2647</v>
      </c>
      <c r="B73" s="478" t="str">
        <f>"北京市平均增长率"&amp;TEXT(SUMIF(基准地价!N21:N25,A73,基准地价!P21:P25),"0.00%")</f>
        <v>北京市平均增长率0.00%</v>
      </c>
      <c r="C73" s="893">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2646</v>
      </c>
      <c r="B74" s="2826"/>
      <c r="C74" s="2811"/>
      <c r="D74" s="2812"/>
      <c r="E74" s="2812"/>
      <c r="F74" s="2812"/>
      <c r="G74" s="2812"/>
      <c r="H74" s="2812" t="s">
        <v>3091</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4.4">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175" t="s">
        <v>3131</v>
      </c>
      <c r="D77" s="3175" t="s">
        <v>3133</v>
      </c>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98</v>
      </c>
      <c r="D78" s="670">
        <v>100</v>
      </c>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534</v>
      </c>
      <c r="C81" s="681" t="str">
        <f>C82&amp;"（含）"&amp;"-"&amp;D82</f>
        <v>1（含）-2</v>
      </c>
      <c r="D81" s="681" t="str">
        <f t="shared" ref="D81:L81" si="21">D82&amp;"（含）"&amp;"-"&amp;E82</f>
        <v>2（含）-3</v>
      </c>
      <c r="E81" s="681" t="str">
        <f t="shared" si="21"/>
        <v>3（含）-4</v>
      </c>
      <c r="F81" s="681" t="str">
        <f t="shared" si="21"/>
        <v>4（含）-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1</v>
      </c>
      <c r="D82" s="540">
        <v>2</v>
      </c>
      <c r="E82" s="540">
        <v>3</v>
      </c>
      <c r="F82" s="540">
        <v>4</v>
      </c>
      <c r="G82" s="540"/>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8" customFormat="1" ht="15" thickTop="1">
      <c r="A84" s="686"/>
      <c r="B84" s="672" t="str">
        <f>B14</f>
        <v>配建</v>
      </c>
      <c r="C84" s="1373" t="s">
        <v>3064</v>
      </c>
      <c r="D84" s="1374" t="s">
        <v>3069</v>
      </c>
      <c r="E84" s="3183" t="s">
        <v>3070</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4.4"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97.5</v>
      </c>
      <c r="E93" s="678">
        <f>D93-$K19</f>
        <v>95</v>
      </c>
      <c r="F93" s="678">
        <f>E93-$K19</f>
        <v>92.5</v>
      </c>
      <c r="G93" s="678">
        <f>F93-$K19</f>
        <v>90</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95</v>
      </c>
      <c r="E95" s="678">
        <f>D95-$K21</f>
        <v>90</v>
      </c>
      <c r="F95" s="678">
        <f>E95-$K21</f>
        <v>85</v>
      </c>
      <c r="G95" s="678">
        <f>F95-$K21</f>
        <v>80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9.4"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4.4"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9.4"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544</v>
      </c>
      <c r="C108" s="3183" t="s">
        <v>3073</v>
      </c>
      <c r="D108" s="3183" t="s">
        <v>3074</v>
      </c>
      <c r="E108" s="3183" t="s">
        <v>3075</v>
      </c>
      <c r="F108" s="3183" t="s">
        <v>3076</v>
      </c>
      <c r="G108" s="3183" t="s">
        <v>3077</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6">C119&amp;"(含)"&amp;"-"&amp;D119</f>
        <v>0(含)-10000</v>
      </c>
      <c r="D118" s="703" t="str">
        <f t="shared" si="26"/>
        <v>10000(含)-30000</v>
      </c>
      <c r="E118" s="703" t="str">
        <f t="shared" si="26"/>
        <v>30000(含)-60000</v>
      </c>
      <c r="F118" s="703" t="str">
        <f t="shared" si="26"/>
        <v>60000(含)-90000</v>
      </c>
      <c r="G118" s="703" t="str">
        <f t="shared" si="26"/>
        <v>90000(含)-</v>
      </c>
      <c r="H118" s="703" t="str">
        <f t="shared" si="26"/>
        <v>(含)-</v>
      </c>
      <c r="I118" s="703" t="str">
        <f t="shared" si="26"/>
        <v>(含)-</v>
      </c>
      <c r="J118" s="3105" t="str">
        <f t="shared" si="26"/>
        <v>(含)-</v>
      </c>
      <c r="K118" s="3105" t="str">
        <f t="shared" si="26"/>
        <v>(含)-</v>
      </c>
      <c r="L118" s="3106" t="str">
        <f t="shared" si="26"/>
        <v>(含)-</v>
      </c>
      <c r="M118" s="310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10000</v>
      </c>
      <c r="E119" s="729">
        <v>30000</v>
      </c>
      <c r="F119" s="729">
        <v>60000</v>
      </c>
      <c r="G119" s="729">
        <v>90000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99</v>
      </c>
      <c r="E120" s="725">
        <v>98</v>
      </c>
      <c r="F120" s="725">
        <v>97</v>
      </c>
      <c r="G120" s="725">
        <v>96</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186" t="s">
        <v>3078</v>
      </c>
      <c r="D121" s="3186" t="s">
        <v>3079</v>
      </c>
      <c r="E121" s="3186" t="s">
        <v>3080</v>
      </c>
      <c r="F121" s="3186" t="s">
        <v>3081</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7">C122-$K41</f>
        <v>98.5</v>
      </c>
      <c r="E122" s="678">
        <f t="shared" si="27"/>
        <v>97</v>
      </c>
      <c r="F122" s="678">
        <f t="shared" si="27"/>
        <v>95.5</v>
      </c>
      <c r="G122" s="678">
        <f t="shared" si="27"/>
        <v>94</v>
      </c>
      <c r="H122" s="678">
        <f t="shared" si="27"/>
        <v>92.5</v>
      </c>
      <c r="I122" s="678">
        <f t="shared" si="27"/>
        <v>91</v>
      </c>
      <c r="J122" s="678">
        <f t="shared" si="27"/>
        <v>89.5</v>
      </c>
      <c r="K122" s="678">
        <f t="shared" si="27"/>
        <v>88</v>
      </c>
      <c r="L122" s="678">
        <f t="shared" si="27"/>
        <v>86.5</v>
      </c>
      <c r="M122" s="679">
        <f t="shared" si="27"/>
        <v>85</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3082</v>
      </c>
      <c r="D123" s="687" t="s">
        <v>3068</v>
      </c>
      <c r="E123" s="687" t="s">
        <v>3066</v>
      </c>
      <c r="F123" s="717" t="s">
        <v>3067</v>
      </c>
      <c r="G123" s="717" t="s">
        <v>3083</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4" t="s">
        <v>3071</v>
      </c>
      <c r="D125" s="1374" t="s">
        <v>3084</v>
      </c>
      <c r="E125" s="1374" t="s">
        <v>3085</v>
      </c>
      <c r="F125" s="1374" t="s">
        <v>3086</v>
      </c>
      <c r="G125" s="1374" t="s">
        <v>3087</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4.4" thickBot="1">
      <c r="A126" s="686"/>
      <c r="B126" s="677"/>
      <c r="C126" s="678">
        <v>100</v>
      </c>
      <c r="D126" s="678">
        <f>C126-$K43</f>
        <v>98.5</v>
      </c>
      <c r="E126" s="678">
        <f t="shared" ref="E126:M126" si="29">D126-$K43</f>
        <v>97</v>
      </c>
      <c r="F126" s="678">
        <f t="shared" si="29"/>
        <v>95.5</v>
      </c>
      <c r="G126" s="678">
        <f t="shared" si="29"/>
        <v>94</v>
      </c>
      <c r="H126" s="678">
        <f t="shared" si="29"/>
        <v>92.5</v>
      </c>
      <c r="I126" s="678">
        <f t="shared" si="29"/>
        <v>91</v>
      </c>
      <c r="J126" s="678">
        <f t="shared" si="29"/>
        <v>89.5</v>
      </c>
      <c r="K126" s="678">
        <f t="shared" si="29"/>
        <v>88</v>
      </c>
      <c r="L126" s="678">
        <f t="shared" si="29"/>
        <v>86.5</v>
      </c>
      <c r="M126" s="679">
        <f t="shared" si="29"/>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3082</v>
      </c>
      <c r="D127" s="687" t="s">
        <v>3068</v>
      </c>
      <c r="E127" s="717" t="s">
        <v>3066</v>
      </c>
      <c r="F127" s="717" t="s">
        <v>3067</v>
      </c>
      <c r="G127" s="717" t="s">
        <v>3083</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1898</v>
      </c>
      <c r="B36" s="1650" t="s">
        <v>1899</v>
      </c>
    </row>
    <row r="37" spans="1:9" ht="28.5" customHeight="1">
      <c r="A37" s="1650"/>
      <c r="B37" s="3221" t="str">
        <f>项目基本情况!B1</f>
        <v>北京市北京市大兴区旧宫镇旧忠路19号出让国有建设用地使用权抵押价格预评估</v>
      </c>
      <c r="C37" s="3221"/>
      <c r="D37" s="3221"/>
      <c r="E37" s="3221"/>
      <c r="F37" s="3221"/>
      <c r="G37" s="3221"/>
      <c r="H37" s="3221"/>
      <c r="I37" s="3221"/>
    </row>
    <row r="38" spans="1:9">
      <c r="A38" s="1652"/>
      <c r="B38" s="1652"/>
    </row>
    <row r="39" spans="1:9">
      <c r="A39" s="1650" t="s">
        <v>1898</v>
      </c>
      <c r="B39" s="1650" t="s">
        <v>2045</v>
      </c>
    </row>
    <row r="40" spans="1:9">
      <c r="A40" s="1650"/>
      <c r="B40" s="1650">
        <f>项目基本情况!B5</f>
        <v>0</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c r="B46" s="1650" t="str">
        <f>项目基本情况!K4</f>
        <v>土地估价师、土地估价师</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462</v>
      </c>
      <c r="B1" s="2830"/>
      <c r="C1" s="2101"/>
      <c r="D1" s="2101"/>
      <c r="E1" s="2101"/>
      <c r="F1" s="2101"/>
      <c r="G1" s="2101"/>
      <c r="H1" s="2101"/>
      <c r="I1" s="2101"/>
      <c r="J1" s="2101"/>
      <c r="K1" s="421">
        <f>MATCH(B1,'数据-取费表'!A6:A16,0)+5</f>
        <v>7</v>
      </c>
    </row>
    <row r="2" spans="1:31" s="2038" customFormat="1" ht="18" customHeight="1">
      <c r="A2" s="2098" t="s">
        <v>463</v>
      </c>
      <c r="B2" s="2102">
        <f ca="1">C36</f>
        <v>9995</v>
      </c>
      <c r="C2" s="2101"/>
      <c r="D2" s="2101"/>
      <c r="E2" s="2101"/>
      <c r="F2" s="2101"/>
      <c r="G2" s="2101"/>
      <c r="H2" s="2101"/>
      <c r="I2" s="2101"/>
      <c r="J2" s="2101"/>
      <c r="K2" s="2101"/>
    </row>
    <row r="3" spans="1:31" s="2038" customFormat="1" ht="18" customHeight="1">
      <c r="A3" s="2103" t="s">
        <v>1681</v>
      </c>
      <c r="B3" s="2104">
        <f ca="1">ROUND(B2*10000/IF(B1="",'数据-汇总表'!E3,INDIRECT("'数据-取费表'!K"&amp;$K$1)),0)</f>
        <v>11143</v>
      </c>
      <c r="C3" s="2101"/>
      <c r="D3" s="2101"/>
      <c r="E3" s="2101"/>
      <c r="F3" s="2101"/>
      <c r="G3" s="2101"/>
      <c r="H3" s="2101"/>
      <c r="I3" s="2101"/>
      <c r="J3" s="2101"/>
      <c r="K3" s="2101"/>
    </row>
    <row r="4" spans="1:31" s="2038" customFormat="1" ht="18" customHeight="1">
      <c r="A4" s="425" t="s">
        <v>464</v>
      </c>
      <c r="B4" s="426">
        <f ca="1">ROUND(B2*10000/IF(B1="",'数据-汇总表'!D3,INDIRECT("'数据-取费表'!R"&amp;$K$1)),0)</f>
        <v>33428</v>
      </c>
      <c r="C4" s="427"/>
      <c r="D4" s="421"/>
      <c r="E4" s="421"/>
      <c r="F4" s="421"/>
      <c r="G4" s="421"/>
      <c r="H4" s="421"/>
      <c r="I4" s="421"/>
      <c r="J4" s="421"/>
      <c r="K4" s="421"/>
    </row>
    <row r="5" spans="1:31" s="2038" customFormat="1" ht="18" customHeight="1" thickBot="1">
      <c r="A5" s="428"/>
      <c r="B5" s="429">
        <f ca="1">ROUND(B2/(IF(B1="",'数据-汇总表'!D3,INDIRECT("'数据-取费表'!R"&amp;$K$1))/666.67),0)</f>
        <v>2229</v>
      </c>
      <c r="C5" s="430" t="s">
        <v>465</v>
      </c>
      <c r="D5" s="421"/>
      <c r="E5" s="421"/>
      <c r="F5" s="421"/>
      <c r="G5" s="421"/>
      <c r="H5" s="421"/>
      <c r="I5" s="421"/>
      <c r="J5" s="421"/>
      <c r="K5" s="421"/>
    </row>
    <row r="6" spans="1:31" s="2108" customFormat="1" ht="16.5" customHeight="1">
      <c r="A6" s="2849" t="s">
        <v>1839</v>
      </c>
      <c r="B6" s="2850"/>
      <c r="C6" s="2851">
        <f ca="1">SUM(C10:K10)</f>
        <v>17835</v>
      </c>
      <c r="D6" s="2850"/>
      <c r="E6" s="2850"/>
      <c r="F6" s="2850"/>
      <c r="G6" s="2850"/>
      <c r="H6" s="2850"/>
      <c r="I6" s="2850"/>
      <c r="J6" s="2850"/>
      <c r="K6" s="2852"/>
    </row>
    <row r="7" spans="1:31" s="2110" customFormat="1" ht="14.4">
      <c r="A7" s="2853" t="s">
        <v>466</v>
      </c>
      <c r="B7" s="2854" t="s">
        <v>467</v>
      </c>
      <c r="C7" s="435" t="s">
        <v>1674</v>
      </c>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 ca="1">不动产收益法!B3</f>
        <v>19883</v>
      </c>
      <c r="D8" s="2855"/>
      <c r="E8" s="2855"/>
      <c r="F8" s="2855"/>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8970</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5">
        <f ca="1">不动产收益法!B2</f>
        <v>17835</v>
      </c>
      <c r="D10" s="3045"/>
      <c r="E10" s="3045"/>
      <c r="F10" s="2858"/>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F8*35</f>
        <v>0</v>
      </c>
    </row>
    <row r="13" spans="1:31" s="2113" customFormat="1" ht="13.5" customHeight="1">
      <c r="A13" s="2863" t="s">
        <v>1845</v>
      </c>
      <c r="B13" s="2864" t="s">
        <v>475</v>
      </c>
      <c r="C13" s="449">
        <f ca="1">IF(B1="",'数据-取费表'!P16,INDIRECT("'数据-取费表'!p"&amp;$K$1)+INDIRECT("'数据-取费表'!t"&amp;$K$1))</f>
        <v>2512</v>
      </c>
      <c r="D13" s="2865"/>
      <c r="E13" s="2866"/>
      <c r="F13" s="2867"/>
      <c r="G13" s="2833"/>
      <c r="H13" s="2834"/>
      <c r="I13" s="2834"/>
      <c r="J13" s="2834"/>
      <c r="K13" s="2835"/>
    </row>
    <row r="14" spans="1:31" s="2113" customFormat="1" ht="13.5" customHeight="1">
      <c r="A14" s="2863" t="s">
        <v>1846</v>
      </c>
      <c r="B14" s="2864" t="s">
        <v>476</v>
      </c>
      <c r="C14" s="53">
        <f ca="1">ROUND(C13*F14,0)</f>
        <v>75</v>
      </c>
      <c r="D14" s="2865"/>
      <c r="E14" s="2866"/>
      <c r="F14" s="2868">
        <f>'数据-取费表'!B33</f>
        <v>0.03</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v>
      </c>
      <c r="G15" s="2833" t="s">
        <v>479</v>
      </c>
      <c r="H15" s="2834"/>
      <c r="I15" s="2834"/>
      <c r="J15" s="2834"/>
      <c r="K15" s="2835"/>
    </row>
    <row r="16" spans="1:31" s="2114" customFormat="1" ht="13.5" customHeight="1">
      <c r="A16" s="2863" t="s">
        <v>1848</v>
      </c>
      <c r="B16" s="2864" t="s">
        <v>480</v>
      </c>
      <c r="C16" s="53">
        <f ca="1">ROUND(D16*E16/10000,0)</f>
        <v>179</v>
      </c>
      <c r="D16" s="2865">
        <f ca="1">IF(B1="",'数据-汇总表'!E3,INDIRECT("'数据-取费表'!K"&amp;$K$1)+INDIRECT("'数据-取费表'!S"&amp;$K$1))</f>
        <v>8970</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38</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2804</v>
      </c>
      <c r="D18" s="2874"/>
      <c r="E18" s="467"/>
      <c r="F18" s="467"/>
      <c r="G18" s="2837" t="s">
        <v>2430</v>
      </c>
      <c r="H18" s="2838"/>
      <c r="I18" s="2838"/>
      <c r="J18" s="2838"/>
      <c r="K18" s="2839"/>
    </row>
    <row r="19" spans="1:14" s="2113" customFormat="1" ht="13.5" customHeight="1">
      <c r="A19" s="2871" t="s">
        <v>1851</v>
      </c>
      <c r="B19" s="2872" t="s">
        <v>484</v>
      </c>
      <c r="C19" s="2829">
        <f ca="1">ROUND(D19*E19/10000,0)</f>
        <v>0</v>
      </c>
      <c r="D19" s="2875">
        <f ca="1">D16</f>
        <v>8970</v>
      </c>
      <c r="E19" s="2829">
        <f>'数据-取费表'!B32</f>
        <v>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179</v>
      </c>
      <c r="D20" s="2875"/>
      <c r="E20" s="2829"/>
      <c r="F20" s="2876"/>
      <c r="G20" s="3101"/>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160</v>
      </c>
      <c r="F21" s="2868"/>
      <c r="G21" s="26"/>
      <c r="H21" s="51"/>
      <c r="I21" s="51"/>
      <c r="J21" s="51"/>
      <c r="K21" s="2840"/>
    </row>
    <row r="22" spans="1:14" s="2113" customFormat="1" ht="13.5" customHeight="1">
      <c r="A22" s="2863" t="s">
        <v>1854</v>
      </c>
      <c r="B22" s="2864" t="s">
        <v>488</v>
      </c>
      <c r="C22" s="53">
        <f ca="1">ROUND(D22*E22/10000,0)</f>
        <v>179</v>
      </c>
      <c r="D22" s="2865">
        <f ca="1">IF(B1="",'数据-汇总表'!E6,IF(INDIRECT("'数据-取费表'!c"&amp;$K$1)="住宅",INDIRECT("'数据-取费表'!s"&amp;$K$1),INDIRECT("'数据-取费表'!k"&amp;$K$1)+INDIRECT("'数据-取费表'!s"&amp;$K$1)))</f>
        <v>8970</v>
      </c>
      <c r="E22" s="53">
        <f>'数据-取费表'!B28</f>
        <v>200</v>
      </c>
      <c r="F22" s="2868"/>
      <c r="G22" s="26"/>
      <c r="H22" s="51"/>
      <c r="I22" s="51"/>
      <c r="J22" s="51"/>
      <c r="K22" s="2840"/>
    </row>
    <row r="23" spans="1:14" s="2113" customFormat="1" ht="13.5" customHeight="1">
      <c r="A23" s="2871" t="s">
        <v>1855</v>
      </c>
      <c r="B23" s="3051" t="s">
        <v>2833</v>
      </c>
      <c r="C23" s="2873">
        <f ca="1">ROUND((C18+C19+C20)*F23,0)</f>
        <v>60</v>
      </c>
      <c r="D23" s="467"/>
      <c r="E23" s="467"/>
      <c r="F23" s="2877">
        <f>'数据-取费表'!B37</f>
        <v>0.02</v>
      </c>
      <c r="G23" s="2833" t="s">
        <v>2431</v>
      </c>
      <c r="H23" s="2834"/>
      <c r="I23" s="2834"/>
      <c r="J23" s="2834"/>
      <c r="K23" s="2835"/>
      <c r="L23" s="2115"/>
      <c r="M23" s="2115"/>
      <c r="N23" s="2115"/>
    </row>
    <row r="24" spans="1:14" s="2113" customFormat="1" ht="13.5" customHeight="1">
      <c r="A24" s="2871" t="s">
        <v>1856</v>
      </c>
      <c r="B24" s="3051" t="s">
        <v>2836</v>
      </c>
      <c r="C24" s="2873">
        <f ca="1">ROUND(C6*F24,0)</f>
        <v>357</v>
      </c>
      <c r="D24" s="474"/>
      <c r="E24" s="472"/>
      <c r="F24" s="2877">
        <f>'数据-取费表'!B38</f>
        <v>0.02</v>
      </c>
      <c r="G24" s="2842" t="s">
        <v>495</v>
      </c>
      <c r="H24" s="2836"/>
      <c r="I24" s="2836"/>
      <c r="J24" s="2836"/>
      <c r="K24" s="278"/>
      <c r="L24" s="2115"/>
      <c r="M24" s="2115"/>
      <c r="N24" s="2115"/>
    </row>
    <row r="25" spans="1:14" s="2116" customFormat="1" ht="13.5" customHeight="1">
      <c r="A25" s="2871" t="s">
        <v>1857</v>
      </c>
      <c r="B25" s="3051" t="s">
        <v>2834</v>
      </c>
      <c r="C25" s="466">
        <f>ROUND(F25/(1+'数据-取费表'!C42),4)</f>
        <v>2.9000000000000001E-2</v>
      </c>
      <c r="D25" s="461" t="s">
        <v>2828</v>
      </c>
      <c r="E25" s="468"/>
      <c r="F25" s="2877">
        <f>'数据-取费表'!B48+'数据-取费表'!B49</f>
        <v>3.0499999999999999E-2</v>
      </c>
      <c r="G25" s="2841" t="s">
        <v>2288</v>
      </c>
      <c r="H25" s="2834"/>
      <c r="I25" s="2834"/>
      <c r="J25" s="2834"/>
      <c r="K25" s="2835"/>
    </row>
    <row r="26" spans="1:14" s="2115" customFormat="1" ht="13.5" customHeight="1">
      <c r="A26" s="2871" t="s">
        <v>1858</v>
      </c>
      <c r="B26" s="3052" t="s">
        <v>2835</v>
      </c>
      <c r="C26" s="2878">
        <f ca="1">C28</f>
        <v>162</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2837</v>
      </c>
      <c r="C28" s="2881">
        <f ca="1">ROUND(IF('数据-取费表'!B22&lt;=1,(C18+C19+C20+C23+C24)*F26*'数据-取费表'!B24/2,(C18+C19+C20+C23+C24)*(POWER((1+F26),'数据-取费表'!B24/2)-1)),0)</f>
        <v>162</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934</v>
      </c>
      <c r="D29" s="467"/>
      <c r="E29" s="467"/>
      <c r="F29" s="3053">
        <f>'数据-取费表'!B41</f>
        <v>5.5000000000000007E-2</v>
      </c>
      <c r="G29" s="2842" t="s">
        <v>494</v>
      </c>
      <c r="H29" s="2834"/>
      <c r="I29" s="2834"/>
      <c r="J29" s="2834"/>
      <c r="K29" s="2835"/>
    </row>
    <row r="30" spans="1:14" s="2118" customFormat="1" ht="13.5" customHeight="1">
      <c r="A30" s="1631" t="s">
        <v>1860</v>
      </c>
      <c r="B30" s="2883" t="s">
        <v>496</v>
      </c>
      <c r="C30" s="2878">
        <f ca="1">C31</f>
        <v>4496</v>
      </c>
      <c r="D30" s="476">
        <f ca="1">C32</f>
        <v>0.12909999999999999</v>
      </c>
      <c r="E30" s="468" t="s">
        <v>491</v>
      </c>
      <c r="F30" s="470"/>
      <c r="G30" s="2841" t="s">
        <v>2965</v>
      </c>
      <c r="H30" s="2834"/>
      <c r="I30" s="2834"/>
      <c r="J30" s="2834"/>
      <c r="K30" s="2835"/>
    </row>
    <row r="31" spans="1:14" s="2117" customFormat="1" ht="13.5" customHeight="1">
      <c r="A31" s="802" t="s">
        <v>1853</v>
      </c>
      <c r="B31" s="2879"/>
      <c r="C31" s="449">
        <f ca="1">C18+C19+C20+C23+C24+C26+C29</f>
        <v>4496</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0" t="s">
        <v>2832</v>
      </c>
      <c r="B33" s="3048" t="s">
        <v>2830</v>
      </c>
      <c r="C33" s="477">
        <f ca="1">C35</f>
        <v>510</v>
      </c>
      <c r="D33" s="466">
        <f ca="1">C34</f>
        <v>0.15440000000000001</v>
      </c>
      <c r="E33" s="468" t="s">
        <v>491</v>
      </c>
      <c r="F33" s="478">
        <f ca="1">IF(B1="",'数据-取费表'!Q16,INDIRECT("'数据-取费表'!q"&amp;$K$1))</f>
        <v>0.15</v>
      </c>
      <c r="G33" s="2837"/>
      <c r="H33" s="2838"/>
      <c r="I33" s="2838"/>
      <c r="J33" s="2838"/>
      <c r="K33" s="2839"/>
    </row>
    <row r="34" spans="1:11" s="2120" customFormat="1" ht="13.5" customHeight="1">
      <c r="A34" s="374" t="s">
        <v>1853</v>
      </c>
      <c r="B34" s="2884" t="s">
        <v>497</v>
      </c>
      <c r="C34" s="471">
        <f ca="1">ROUND((1+C25)*F33,4)</f>
        <v>0.15440000000000001</v>
      </c>
      <c r="D34" s="471"/>
      <c r="E34" s="472"/>
      <c r="F34" s="479"/>
      <c r="G34" s="260" t="s">
        <v>2289</v>
      </c>
      <c r="H34" s="2836"/>
      <c r="I34" s="2836"/>
      <c r="J34" s="2836"/>
      <c r="K34" s="278"/>
    </row>
    <row r="35" spans="1:11" s="2120" customFormat="1" ht="13.5" customHeight="1" thickBot="1">
      <c r="A35" s="1632" t="s">
        <v>1854</v>
      </c>
      <c r="B35" s="3049" t="s">
        <v>2838</v>
      </c>
      <c r="C35" s="1624">
        <f ca="1">ROUND((C18+C19+C20+C23+C24)*F33,0)</f>
        <v>510</v>
      </c>
      <c r="D35" s="1625"/>
      <c r="E35" s="2885"/>
      <c r="F35" s="1626"/>
      <c r="G35" s="2843"/>
      <c r="H35" s="2844"/>
      <c r="I35" s="2844"/>
      <c r="J35" s="2844"/>
      <c r="K35" s="2845"/>
    </row>
    <row r="36" spans="1:11" s="2082" customFormat="1" ht="13.5" customHeight="1" thickBot="1">
      <c r="A36" s="283" t="s">
        <v>1841</v>
      </c>
      <c r="B36" s="2847"/>
      <c r="C36" s="2886">
        <f ca="1">ROUND((C6-C30-C33)/(1+D30+D33),0)</f>
        <v>9995</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462</v>
      </c>
      <c r="B1" s="2830"/>
      <c r="C1" s="2101"/>
      <c r="D1" s="2101"/>
      <c r="E1" s="2101"/>
      <c r="F1" s="2101"/>
      <c r="G1" s="2101"/>
      <c r="H1" s="2101"/>
      <c r="I1" s="2101"/>
      <c r="J1" s="2101"/>
      <c r="K1" s="421">
        <f>MATCH(B1,'数据-取费表'!A6:A16,0)+5</f>
        <v>7</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6"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4.4">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2512</v>
      </c>
      <c r="D13" s="450"/>
      <c r="E13" s="364"/>
      <c r="F13" s="451"/>
      <c r="G13" s="443"/>
      <c r="H13" s="446"/>
      <c r="I13" s="446"/>
      <c r="J13" s="446"/>
      <c r="K13" s="447"/>
    </row>
    <row r="14" spans="1:41" s="2113" customFormat="1" ht="13.5" customHeight="1">
      <c r="A14" s="1629" t="s">
        <v>1846</v>
      </c>
      <c r="B14" s="448" t="s">
        <v>476</v>
      </c>
      <c r="C14" s="53">
        <f ca="1">ROUND(C13*F14,0)</f>
        <v>75</v>
      </c>
      <c r="D14" s="450"/>
      <c r="E14" s="364"/>
      <c r="F14" s="452">
        <f>'数据-取费表'!B33</f>
        <v>0.03</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4" customFormat="1" ht="13.5" customHeight="1">
      <c r="A16" s="1629" t="s">
        <v>1848</v>
      </c>
      <c r="B16" s="448" t="s">
        <v>480</v>
      </c>
      <c r="C16" s="53">
        <f ca="1">ROUND(D16*E16/10000,0)</f>
        <v>179</v>
      </c>
      <c r="D16" s="450">
        <f ca="1">IF(B1="",'数据-汇总表'!E3,INDIRECT("'数据-取费表'!K"&amp;$K$1)+INDIRECT("'数据-取费表'!S"&amp;$K$1))</f>
        <v>8970</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38</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2804</v>
      </c>
      <c r="D18" s="460"/>
      <c r="E18" s="461"/>
      <c r="F18" s="461"/>
      <c r="G18" s="1326" t="s">
        <v>2432</v>
      </c>
      <c r="H18" s="446"/>
      <c r="I18" s="446"/>
      <c r="J18" s="446"/>
      <c r="K18" s="447"/>
    </row>
    <row r="19" spans="1:14" s="2116" customFormat="1" ht="13.5" customHeight="1">
      <c r="A19" s="1630" t="s">
        <v>1851</v>
      </c>
      <c r="B19" s="458" t="s">
        <v>489</v>
      </c>
      <c r="C19" s="459">
        <f ca="1">ROUND(C18*F19,0)</f>
        <v>56</v>
      </c>
      <c r="D19" s="461"/>
      <c r="E19" s="461"/>
      <c r="F19" s="465">
        <f>'数据-取费表'!B37</f>
        <v>0.02</v>
      </c>
      <c r="G19" s="443" t="s">
        <v>499</v>
      </c>
      <c r="H19" s="446"/>
      <c r="I19" s="446"/>
      <c r="J19" s="446"/>
      <c r="K19" s="447"/>
      <c r="L19" s="2118"/>
      <c r="M19" s="2118"/>
      <c r="N19" s="2118"/>
    </row>
    <row r="20" spans="1:14" s="2116" customFormat="1" ht="13.5" customHeight="1">
      <c r="A20" s="1630" t="s">
        <v>1852</v>
      </c>
      <c r="B20" s="458" t="s">
        <v>500</v>
      </c>
      <c r="C20" s="3046">
        <f>F20</f>
        <v>0.02</v>
      </c>
      <c r="D20" s="468" t="s">
        <v>501</v>
      </c>
      <c r="E20" s="468"/>
      <c r="F20" s="485">
        <f>'数据-取费表'!B38</f>
        <v>0.02</v>
      </c>
      <c r="G20" s="1326" t="s">
        <v>502</v>
      </c>
      <c r="H20" s="446"/>
      <c r="I20" s="446"/>
      <c r="J20" s="446"/>
      <c r="K20" s="447"/>
      <c r="L20" s="2118"/>
      <c r="M20" s="2118"/>
      <c r="N20" s="2118"/>
    </row>
    <row r="21" spans="1:14" s="2118" customFormat="1" ht="13.5" customHeight="1">
      <c r="A21" s="1630" t="s">
        <v>1855</v>
      </c>
      <c r="B21" s="460" t="s">
        <v>490</v>
      </c>
      <c r="C21" s="469">
        <f ca="1">C22</f>
        <v>136</v>
      </c>
      <c r="D21" s="466">
        <f ca="1">C23</f>
        <v>1E-3</v>
      </c>
      <c r="E21" s="468" t="s">
        <v>503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7" t="s">
        <v>2435</v>
      </c>
      <c r="C22" s="486">
        <f ca="1">ROUND(IF('数据-取费表'!B22&lt;=1,(C18+C19)*F21*'数据-取费表'!B20/2,(C18+C19)*(POWER((1+F21),'数据-取费表'!B20/2)-1)),0)</f>
        <v>136</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7" t="s">
        <v>504</v>
      </c>
      <c r="C23" s="487">
        <f ca="1">ROUND(IF('数据-取费表'!B22&lt;=1,F20*F21*'数据-取费表'!B20/2,F20*(POWER((1+F21),'数据-取费表'!B20/2)-1)),4)</f>
        <v>1E-3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8" t="s">
        <v>2831</v>
      </c>
      <c r="C24" s="477">
        <f ca="1">C25</f>
        <v>429</v>
      </c>
      <c r="D24" s="488">
        <f ca="1">C26</f>
        <v>3.0000000000000001E-3</v>
      </c>
      <c r="E24" s="468" t="s">
        <v>503</v>
      </c>
      <c r="F24" s="478">
        <f ca="1">IF(B1="",'数据-取费表'!Q16,INDIRECT("'数据-取费表'!q"&amp;$K$1))</f>
        <v>0.15</v>
      </c>
      <c r="G24" s="443"/>
      <c r="H24" s="446"/>
      <c r="I24" s="446"/>
      <c r="J24" s="446"/>
      <c r="K24" s="447"/>
    </row>
    <row r="25" spans="1:14" s="2117" customFormat="1" ht="13.5" customHeight="1">
      <c r="A25" s="1629" t="s">
        <v>1845</v>
      </c>
      <c r="B25" s="1327" t="s">
        <v>2436</v>
      </c>
      <c r="C25" s="489">
        <f ca="1">ROUND((C18+C19)*F24,0)</f>
        <v>429</v>
      </c>
      <c r="D25" s="471"/>
      <c r="E25" s="472"/>
      <c r="F25" s="479"/>
      <c r="G25" s="1325" t="s">
        <v>2433</v>
      </c>
      <c r="H25" s="456"/>
      <c r="I25" s="456"/>
      <c r="J25" s="456"/>
      <c r="K25" s="457"/>
    </row>
    <row r="26" spans="1:14" s="2117" customFormat="1" ht="13.5" customHeight="1">
      <c r="A26" s="1629" t="s">
        <v>1846</v>
      </c>
      <c r="B26" s="1327" t="s">
        <v>505</v>
      </c>
      <c r="C26" s="490">
        <f ca="1">ROUND(F20*F24,4)</f>
        <v>3.0000000000000001E-3</v>
      </c>
      <c r="D26" s="471"/>
      <c r="E26" s="480"/>
      <c r="F26" s="479"/>
      <c r="G26" s="1325" t="s">
        <v>506</v>
      </c>
      <c r="H26" s="456"/>
      <c r="I26" s="456"/>
      <c r="J26" s="456"/>
      <c r="K26" s="457"/>
    </row>
    <row r="27" spans="1:14" s="2117" customFormat="1" ht="13.5" customHeight="1">
      <c r="A27" s="1633" t="s">
        <v>1864</v>
      </c>
      <c r="B27" s="458" t="s">
        <v>507</v>
      </c>
      <c r="C27" s="3047">
        <f>ROUND(F27/(1+'数据-取费表'!C42),4)</f>
        <v>5.2400000000000002E-2</v>
      </c>
      <c r="D27" s="461" t="s">
        <v>2829</v>
      </c>
      <c r="E27" s="461"/>
      <c r="F27" s="465">
        <f>'数据-取费表'!B41</f>
        <v>5.5000000000000007E-2</v>
      </c>
      <c r="G27" s="1957" t="s">
        <v>2290</v>
      </c>
      <c r="H27" s="446"/>
      <c r="I27" s="446"/>
      <c r="J27" s="446"/>
      <c r="K27" s="447"/>
    </row>
    <row r="28" spans="1:14" s="2118" customFormat="1" ht="13.5" customHeight="1">
      <c r="A28" s="1633" t="s">
        <v>1865</v>
      </c>
      <c r="B28" s="475" t="s">
        <v>508</v>
      </c>
      <c r="C28" s="469">
        <f ca="1">ROUND((C18+C19+C21+C24)/(1-C20-D21-D24-C27),0)</f>
        <v>3708</v>
      </c>
      <c r="D28" s="476"/>
      <c r="E28" s="468"/>
      <c r="F28" s="470"/>
      <c r="G28" s="1326"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8" t="s">
        <v>511</v>
      </c>
      <c r="H30" s="495"/>
      <c r="I30" s="495"/>
      <c r="J30" s="446"/>
      <c r="K30" s="447"/>
    </row>
    <row r="31" spans="1:14" s="2123" customFormat="1" ht="13.5" customHeight="1">
      <c r="A31" s="2503" t="s">
        <v>1862</v>
      </c>
      <c r="B31" s="1329"/>
      <c r="C31" s="499">
        <f>ROUND(C6*F31/(1+'数据-取费表'!C42),0)</f>
        <v>0</v>
      </c>
      <c r="D31" s="1330"/>
      <c r="E31" s="1330"/>
      <c r="F31" s="500">
        <f>'数据-取费表'!B41</f>
        <v>5.5000000000000007E-2</v>
      </c>
      <c r="G31" s="1331"/>
      <c r="H31" s="1331"/>
      <c r="I31" s="1331"/>
      <c r="J31" s="1332"/>
      <c r="K31" s="1333"/>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2966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c r="A3" s="1377"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5"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5"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517</v>
      </c>
      <c r="B6" s="512"/>
      <c r="C6" s="3410" t="s">
        <v>518</v>
      </c>
      <c r="D6" s="3411"/>
      <c r="E6" s="3435" t="s">
        <v>519</v>
      </c>
      <c r="F6" s="3436"/>
      <c r="G6" s="3410" t="s">
        <v>520</v>
      </c>
      <c r="H6" s="3411"/>
      <c r="I6" s="3410" t="s">
        <v>521</v>
      </c>
      <c r="J6" s="3411"/>
      <c r="K6" s="513" t="s">
        <v>522</v>
      </c>
      <c r="L6" s="2130"/>
      <c r="M6" s="2131"/>
      <c r="N6" s="2131"/>
      <c r="O6" s="2131"/>
      <c r="P6" s="3412" t="s">
        <v>523</v>
      </c>
      <c r="Q6" s="3413"/>
      <c r="R6" s="3398" t="s">
        <v>519</v>
      </c>
      <c r="S6" s="3399"/>
      <c r="T6" s="3398" t="s">
        <v>520</v>
      </c>
      <c r="U6" s="3399"/>
      <c r="V6" s="3418" t="s">
        <v>521</v>
      </c>
      <c r="W6" s="3418"/>
      <c r="X6" s="1563"/>
      <c r="Y6" s="3398" t="s">
        <v>523</v>
      </c>
      <c r="Z6" s="3399"/>
      <c r="AA6" s="3393" t="s">
        <v>519</v>
      </c>
      <c r="AB6" s="3394" t="s">
        <v>520</v>
      </c>
      <c r="AC6" s="3393" t="s">
        <v>521</v>
      </c>
    </row>
    <row r="7" spans="1:29">
      <c r="A7" s="514"/>
      <c r="B7" s="515"/>
      <c r="C7" s="3423" t="s">
        <v>2921</v>
      </c>
      <c r="D7" s="3422"/>
      <c r="E7" s="3437" t="s">
        <v>2922</v>
      </c>
      <c r="F7" s="3438"/>
      <c r="G7" s="3423" t="s">
        <v>2923</v>
      </c>
      <c r="H7" s="3422"/>
      <c r="I7" s="3423" t="s">
        <v>2924</v>
      </c>
      <c r="J7" s="3422"/>
      <c r="K7" s="513"/>
      <c r="L7" s="2130"/>
      <c r="M7" s="2131"/>
      <c r="N7" s="2131"/>
      <c r="O7" s="2131"/>
      <c r="P7" s="3414"/>
      <c r="Q7" s="3415"/>
      <c r="R7" s="3400"/>
      <c r="S7" s="3401"/>
      <c r="T7" s="3400"/>
      <c r="U7" s="3401"/>
      <c r="V7" s="3418"/>
      <c r="W7" s="3418"/>
      <c r="X7" s="1563"/>
      <c r="Y7" s="3400"/>
      <c r="Z7" s="3401"/>
      <c r="AA7" s="3394"/>
      <c r="AB7" s="3394"/>
      <c r="AC7" s="3394"/>
    </row>
    <row r="8" spans="1:29" ht="15" thickBot="1">
      <c r="A8" s="516"/>
      <c r="B8" s="517"/>
      <c r="C8" s="3419" t="s">
        <v>2925</v>
      </c>
      <c r="D8" s="3420"/>
      <c r="E8" s="3439" t="s">
        <v>2925</v>
      </c>
      <c r="F8" s="3440"/>
      <c r="G8" s="3419" t="s">
        <v>2925</v>
      </c>
      <c r="H8" s="3420"/>
      <c r="I8" s="3419" t="s">
        <v>2925</v>
      </c>
      <c r="J8" s="3420"/>
      <c r="K8" s="513" t="s">
        <v>524</v>
      </c>
      <c r="L8" s="2130"/>
      <c r="M8" s="2131"/>
      <c r="N8" s="2131"/>
      <c r="O8" s="2131"/>
      <c r="P8" s="3416"/>
      <c r="Q8" s="3417"/>
      <c r="R8" s="3400"/>
      <c r="S8" s="3401"/>
      <c r="T8" s="3402"/>
      <c r="U8" s="3403"/>
      <c r="V8" s="3418"/>
      <c r="W8" s="3418"/>
      <c r="X8" s="1563"/>
      <c r="Y8" s="3402"/>
      <c r="Z8" s="3403"/>
      <c r="AA8" s="3395"/>
      <c r="AB8" s="3395"/>
      <c r="AC8" s="3395"/>
    </row>
    <row r="9" spans="1:29" s="1219" customFormat="1" ht="15" thickBot="1">
      <c r="A9" s="2933"/>
      <c r="B9" s="2940" t="s">
        <v>525</v>
      </c>
      <c r="C9" s="518">
        <f>'数据-取费表'!B2</f>
        <v>43340</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396" t="s">
        <v>526</v>
      </c>
      <c r="Q9" s="3405"/>
      <c r="R9" s="1564" t="s">
        <v>8</v>
      </c>
      <c r="S9" s="1565">
        <f t="shared" ref="S9:S17" si="0">F9</f>
        <v>0</v>
      </c>
      <c r="T9" s="1564" t="s">
        <v>8</v>
      </c>
      <c r="U9" s="1565">
        <f t="shared" ref="U9:U17" si="1">H9</f>
        <v>0</v>
      </c>
      <c r="V9" s="1564" t="s">
        <v>8</v>
      </c>
      <c r="W9" s="1565">
        <f t="shared" ref="W9:W17" si="2">J9</f>
        <v>0</v>
      </c>
      <c r="X9" s="1566"/>
      <c r="Y9" s="3396" t="s">
        <v>526</v>
      </c>
      <c r="Z9" s="3397"/>
      <c r="AA9" s="1567" t="e">
        <f>D9/F9</f>
        <v>#DIV/0!</v>
      </c>
      <c r="AB9" s="1567" t="e">
        <f>D9/H9</f>
        <v>#DIV/0!</v>
      </c>
      <c r="AC9" s="1567" t="e">
        <f>D9/J9</f>
        <v>#DIV/0!</v>
      </c>
    </row>
    <row r="10" spans="1:29" s="1219" customFormat="1" ht="1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396" t="s">
        <v>529</v>
      </c>
      <c r="Q10" s="3397"/>
      <c r="R10" s="1564" t="s">
        <v>8</v>
      </c>
      <c r="S10" s="1565">
        <f t="shared" si="0"/>
        <v>0</v>
      </c>
      <c r="T10" s="1564" t="s">
        <v>8</v>
      </c>
      <c r="U10" s="1565">
        <f t="shared" si="1"/>
        <v>0</v>
      </c>
      <c r="V10" s="1564" t="s">
        <v>8</v>
      </c>
      <c r="W10" s="1565">
        <f t="shared" si="2"/>
        <v>0</v>
      </c>
      <c r="X10" s="1566"/>
      <c r="Y10" s="3396" t="s">
        <v>529</v>
      </c>
      <c r="Z10" s="3397"/>
      <c r="AA10" s="1567" t="e">
        <f t="shared" ref="AA10:AA42" si="3">D10/F10</f>
        <v>#DIV/0!</v>
      </c>
      <c r="AB10" s="1567" t="e">
        <f t="shared" ref="AB10:AB42" si="4">D10/H10</f>
        <v>#DIV/0!</v>
      </c>
      <c r="AC10" s="1567" t="e">
        <f t="shared" ref="AC10:AC42" si="5">D10/J10</f>
        <v>#DIV/0!</v>
      </c>
    </row>
    <row r="11" spans="1:29" s="1219" customFormat="1" ht="14.4">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4" t="s">
        <v>531</v>
      </c>
      <c r="Q11" s="1150" t="str">
        <f t="shared" ref="Q11:Q17" si="6">B11</f>
        <v>用途</v>
      </c>
      <c r="R11" s="1564" t="s">
        <v>8</v>
      </c>
      <c r="S11" s="1565">
        <f t="shared" si="0"/>
        <v>100</v>
      </c>
      <c r="T11" s="1564" t="s">
        <v>8</v>
      </c>
      <c r="U11" s="1565">
        <f t="shared" si="1"/>
        <v>100</v>
      </c>
      <c r="V11" s="1564" t="s">
        <v>8</v>
      </c>
      <c r="W11" s="1565">
        <f t="shared" si="2"/>
        <v>100</v>
      </c>
      <c r="X11" s="1566"/>
      <c r="Y11" s="3361" t="s">
        <v>532</v>
      </c>
      <c r="Z11" s="1149" t="str">
        <f t="shared" ref="Z11:Z17" si="7">Q11</f>
        <v>用途</v>
      </c>
      <c r="AA11" s="1567">
        <f t="shared" si="3"/>
        <v>1</v>
      </c>
      <c r="AB11" s="1567">
        <f t="shared" si="4"/>
        <v>1</v>
      </c>
      <c r="AC11" s="1567">
        <f t="shared" si="5"/>
        <v>1</v>
      </c>
    </row>
    <row r="12" spans="1:29" s="1337" customFormat="1" ht="28.8">
      <c r="A12" s="2936"/>
      <c r="B12" s="2941" t="s">
        <v>2757</v>
      </c>
      <c r="C12" s="527"/>
      <c r="D12" s="254">
        <v>100</v>
      </c>
      <c r="E12" s="527"/>
      <c r="F12" s="254">
        <f>ROUND(100/'数据-取费表'!G16,0)</f>
        <v>115</v>
      </c>
      <c r="G12" s="527"/>
      <c r="H12" s="254">
        <f>ROUND(100/'数据-取费表'!G16,0)</f>
        <v>115</v>
      </c>
      <c r="I12" s="527"/>
      <c r="J12" s="254">
        <f>ROUND(100/'数据-取费表'!G16,0)</f>
        <v>115</v>
      </c>
      <c r="K12" s="530"/>
      <c r="L12" s="2135"/>
      <c r="M12" s="2175"/>
      <c r="N12" s="2175"/>
      <c r="O12" s="2136"/>
      <c r="P12" s="3404"/>
      <c r="Q12" s="1150" t="str">
        <f t="shared" si="6"/>
        <v>土地使用年限（年）</v>
      </c>
      <c r="R12" s="1564" t="s">
        <v>8</v>
      </c>
      <c r="S12" s="1565">
        <f t="shared" si="0"/>
        <v>115</v>
      </c>
      <c r="T12" s="1564" t="s">
        <v>8</v>
      </c>
      <c r="U12" s="1565">
        <f t="shared" si="1"/>
        <v>115</v>
      </c>
      <c r="V12" s="1564" t="s">
        <v>8</v>
      </c>
      <c r="W12" s="1565">
        <f t="shared" si="2"/>
        <v>115</v>
      </c>
      <c r="X12" s="1566"/>
      <c r="Y12" s="3361"/>
      <c r="Z12" s="1149" t="str">
        <f t="shared" si="7"/>
        <v>土地使用年限（年）</v>
      </c>
      <c r="AA12" s="1567">
        <f t="shared" si="3"/>
        <v>0.86956521739130432</v>
      </c>
      <c r="AB12" s="1567">
        <f t="shared" si="4"/>
        <v>0.86956521739130432</v>
      </c>
      <c r="AC12" s="1567">
        <f t="shared" si="5"/>
        <v>0.86956521739130432</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4"/>
      <c r="Q13" s="1150" t="str">
        <f t="shared" si="6"/>
        <v>容积率</v>
      </c>
      <c r="R13" s="1564" t="s">
        <v>8</v>
      </c>
      <c r="S13" s="1565" t="e">
        <f t="shared" si="0"/>
        <v>#N/A</v>
      </c>
      <c r="T13" s="1564" t="s">
        <v>8</v>
      </c>
      <c r="U13" s="1565" t="e">
        <f t="shared" si="1"/>
        <v>#N/A</v>
      </c>
      <c r="V13" s="1564" t="s">
        <v>8</v>
      </c>
      <c r="W13" s="1565" t="e">
        <f t="shared" si="2"/>
        <v>#N/A</v>
      </c>
      <c r="X13" s="1566"/>
      <c r="Y13" s="3361"/>
      <c r="Z13" s="1149" t="str">
        <f t="shared" si="7"/>
        <v>容积率</v>
      </c>
      <c r="AA13" s="1567" t="e">
        <f t="shared" si="3"/>
        <v>#N/A</v>
      </c>
      <c r="AB13" s="1567" t="e">
        <f t="shared" si="4"/>
        <v>#N/A</v>
      </c>
      <c r="AC13" s="1567" t="e">
        <f t="shared" si="5"/>
        <v>#N/A</v>
      </c>
    </row>
    <row r="14" spans="1:29" s="1219"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4"/>
      <c r="Q14" s="1150">
        <f t="shared" si="6"/>
        <v>111</v>
      </c>
      <c r="R14" s="1564" t="s">
        <v>8</v>
      </c>
      <c r="S14" s="1565">
        <f t="shared" si="0"/>
        <v>100</v>
      </c>
      <c r="T14" s="1564" t="s">
        <v>8</v>
      </c>
      <c r="U14" s="1565">
        <f t="shared" si="1"/>
        <v>100</v>
      </c>
      <c r="V14" s="1564" t="s">
        <v>8</v>
      </c>
      <c r="W14" s="1565">
        <f t="shared" si="2"/>
        <v>100</v>
      </c>
      <c r="X14" s="1566"/>
      <c r="Y14" s="3361"/>
      <c r="Z14" s="1149">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4"/>
      <c r="Q15" s="1150">
        <f t="shared" si="6"/>
        <v>111</v>
      </c>
      <c r="R15" s="1564" t="s">
        <v>8</v>
      </c>
      <c r="S15" s="1565">
        <f t="shared" si="0"/>
        <v>100</v>
      </c>
      <c r="T15" s="1564" t="s">
        <v>8</v>
      </c>
      <c r="U15" s="1565">
        <f t="shared" si="1"/>
        <v>100</v>
      </c>
      <c r="V15" s="1564" t="s">
        <v>8</v>
      </c>
      <c r="W15" s="1565">
        <f t="shared" si="2"/>
        <v>100</v>
      </c>
      <c r="X15" s="1566"/>
      <c r="Y15" s="3361"/>
      <c r="Z15" s="1149">
        <f t="shared" si="7"/>
        <v>111</v>
      </c>
      <c r="AA15" s="1567">
        <f t="shared" si="3"/>
        <v>1</v>
      </c>
      <c r="AB15" s="1567">
        <f t="shared" si="4"/>
        <v>1</v>
      </c>
      <c r="AC15" s="1567">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4"/>
      <c r="Q16" s="1150">
        <f t="shared" si="6"/>
        <v>111</v>
      </c>
      <c r="R16" s="1564" t="s">
        <v>8</v>
      </c>
      <c r="S16" s="1565">
        <f t="shared" si="0"/>
        <v>100</v>
      </c>
      <c r="T16" s="1564" t="s">
        <v>8</v>
      </c>
      <c r="U16" s="1565">
        <f t="shared" si="1"/>
        <v>100</v>
      </c>
      <c r="V16" s="1564" t="s">
        <v>8</v>
      </c>
      <c r="W16" s="1565">
        <f t="shared" si="2"/>
        <v>100</v>
      </c>
      <c r="X16" s="1566"/>
      <c r="Y16" s="3361"/>
      <c r="Z16" s="1149">
        <f t="shared" si="7"/>
        <v>111</v>
      </c>
      <c r="AA16" s="1567">
        <f t="shared" si="3"/>
        <v>1</v>
      </c>
      <c r="AB16" s="1567">
        <f t="shared" si="4"/>
        <v>1</v>
      </c>
      <c r="AC16" s="1567">
        <f t="shared" si="5"/>
        <v>1</v>
      </c>
    </row>
    <row r="17" spans="1:29" ht="82.8">
      <c r="A17" s="2931" t="s">
        <v>2754</v>
      </c>
      <c r="B17" s="166" t="s">
        <v>594</v>
      </c>
      <c r="C17" s="920" t="str">
        <f>估价对象房地状况!G15</f>
        <v>估价对象位于顺义区明珠大街75号，周边工业项目较少，产业集聚程度较差</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06" t="s">
        <v>536</v>
      </c>
      <c r="Q17" s="1568" t="str">
        <f t="shared" si="6"/>
        <v>产业集聚程度</v>
      </c>
      <c r="R17" s="1569" t="s">
        <v>8</v>
      </c>
      <c r="S17" s="1570">
        <f t="shared" si="0"/>
        <v>100</v>
      </c>
      <c r="T17" s="1569" t="s">
        <v>8</v>
      </c>
      <c r="U17" s="1570">
        <f t="shared" si="1"/>
        <v>100</v>
      </c>
      <c r="V17" s="1569" t="s">
        <v>8</v>
      </c>
      <c r="W17" s="1570">
        <f t="shared" si="2"/>
        <v>100</v>
      </c>
      <c r="X17" s="1563"/>
      <c r="Y17" s="3406"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07"/>
      <c r="Q18" s="1568"/>
      <c r="R18" s="1569"/>
      <c r="S18" s="1570"/>
      <c r="T18" s="1569"/>
      <c r="U18" s="1570"/>
      <c r="V18" s="1569"/>
      <c r="W18" s="1570"/>
      <c r="X18" s="1563"/>
      <c r="Y18" s="3407"/>
      <c r="Z18" s="1571"/>
      <c r="AA18" s="1572">
        <v>1</v>
      </c>
      <c r="AB18" s="1572">
        <v>1</v>
      </c>
      <c r="AC18" s="1572">
        <v>1</v>
      </c>
    </row>
    <row r="19" spans="1:29" ht="110.4">
      <c r="A19" s="531"/>
      <c r="B19" s="870" t="s">
        <v>539</v>
      </c>
      <c r="C19" s="871" t="str">
        <f>估价对象房地状况!G16</f>
        <v>估价对象周边道路状况、公共交通通达情况：882、顺18、停车便捷程度较好，综合评价交通便捷度较差</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07"/>
      <c r="Q19" s="1568" t="str">
        <f>B19</f>
        <v>交通便捷度</v>
      </c>
      <c r="R19" s="1569" t="s">
        <v>8</v>
      </c>
      <c r="S19" s="1570">
        <f>F19</f>
        <v>100</v>
      </c>
      <c r="T19" s="1569" t="s">
        <v>8</v>
      </c>
      <c r="U19" s="1570">
        <f>H19</f>
        <v>100</v>
      </c>
      <c r="V19" s="1569" t="s">
        <v>8</v>
      </c>
      <c r="W19" s="1570">
        <f>J19</f>
        <v>100</v>
      </c>
      <c r="X19" s="1563"/>
      <c r="Y19" s="3407"/>
      <c r="Z19" s="1571" t="str">
        <f>Q19</f>
        <v>交通便捷度</v>
      </c>
      <c r="AA19" s="1572">
        <f t="shared" si="3"/>
        <v>1</v>
      </c>
      <c r="AB19" s="1572">
        <f t="shared" si="4"/>
        <v>1</v>
      </c>
      <c r="AC19" s="1572">
        <f t="shared" si="5"/>
        <v>1</v>
      </c>
    </row>
    <row r="20" spans="1:29" ht="15">
      <c r="A20" s="531"/>
      <c r="B20" s="921"/>
      <c r="C20" s="575"/>
      <c r="D20" s="554"/>
      <c r="E20" s="555"/>
      <c r="F20" s="554"/>
      <c r="G20" s="555"/>
      <c r="H20" s="554"/>
      <c r="I20" s="557"/>
      <c r="J20" s="554"/>
      <c r="K20" s="530"/>
      <c r="L20" s="2139"/>
      <c r="M20" s="2131"/>
      <c r="N20" s="2131"/>
      <c r="O20" s="2138"/>
      <c r="P20" s="3407"/>
      <c r="Q20" s="1568"/>
      <c r="R20" s="1569"/>
      <c r="S20" s="1570"/>
      <c r="T20" s="1569"/>
      <c r="U20" s="1570"/>
      <c r="V20" s="1569"/>
      <c r="W20" s="1570"/>
      <c r="X20" s="1563"/>
      <c r="Y20" s="3407"/>
      <c r="Z20" s="1571"/>
      <c r="AA20" s="1572">
        <v>1</v>
      </c>
      <c r="AB20" s="1572">
        <v>1</v>
      </c>
      <c r="AC20" s="1572">
        <v>1</v>
      </c>
    </row>
    <row r="21" spans="1:29" ht="28.8">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07"/>
      <c r="Q21" s="1568" t="str">
        <f t="shared" ref="Q21:Q35" si="8">B21</f>
        <v>区域土地利用方向</v>
      </c>
      <c r="R21" s="1569" t="s">
        <v>8</v>
      </c>
      <c r="S21" s="1570">
        <f>F21</f>
        <v>100</v>
      </c>
      <c r="T21" s="1569" t="s">
        <v>8</v>
      </c>
      <c r="U21" s="1570">
        <f>H21</f>
        <v>100</v>
      </c>
      <c r="V21" s="1569" t="s">
        <v>8</v>
      </c>
      <c r="W21" s="1570">
        <f>J21</f>
        <v>100</v>
      </c>
      <c r="X21" s="1563"/>
      <c r="Y21" s="3407"/>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7"/>
      <c r="L22" s="2139"/>
      <c r="M22" s="2131"/>
      <c r="N22" s="2131"/>
      <c r="O22" s="2138"/>
      <c r="P22" s="3407"/>
      <c r="Q22" s="1568"/>
      <c r="R22" s="1569"/>
      <c r="S22" s="1570"/>
      <c r="T22" s="1569"/>
      <c r="U22" s="1570"/>
      <c r="V22" s="1569"/>
      <c r="W22" s="1570"/>
      <c r="X22" s="1563"/>
      <c r="Y22" s="3407"/>
      <c r="Z22" s="1571"/>
      <c r="AA22" s="1572"/>
      <c r="AB22" s="1572"/>
      <c r="AC22" s="1572"/>
    </row>
    <row r="23" spans="1:29" ht="82.8">
      <c r="A23" s="514"/>
      <c r="B23" s="921" t="s">
        <v>595</v>
      </c>
      <c r="C23" s="871" t="str">
        <f>估价对象房地状况!G18</f>
        <v>该园区内是否有污染型企业，绿化情况，卫生条件，整体环境状况判断一般</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07"/>
      <c r="Q23" s="1568" t="str">
        <f t="shared" si="8"/>
        <v>环境状况</v>
      </c>
      <c r="R23" s="1569" t="s">
        <v>8</v>
      </c>
      <c r="S23" s="1570">
        <f>F23</f>
        <v>100</v>
      </c>
      <c r="T23" s="1569" t="s">
        <v>8</v>
      </c>
      <c r="U23" s="1570">
        <f>H23</f>
        <v>100</v>
      </c>
      <c r="V23" s="1569" t="s">
        <v>8</v>
      </c>
      <c r="W23" s="1570">
        <f>J23</f>
        <v>100</v>
      </c>
      <c r="X23" s="1563"/>
      <c r="Y23" s="3407"/>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07"/>
      <c r="Q24" s="1568"/>
      <c r="R24" s="1569"/>
      <c r="S24" s="1570"/>
      <c r="T24" s="1569"/>
      <c r="U24" s="1570"/>
      <c r="V24" s="1569"/>
      <c r="W24" s="1570"/>
      <c r="X24" s="1563"/>
      <c r="Y24" s="3407"/>
      <c r="Z24" s="1571"/>
      <c r="AA24" s="1572">
        <v>1</v>
      </c>
      <c r="AB24" s="1572">
        <v>1</v>
      </c>
      <c r="AC24" s="1572">
        <v>1</v>
      </c>
    </row>
    <row r="25" spans="1:29" s="1219" customFormat="1" ht="55.2">
      <c r="A25" s="576"/>
      <c r="B25" s="2614" t="s">
        <v>2548</v>
      </c>
      <c r="C25" s="871" t="str">
        <f>估价对象房地状况!G19</f>
        <v>估价对象所在区域公共配套设施齐备情况较差</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07"/>
      <c r="Q25" s="1150" t="str">
        <f t="shared" si="8"/>
        <v>公共配套设施</v>
      </c>
      <c r="R25" s="1564" t="s">
        <v>8</v>
      </c>
      <c r="S25" s="1565">
        <f>F25</f>
        <v>100</v>
      </c>
      <c r="T25" s="1564" t="s">
        <v>8</v>
      </c>
      <c r="U25" s="1565">
        <f>H25</f>
        <v>100</v>
      </c>
      <c r="V25" s="1564" t="s">
        <v>8</v>
      </c>
      <c r="W25" s="1565">
        <f>J25</f>
        <v>100</v>
      </c>
      <c r="X25" s="1566"/>
      <c r="Y25" s="3407"/>
      <c r="Z25" s="1149" t="str">
        <f>Q25</f>
        <v>公共配套设施</v>
      </c>
      <c r="AA25" s="1572">
        <f>D25/F25</f>
        <v>1</v>
      </c>
      <c r="AB25" s="1572">
        <f>D25/H25</f>
        <v>1</v>
      </c>
      <c r="AC25" s="1572">
        <f>D25/J25</f>
        <v>1</v>
      </c>
    </row>
    <row r="26" spans="1:29" s="1219" customFormat="1" ht="15">
      <c r="A26" s="576"/>
      <c r="B26" s="594"/>
      <c r="C26" s="2613"/>
      <c r="D26" s="554"/>
      <c r="E26" s="553"/>
      <c r="F26" s="554"/>
      <c r="G26" s="553"/>
      <c r="H26" s="554"/>
      <c r="I26" s="575"/>
      <c r="J26" s="554"/>
      <c r="K26" s="530"/>
      <c r="L26" s="2132"/>
      <c r="M26" s="2133"/>
      <c r="N26" s="2133"/>
      <c r="O26" s="2134"/>
      <c r="P26" s="3407"/>
      <c r="Q26" s="1150"/>
      <c r="R26" s="1564"/>
      <c r="S26" s="1565"/>
      <c r="T26" s="1564"/>
      <c r="U26" s="1565"/>
      <c r="V26" s="1564"/>
      <c r="W26" s="1565"/>
      <c r="X26" s="1566"/>
      <c r="Y26" s="3407"/>
      <c r="Z26" s="1149"/>
      <c r="AA26" s="1567">
        <v>1</v>
      </c>
      <c r="AB26" s="1567">
        <v>1</v>
      </c>
      <c r="AC26" s="1567">
        <v>1</v>
      </c>
    </row>
    <row r="27" spans="1:29" s="1219" customFormat="1" ht="15">
      <c r="A27" s="576"/>
      <c r="B27" s="2614" t="s">
        <v>2549</v>
      </c>
      <c r="C27" s="871" t="str">
        <f>估价对象房地状况!G20</f>
        <v>七通</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07"/>
      <c r="Q27" s="2599" t="str">
        <f t="shared" ref="Q27" si="9">B27</f>
        <v>基础设施水平</v>
      </c>
      <c r="R27" s="1564" t="s">
        <v>8</v>
      </c>
      <c r="S27" s="1565">
        <f>F27</f>
        <v>100</v>
      </c>
      <c r="T27" s="1564" t="s">
        <v>8</v>
      </c>
      <c r="U27" s="1565">
        <f>H27</f>
        <v>100</v>
      </c>
      <c r="V27" s="1564" t="s">
        <v>8</v>
      </c>
      <c r="W27" s="1565">
        <f>J27</f>
        <v>100</v>
      </c>
      <c r="X27" s="1566"/>
      <c r="Y27" s="3407"/>
      <c r="Z27" s="2596" t="str">
        <f>Q27</f>
        <v>基础设施水平</v>
      </c>
      <c r="AA27" s="1572">
        <f>D27/F27</f>
        <v>1</v>
      </c>
      <c r="AB27" s="1572">
        <f>D27/H27</f>
        <v>1</v>
      </c>
      <c r="AC27" s="1572">
        <f>D27/J27</f>
        <v>1</v>
      </c>
    </row>
    <row r="28" spans="1:29" s="1219" customFormat="1" ht="15">
      <c r="A28" s="576"/>
      <c r="B28" s="594"/>
      <c r="C28" s="2613"/>
      <c r="D28" s="554"/>
      <c r="E28" s="578"/>
      <c r="F28" s="554"/>
      <c r="G28" s="578"/>
      <c r="H28" s="554"/>
      <c r="I28" s="578"/>
      <c r="J28" s="554"/>
      <c r="K28" s="530"/>
      <c r="L28" s="2132"/>
      <c r="M28" s="2133"/>
      <c r="N28" s="2133"/>
      <c r="O28" s="2134"/>
      <c r="P28" s="3407"/>
      <c r="Q28" s="2599"/>
      <c r="R28" s="1564"/>
      <c r="S28" s="1565"/>
      <c r="T28" s="1564"/>
      <c r="U28" s="1565"/>
      <c r="V28" s="1564"/>
      <c r="W28" s="1565"/>
      <c r="X28" s="1566"/>
      <c r="Y28" s="3407"/>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07"/>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07"/>
      <c r="Z29" s="1571" t="str">
        <f t="shared" ref="Z29:Z42" si="13">Q29</f>
        <v>临街状况</v>
      </c>
      <c r="AA29" s="1572">
        <f t="shared" si="3"/>
        <v>1</v>
      </c>
      <c r="AB29" s="1572">
        <f t="shared" si="4"/>
        <v>1</v>
      </c>
      <c r="AC29" s="1572">
        <f t="shared" si="5"/>
        <v>1</v>
      </c>
    </row>
    <row r="30" spans="1:29" ht="28.8">
      <c r="A30" s="531"/>
      <c r="B30" s="921" t="s">
        <v>544</v>
      </c>
      <c r="C30" s="2616" t="str">
        <f>估价对象房地状况!G22</f>
        <v>次干道-木燕路</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07"/>
      <c r="Q30" s="1568" t="str">
        <f t="shared" si="8"/>
        <v>毗邻道路的类型与等级</v>
      </c>
      <c r="R30" s="1569" t="s">
        <v>8</v>
      </c>
      <c r="S30" s="1570">
        <f t="shared" si="10"/>
        <v>100</v>
      </c>
      <c r="T30" s="1569" t="s">
        <v>8</v>
      </c>
      <c r="U30" s="1570">
        <f t="shared" si="11"/>
        <v>100</v>
      </c>
      <c r="V30" s="1569" t="s">
        <v>8</v>
      </c>
      <c r="W30" s="1570">
        <f t="shared" si="12"/>
        <v>100</v>
      </c>
      <c r="X30" s="1563"/>
      <c r="Y30" s="3407"/>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07"/>
      <c r="Q31" s="1568"/>
      <c r="R31" s="1569"/>
      <c r="S31" s="1570"/>
      <c r="T31" s="1569"/>
      <c r="U31" s="1570"/>
      <c r="V31" s="1569"/>
      <c r="W31" s="1570"/>
      <c r="X31" s="1563"/>
      <c r="Y31" s="3407"/>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07"/>
      <c r="Q32" s="1568" t="str">
        <f t="shared" si="8"/>
        <v>土地级别</v>
      </c>
      <c r="R32" s="1569" t="s">
        <v>8</v>
      </c>
      <c r="S32" s="1570">
        <f t="shared" si="10"/>
        <v>100</v>
      </c>
      <c r="T32" s="1569" t="s">
        <v>8</v>
      </c>
      <c r="U32" s="1570">
        <f t="shared" si="11"/>
        <v>100</v>
      </c>
      <c r="V32" s="1569" t="s">
        <v>8</v>
      </c>
      <c r="W32" s="1570">
        <f t="shared" si="12"/>
        <v>100</v>
      </c>
      <c r="X32" s="1563"/>
      <c r="Y32" s="3407"/>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07"/>
      <c r="Q33" s="1568">
        <f t="shared" si="8"/>
        <v>111</v>
      </c>
      <c r="R33" s="1569" t="s">
        <v>8</v>
      </c>
      <c r="S33" s="1570">
        <f t="shared" si="10"/>
        <v>100</v>
      </c>
      <c r="T33" s="1569" t="s">
        <v>8</v>
      </c>
      <c r="U33" s="1570">
        <f t="shared" si="11"/>
        <v>100</v>
      </c>
      <c r="V33" s="1569" t="s">
        <v>8</v>
      </c>
      <c r="W33" s="1570">
        <f t="shared" si="12"/>
        <v>100</v>
      </c>
      <c r="X33" s="1563"/>
      <c r="Y33" s="3407"/>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08" t="s">
        <v>546</v>
      </c>
      <c r="Q34" s="1568">
        <f t="shared" si="8"/>
        <v>111</v>
      </c>
      <c r="R34" s="1569" t="s">
        <v>8</v>
      </c>
      <c r="S34" s="1570">
        <f t="shared" si="10"/>
        <v>100</v>
      </c>
      <c r="T34" s="1569" t="s">
        <v>8</v>
      </c>
      <c r="U34" s="1570">
        <f t="shared" si="11"/>
        <v>100</v>
      </c>
      <c r="V34" s="1569" t="s">
        <v>8</v>
      </c>
      <c r="W34" s="1570">
        <f t="shared" si="12"/>
        <v>100</v>
      </c>
      <c r="X34" s="1563"/>
      <c r="Y34" s="3409" t="s">
        <v>546</v>
      </c>
      <c r="Z34" s="1571">
        <f t="shared" si="13"/>
        <v>111</v>
      </c>
      <c r="AA34" s="1572">
        <f t="shared" si="3"/>
        <v>1</v>
      </c>
      <c r="AB34" s="1572">
        <f t="shared" si="4"/>
        <v>1</v>
      </c>
      <c r="AC34" s="1572">
        <f t="shared" si="5"/>
        <v>1</v>
      </c>
    </row>
    <row r="35" spans="1:29" s="1338" customFormat="1" ht="15.6"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09"/>
      <c r="Q35" s="1568">
        <f t="shared" si="8"/>
        <v>111</v>
      </c>
      <c r="R35" s="1573" t="s">
        <v>8</v>
      </c>
      <c r="S35" s="1574">
        <f t="shared" si="10"/>
        <v>100</v>
      </c>
      <c r="T35" s="1573" t="s">
        <v>8</v>
      </c>
      <c r="U35" s="1574">
        <f t="shared" si="11"/>
        <v>100</v>
      </c>
      <c r="V35" s="1573" t="s">
        <v>8</v>
      </c>
      <c r="W35" s="1574">
        <f t="shared" si="12"/>
        <v>100</v>
      </c>
      <c r="X35" s="1575"/>
      <c r="Y35" s="3409"/>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09"/>
      <c r="Q36" s="1568" t="str">
        <f>B36</f>
        <v>宗地面积</v>
      </c>
      <c r="R36" s="1569" t="s">
        <v>8</v>
      </c>
      <c r="S36" s="1570" t="e">
        <f t="shared" si="10"/>
        <v>#N/A</v>
      </c>
      <c r="T36" s="1569" t="s">
        <v>8</v>
      </c>
      <c r="U36" s="1570" t="e">
        <f t="shared" si="11"/>
        <v>#N/A</v>
      </c>
      <c r="V36" s="1569" t="s">
        <v>8</v>
      </c>
      <c r="W36" s="1570" t="e">
        <f t="shared" si="12"/>
        <v>#N/A</v>
      </c>
      <c r="X36" s="1563"/>
      <c r="Y36" s="3409"/>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09"/>
      <c r="Q37" s="1568" t="str">
        <f t="shared" ref="Q37:Q42" si="14">B37</f>
        <v>宗地形状</v>
      </c>
      <c r="R37" s="1569" t="s">
        <v>8</v>
      </c>
      <c r="S37" s="1570">
        <f t="shared" si="10"/>
        <v>100</v>
      </c>
      <c r="T37" s="1569" t="s">
        <v>8</v>
      </c>
      <c r="U37" s="1570">
        <f t="shared" si="11"/>
        <v>100</v>
      </c>
      <c r="V37" s="1569" t="s">
        <v>8</v>
      </c>
      <c r="W37" s="1570">
        <f t="shared" si="12"/>
        <v>100</v>
      </c>
      <c r="X37" s="1563"/>
      <c r="Y37" s="3409"/>
      <c r="Z37" s="1571" t="str">
        <f t="shared" si="13"/>
        <v>宗地形状</v>
      </c>
      <c r="AA37" s="1572">
        <f t="shared" si="3"/>
        <v>1</v>
      </c>
      <c r="AB37" s="1572">
        <f t="shared" si="4"/>
        <v>1</v>
      </c>
      <c r="AC37" s="1572">
        <f t="shared" si="5"/>
        <v>1</v>
      </c>
    </row>
    <row r="38" spans="1:29" s="1219"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09"/>
      <c r="Q38" s="1568" t="str">
        <f t="shared" si="14"/>
        <v>宗地开发程度</v>
      </c>
      <c r="R38" s="1564" t="s">
        <v>8</v>
      </c>
      <c r="S38" s="1565">
        <f t="shared" si="10"/>
        <v>100</v>
      </c>
      <c r="T38" s="1564" t="s">
        <v>8</v>
      </c>
      <c r="U38" s="1565">
        <f t="shared" si="11"/>
        <v>100</v>
      </c>
      <c r="V38" s="1564" t="s">
        <v>8</v>
      </c>
      <c r="W38" s="1565">
        <f t="shared" si="12"/>
        <v>100</v>
      </c>
      <c r="X38" s="1566"/>
      <c r="Y38" s="3409"/>
      <c r="Z38" s="1149"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9" t="s">
        <v>597</v>
      </c>
      <c r="Q39" s="1568" t="str">
        <f t="shared" si="14"/>
        <v>工程地质条件</v>
      </c>
      <c r="R39" s="1569" t="s">
        <v>8</v>
      </c>
      <c r="S39" s="1570">
        <f t="shared" si="10"/>
        <v>100</v>
      </c>
      <c r="T39" s="1569" t="s">
        <v>8</v>
      </c>
      <c r="U39" s="1570">
        <f t="shared" si="11"/>
        <v>100</v>
      </c>
      <c r="V39" s="1569" t="s">
        <v>8</v>
      </c>
      <c r="W39" s="1570">
        <f t="shared" si="12"/>
        <v>100</v>
      </c>
      <c r="X39" s="1563"/>
      <c r="Y39" s="3409"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09"/>
      <c r="Q40" s="1568">
        <f t="shared" si="14"/>
        <v>111</v>
      </c>
      <c r="R40" s="1569" t="s">
        <v>8</v>
      </c>
      <c r="S40" s="1570">
        <f t="shared" si="10"/>
        <v>100</v>
      </c>
      <c r="T40" s="1569" t="s">
        <v>8</v>
      </c>
      <c r="U40" s="1570">
        <f t="shared" si="11"/>
        <v>100</v>
      </c>
      <c r="V40" s="1569" t="s">
        <v>8</v>
      </c>
      <c r="W40" s="1570">
        <f t="shared" si="12"/>
        <v>100</v>
      </c>
      <c r="X40" s="1563"/>
      <c r="Y40" s="3409"/>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09"/>
      <c r="Q41" s="1568">
        <f t="shared" si="14"/>
        <v>111</v>
      </c>
      <c r="R41" s="1569" t="s">
        <v>8</v>
      </c>
      <c r="S41" s="1570">
        <f t="shared" si="10"/>
        <v>100</v>
      </c>
      <c r="T41" s="1569" t="s">
        <v>8</v>
      </c>
      <c r="U41" s="1570">
        <f t="shared" si="11"/>
        <v>100</v>
      </c>
      <c r="V41" s="1569" t="s">
        <v>8</v>
      </c>
      <c r="W41" s="1570">
        <f t="shared" si="12"/>
        <v>100</v>
      </c>
      <c r="X41" s="1563"/>
      <c r="Y41" s="3409"/>
      <c r="Z41" s="1571">
        <f t="shared" si="13"/>
        <v>111</v>
      </c>
      <c r="AA41" s="1572">
        <f t="shared" si="3"/>
        <v>1</v>
      </c>
      <c r="AB41" s="1572">
        <f t="shared" si="4"/>
        <v>1</v>
      </c>
      <c r="AC41" s="1572">
        <f t="shared" si="5"/>
        <v>1</v>
      </c>
    </row>
    <row r="42" spans="1:29" s="1338"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09"/>
      <c r="Q42" s="1568">
        <f t="shared" si="14"/>
        <v>111</v>
      </c>
      <c r="R42" s="1573" t="s">
        <v>8</v>
      </c>
      <c r="S42" s="1574">
        <f t="shared" si="10"/>
        <v>100</v>
      </c>
      <c r="T42" s="1573" t="s">
        <v>8</v>
      </c>
      <c r="U42" s="1574">
        <f t="shared" si="11"/>
        <v>100</v>
      </c>
      <c r="V42" s="1573" t="s">
        <v>8</v>
      </c>
      <c r="W42" s="1574">
        <f t="shared" si="12"/>
        <v>100</v>
      </c>
      <c r="X42" s="1575"/>
      <c r="Y42" s="3409"/>
      <c r="Z42" s="1576">
        <f t="shared" si="13"/>
        <v>111</v>
      </c>
      <c r="AA42" s="1572">
        <f t="shared" si="3"/>
        <v>1</v>
      </c>
      <c r="AB42" s="1572">
        <f t="shared" si="4"/>
        <v>1</v>
      </c>
      <c r="AC42" s="1572">
        <f t="shared" si="5"/>
        <v>1</v>
      </c>
    </row>
    <row r="43" spans="1:29" ht="14.4">
      <c r="A43" s="606" t="s">
        <v>552</v>
      </c>
      <c r="B43" s="607" t="s">
        <v>2926</v>
      </c>
      <c r="C43" s="608" t="s">
        <v>1</v>
      </c>
      <c r="D43" s="609"/>
      <c r="E43" s="610"/>
      <c r="F43" s="611"/>
      <c r="G43" s="612"/>
      <c r="H43" s="613"/>
      <c r="I43" s="610"/>
      <c r="J43" s="613"/>
      <c r="K43" s="1339"/>
      <c r="L43" s="2141"/>
      <c r="M43" s="2131"/>
      <c r="N43" s="2131"/>
      <c r="O43" s="2142"/>
      <c r="P43" s="3404" t="str">
        <f>A43</f>
        <v>成交单价</v>
      </c>
      <c r="Q43" s="3404"/>
      <c r="R43" s="3418">
        <f>E43</f>
        <v>0</v>
      </c>
      <c r="S43" s="3418"/>
      <c r="T43" s="3418">
        <f>G43</f>
        <v>0</v>
      </c>
      <c r="U43" s="3418"/>
      <c r="V43" s="3418">
        <f>I43</f>
        <v>0</v>
      </c>
      <c r="W43" s="3418"/>
      <c r="X43" s="1555"/>
      <c r="Y43" s="1577"/>
      <c r="Z43" s="1555"/>
      <c r="AA43" s="1555"/>
      <c r="AB43" s="1555"/>
      <c r="AC43" s="1555"/>
    </row>
    <row r="44" spans="1:29" ht="15" thickBot="1">
      <c r="A44" s="614" t="s">
        <v>2693</v>
      </c>
      <c r="B44" s="615"/>
      <c r="C44" s="616" t="e">
        <f>R45</f>
        <v>#DIV/0!</v>
      </c>
      <c r="D44" s="617"/>
      <c r="E44" s="616" t="e">
        <f>R44</f>
        <v>#DIV/0!</v>
      </c>
      <c r="F44" s="618"/>
      <c r="G44" s="619" t="e">
        <f>T44</f>
        <v>#DIV/0!</v>
      </c>
      <c r="H44" s="617"/>
      <c r="I44" s="616" t="e">
        <f>V44</f>
        <v>#DIV/0!</v>
      </c>
      <c r="J44" s="617"/>
      <c r="K44" s="1340"/>
      <c r="L44" s="2141"/>
      <c r="M44" s="2131"/>
      <c r="N44" s="2131"/>
      <c r="O44" s="2142"/>
      <c r="P44" s="3404" t="str">
        <f>A44</f>
        <v>比较价格（元/平方米）</v>
      </c>
      <c r="Q44" s="3404"/>
      <c r="R44" s="3429" t="e">
        <f>ROUND(PRODUCT(R43,AA9:AA42),0)</f>
        <v>#DIV/0!</v>
      </c>
      <c r="S44" s="3429"/>
      <c r="T44" s="3429" t="e">
        <f>ROUND(PRODUCT(T43,AB9:AB42),0)</f>
        <v>#DIV/0!</v>
      </c>
      <c r="U44" s="3429"/>
      <c r="V44" s="3429" t="e">
        <f>ROUND(PRODUCT(V43,AC9:AC42),0)</f>
        <v>#DIV/0!</v>
      </c>
      <c r="W44" s="3429"/>
      <c r="X44" s="1555"/>
      <c r="Y44" s="1555"/>
      <c r="Z44" s="1555"/>
      <c r="AA44" s="1555"/>
      <c r="AB44" s="1555"/>
      <c r="AC44" s="1555"/>
    </row>
    <row r="45" spans="1:29" ht="15" thickBot="1">
      <c r="A45" s="620" t="s">
        <v>2927</v>
      </c>
      <c r="B45" s="621"/>
      <c r="C45" s="622" t="e">
        <f>R45</f>
        <v>#DIV/0!</v>
      </c>
      <c r="D45" s="622"/>
      <c r="E45" s="622"/>
      <c r="F45" s="622"/>
      <c r="G45" s="622"/>
      <c r="H45" s="622"/>
      <c r="I45" s="622"/>
      <c r="J45" s="622"/>
      <c r="K45" s="1341"/>
      <c r="L45" s="2141"/>
      <c r="M45" s="2131"/>
      <c r="N45" s="2131"/>
      <c r="O45" s="2142"/>
      <c r="P45" s="3426" t="str">
        <f>A45</f>
        <v>估价对象XX用房的比较价格（楼面单价，元/平方米）</v>
      </c>
      <c r="Q45" s="3427"/>
      <c r="R45" s="3428" t="e">
        <f>ROUND(AVERAGE(R44:V44),0)</f>
        <v>#DIV/0!</v>
      </c>
      <c r="S45" s="3428"/>
      <c r="T45" s="3428"/>
      <c r="U45" s="3428"/>
      <c r="V45" s="3428"/>
      <c r="W45" s="3428"/>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556</v>
      </c>
      <c r="B52" s="629" t="s">
        <v>557</v>
      </c>
      <c r="C52" s="1556" t="s">
        <v>1721</v>
      </c>
      <c r="D52" s="2224" t="s">
        <v>2292</v>
      </c>
      <c r="E52" s="630" t="s">
        <v>558</v>
      </c>
      <c r="F52" s="1948" t="s">
        <v>559</v>
      </c>
      <c r="G52" s="3430" t="s">
        <v>2283</v>
      </c>
      <c r="H52" s="3431"/>
      <c r="I52" s="1949" t="s">
        <v>1944</v>
      </c>
      <c r="J52" s="1551">
        <f>项目基本情况!F41</f>
        <v>0</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3.2">
      <c r="A53" s="632" t="s">
        <v>560</v>
      </c>
      <c r="B53" s="633" t="e">
        <f>C45</f>
        <v>#DIV/0!</v>
      </c>
      <c r="C53" s="634">
        <v>1</v>
      </c>
      <c r="D53" s="2225">
        <v>1</v>
      </c>
      <c r="E53" s="634">
        <f>'数据-汇总表'!E8+'数据-汇总表'!E9</f>
        <v>8970</v>
      </c>
      <c r="F53" s="1947" t="e">
        <f t="shared" ref="F53:F62" si="15">ROUND(B53*E53/10000,0)</f>
        <v>#DIV/0!</v>
      </c>
      <c r="G53" s="3432"/>
      <c r="H53" s="3433"/>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3.2">
      <c r="A54" s="636" t="s">
        <v>561</v>
      </c>
      <c r="B54" s="637" t="e">
        <f>ROUND($C$45*C54*D54,0)</f>
        <v>#DIV/0!</v>
      </c>
      <c r="C54" s="377">
        <f t="shared" ref="C54:C62" si="16">IF($C$52="北京市系数",I54,J54)</f>
        <v>0</v>
      </c>
      <c r="D54" s="2226">
        <v>0.25</v>
      </c>
      <c r="E54" s="638"/>
      <c r="F54" s="1947" t="e">
        <f t="shared" si="15"/>
        <v>#DIV/0!</v>
      </c>
      <c r="G54" s="3434" t="s">
        <v>2284</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3.2">
      <c r="A55" s="636" t="s">
        <v>562</v>
      </c>
      <c r="B55" s="637" t="e">
        <f t="shared" ref="B55:B62" si="17">ROUND($C$45*C55*D55,0)</f>
        <v>#DIV/0!</v>
      </c>
      <c r="C55" s="377">
        <f t="shared" si="16"/>
        <v>0</v>
      </c>
      <c r="D55" s="2226">
        <v>0.25</v>
      </c>
      <c r="E55" s="638"/>
      <c r="F55" s="1947" t="e">
        <f t="shared" si="15"/>
        <v>#DIV/0!</v>
      </c>
      <c r="G55" s="3434"/>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3.2">
      <c r="A56" s="636" t="s">
        <v>563</v>
      </c>
      <c r="B56" s="637" t="e">
        <f t="shared" si="17"/>
        <v>#DIV/0!</v>
      </c>
      <c r="C56" s="377">
        <f t="shared" si="16"/>
        <v>0</v>
      </c>
      <c r="D56" s="2226">
        <v>0.25</v>
      </c>
      <c r="E56" s="638"/>
      <c r="F56" s="1947" t="e">
        <f t="shared" si="15"/>
        <v>#DIV/0!</v>
      </c>
      <c r="G56" s="3434"/>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3.2">
      <c r="A57" s="636" t="s">
        <v>564</v>
      </c>
      <c r="B57" s="637" t="e">
        <f t="shared" si="17"/>
        <v>#DIV/0!</v>
      </c>
      <c r="C57" s="377">
        <f t="shared" si="16"/>
        <v>0</v>
      </c>
      <c r="D57" s="2226">
        <v>0.25</v>
      </c>
      <c r="E57" s="638"/>
      <c r="F57" s="1947" t="e">
        <f t="shared" si="15"/>
        <v>#DIV/0!</v>
      </c>
      <c r="G57" s="3434"/>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3.2">
      <c r="A58" s="2328" t="s">
        <v>2327</v>
      </c>
      <c r="B58" s="637" t="e">
        <f t="shared" si="17"/>
        <v>#DIV/0!</v>
      </c>
      <c r="C58" s="377">
        <f t="shared" si="16"/>
        <v>0.25</v>
      </c>
      <c r="D58" s="2226">
        <v>0.25</v>
      </c>
      <c r="E58" s="640">
        <f>'数据-汇总表'!E11</f>
        <v>0</v>
      </c>
      <c r="F58" s="1947" t="e">
        <f t="shared" si="15"/>
        <v>#DIV/0!</v>
      </c>
      <c r="G58" s="1953" t="s">
        <v>2285</v>
      </c>
      <c r="H58" s="1952" t="str">
        <f>项目基本情况!C43</f>
        <v>七级</v>
      </c>
      <c r="I58" s="1950">
        <f>SUMIF(修正!$A$45:$A$56,H58,修正!F45:F56)</f>
        <v>0.25</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565</v>
      </c>
      <c r="B59" s="637" t="e">
        <f t="shared" si="17"/>
        <v>#DIV/0!</v>
      </c>
      <c r="C59" s="377">
        <f t="shared" si="16"/>
        <v>0.25</v>
      </c>
      <c r="D59" s="2226">
        <v>0.25</v>
      </c>
      <c r="E59" s="640">
        <f>'数据-汇总表'!E12</f>
        <v>0</v>
      </c>
      <c r="F59" s="1947" t="e">
        <f t="shared" si="15"/>
        <v>#DIV/0!</v>
      </c>
      <c r="G59" s="1943" t="s">
        <v>1674</v>
      </c>
      <c r="H59" s="1951" t="str">
        <f>IF(G59="商业",项目基本情况!B43,IF(G59="办公",项目基本情况!C43,IF(G59="住宅",项目基本情况!D43,项目基本情况!E43)))</f>
        <v>七级</v>
      </c>
      <c r="I59" s="1950">
        <f>SUMIF(修正!$A$45:$A$56,H59,修正!G45:G56)</f>
        <v>0.25</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566</v>
      </c>
      <c r="B60" s="637" t="e">
        <f t="shared" si="17"/>
        <v>#DIV/0!</v>
      </c>
      <c r="C60" s="377">
        <f t="shared" si="16"/>
        <v>0</v>
      </c>
      <c r="D60" s="2226">
        <v>0.25</v>
      </c>
      <c r="E60" s="640">
        <f>'数据-汇总表'!E13</f>
        <v>0</v>
      </c>
      <c r="F60" s="1947" t="e">
        <f t="shared" si="15"/>
        <v>#DIV/0!</v>
      </c>
      <c r="G60" s="1943" t="s">
        <v>919</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567</v>
      </c>
      <c r="B61" s="637" t="e">
        <f t="shared" si="17"/>
        <v>#DIV/0!</v>
      </c>
      <c r="C61" s="377">
        <f t="shared" si="16"/>
        <v>0</v>
      </c>
      <c r="D61" s="2226">
        <v>0.25</v>
      </c>
      <c r="E61" s="640">
        <f>'数据-汇总表'!E14</f>
        <v>0</v>
      </c>
      <c r="F61" s="1947" t="e">
        <f t="shared" si="15"/>
        <v>#DIV/0!</v>
      </c>
      <c r="G61" s="1953" t="s">
        <v>2284</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thickBot="1">
      <c r="A62" s="636" t="s">
        <v>568</v>
      </c>
      <c r="B62" s="637" t="e">
        <f t="shared" si="17"/>
        <v>#DIV/0!</v>
      </c>
      <c r="C62" s="377">
        <f t="shared" si="16"/>
        <v>0.2</v>
      </c>
      <c r="D62" s="2226">
        <v>0.25</v>
      </c>
      <c r="E62" s="640">
        <f>'数据-汇总表'!E15</f>
        <v>0</v>
      </c>
      <c r="F62" s="1947" t="e">
        <f t="shared" si="15"/>
        <v>#DIV/0!</v>
      </c>
      <c r="G62" s="1954" t="s">
        <v>2285</v>
      </c>
      <c r="H62" s="1955" t="str">
        <f>项目基本情况!C43</f>
        <v>七级</v>
      </c>
      <c r="I62" s="1950">
        <f>SUMIF(修正!$A$45:$A$56,H62,修正!H45:H56)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thickBot="1">
      <c r="A63" s="641" t="s">
        <v>569</v>
      </c>
      <c r="B63" s="642" t="s">
        <v>17</v>
      </c>
      <c r="C63" s="642" t="s">
        <v>18</v>
      </c>
      <c r="D63" s="642" t="s">
        <v>2293</v>
      </c>
      <c r="E63" s="642">
        <f>IF(B43="楼面地价",SUM(E53:E62),'数据-汇总表'!D3)</f>
        <v>2990</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2018-8-1</v>
      </c>
      <c r="D65" s="2820">
        <f>EDATE(C65,-3)</f>
        <v>43221</v>
      </c>
      <c r="E65" s="2820">
        <f t="shared" ref="E65:N65" si="18">EDATE(D65,-3)</f>
        <v>43132</v>
      </c>
      <c r="F65" s="2820">
        <f t="shared" si="18"/>
        <v>43040</v>
      </c>
      <c r="G65" s="2820">
        <f t="shared" si="18"/>
        <v>42948</v>
      </c>
      <c r="H65" s="2820">
        <f t="shared" si="18"/>
        <v>42856</v>
      </c>
      <c r="I65" s="2820">
        <f t="shared" si="18"/>
        <v>42767</v>
      </c>
      <c r="J65" s="2820">
        <f t="shared" si="18"/>
        <v>42675</v>
      </c>
      <c r="K65" s="2820">
        <f t="shared" si="18"/>
        <v>42583</v>
      </c>
      <c r="L65" s="2820">
        <f t="shared" si="18"/>
        <v>42491</v>
      </c>
      <c r="M65" s="2820">
        <f t="shared" si="18"/>
        <v>42401</v>
      </c>
      <c r="N65" s="2820">
        <f t="shared" si="18"/>
        <v>42309</v>
      </c>
      <c r="O65" s="2142"/>
      <c r="P65" s="2142"/>
      <c r="Q65" s="2142"/>
      <c r="R65" s="2142"/>
      <c r="S65" s="2142"/>
      <c r="T65" s="2142"/>
      <c r="U65" s="2142"/>
      <c r="V65" s="2142"/>
      <c r="W65" s="2142"/>
      <c r="X65" s="2142"/>
      <c r="Y65" s="2142"/>
      <c r="Z65" s="2142"/>
      <c r="AA65" s="2142"/>
      <c r="AB65" s="2142"/>
      <c r="AC65" s="2142"/>
    </row>
    <row r="66" spans="1:29" ht="22.2"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6" customFormat="1" ht="14.4">
      <c r="A67" s="2589" t="s">
        <v>2533</v>
      </c>
      <c r="B67" s="645"/>
      <c r="C67" s="2815" t="str">
        <f>YEAR(C65)&amp;"-"&amp;ROUNDUP(MONTH(C65)/3,0)</f>
        <v>2018-3</v>
      </c>
      <c r="D67" s="2822" t="str">
        <f t="shared" ref="D67:N67" si="19">YEAR(D65)&amp;"-"&amp;ROUNDUP(MONTH(D65)/3,0)</f>
        <v>2018-2</v>
      </c>
      <c r="E67" s="2822" t="str">
        <f t="shared" si="19"/>
        <v>2018-1</v>
      </c>
      <c r="F67" s="2822" t="str">
        <f t="shared" si="19"/>
        <v>2017-4</v>
      </c>
      <c r="G67" s="2822" t="str">
        <f t="shared" si="19"/>
        <v>2017-3</v>
      </c>
      <c r="H67" s="2822" t="str">
        <f t="shared" si="19"/>
        <v>2017-2</v>
      </c>
      <c r="I67" s="2822" t="str">
        <f t="shared" si="19"/>
        <v>2017-1</v>
      </c>
      <c r="J67" s="2822" t="str">
        <f t="shared" si="19"/>
        <v>2016-4</v>
      </c>
      <c r="K67" s="2822" t="str">
        <f t="shared" si="19"/>
        <v>2016-3</v>
      </c>
      <c r="L67" s="2822" t="str">
        <f t="shared" si="19"/>
        <v>2016-2</v>
      </c>
      <c r="M67" s="2822" t="str">
        <f t="shared" si="19"/>
        <v>2016-1</v>
      </c>
      <c r="N67" s="2822" t="str">
        <f t="shared" si="19"/>
        <v>2015-4</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2649</v>
      </c>
      <c r="B68" s="478" t="str">
        <f>"北京市平均增长率"&amp;TEXT(基准地价!P24,"0.00%")</f>
        <v>北京市平均增长率0.00%</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4.4">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9.4"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9.4"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5" t="str">
        <f t="shared" si="25"/>
        <v>(含)-</v>
      </c>
      <c r="L109" s="3106" t="str">
        <f t="shared" si="25"/>
        <v>(含)-</v>
      </c>
      <c r="M109" s="310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4"/>
      <c r="D114" s="1374"/>
      <c r="E114" s="1374"/>
      <c r="F114" s="1374"/>
      <c r="G114" s="1374"/>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5" customFormat="1" ht="19.5" customHeight="1">
      <c r="A18" s="3441" t="s">
        <v>1004</v>
      </c>
      <c r="B18" s="1153" t="s">
        <v>1443</v>
      </c>
      <c r="C18" s="1130" t="s">
        <v>1444</v>
      </c>
      <c r="D18" s="1131"/>
      <c r="E18" s="1153">
        <v>1</v>
      </c>
      <c r="F18" s="1132" t="s">
        <v>1445</v>
      </c>
      <c r="G18" s="1133"/>
      <c r="H18" s="1104"/>
      <c r="I18" s="1104"/>
    </row>
    <row r="19" spans="1:9" s="1595" customFormat="1" ht="19.5" customHeight="1">
      <c r="A19" s="3441"/>
      <c r="B19" s="3441" t="s">
        <v>1446</v>
      </c>
      <c r="C19" s="1130" t="s">
        <v>1447</v>
      </c>
      <c r="D19" s="1131"/>
      <c r="E19" s="1153">
        <v>0.9</v>
      </c>
      <c r="F19" s="1132" t="s">
        <v>1448</v>
      </c>
      <c r="G19" s="1133"/>
      <c r="H19" s="1104"/>
      <c r="I19" s="1104"/>
    </row>
    <row r="20" spans="1:9" s="1595" customFormat="1" ht="19.5" customHeight="1">
      <c r="A20" s="3441"/>
      <c r="B20" s="3441"/>
      <c r="C20" s="1130" t="s">
        <v>1449</v>
      </c>
      <c r="D20" s="1131"/>
      <c r="E20" s="1153">
        <v>1.1000000000000001</v>
      </c>
      <c r="F20" s="1132" t="s">
        <v>1450</v>
      </c>
      <c r="G20" s="1133"/>
      <c r="H20" s="1104"/>
      <c r="I20" s="1104"/>
    </row>
    <row r="21" spans="1:9" s="1595" customFormat="1" ht="19.5" customHeight="1">
      <c r="A21" s="3441"/>
      <c r="B21" s="3441"/>
      <c r="C21" s="1130" t="s">
        <v>1451</v>
      </c>
      <c r="D21" s="1131"/>
      <c r="E21" s="1153">
        <v>0.8</v>
      </c>
      <c r="F21" s="1132" t="s">
        <v>1452</v>
      </c>
      <c r="G21" s="1133"/>
      <c r="H21" s="1104"/>
      <c r="I21" s="1104"/>
    </row>
    <row r="22" spans="1:9" s="1595" customFormat="1" ht="19.5" customHeight="1">
      <c r="A22" s="3441"/>
      <c r="B22" s="3441"/>
      <c r="C22" s="1130" t="s">
        <v>1453</v>
      </c>
      <c r="D22" s="1131"/>
      <c r="E22" s="1153">
        <v>0.5</v>
      </c>
      <c r="F22" s="1132"/>
      <c r="G22" s="1133"/>
      <c r="H22" s="1104"/>
      <c r="I22" s="1104"/>
    </row>
    <row r="23" spans="1:9" s="1595" customFormat="1" ht="19.5" customHeight="1">
      <c r="A23" s="3441" t="s">
        <v>1026</v>
      </c>
      <c r="B23" s="1153" t="s">
        <v>1443</v>
      </c>
      <c r="C23" s="1130" t="s">
        <v>1454</v>
      </c>
      <c r="D23" s="1131"/>
      <c r="E23" s="1153">
        <v>1</v>
      </c>
      <c r="F23" s="1132" t="s">
        <v>1455</v>
      </c>
      <c r="G23" s="1133"/>
      <c r="H23" s="1104"/>
      <c r="I23" s="1104"/>
    </row>
    <row r="24" spans="1:9" s="1595" customFormat="1" ht="19.5" customHeight="1">
      <c r="A24" s="3441"/>
      <c r="B24" s="3441" t="s">
        <v>1446</v>
      </c>
      <c r="C24" s="1130" t="s">
        <v>1456</v>
      </c>
      <c r="D24" s="1131"/>
      <c r="E24" s="1153">
        <v>0.5</v>
      </c>
      <c r="F24" s="1132"/>
      <c r="G24" s="1133"/>
      <c r="H24" s="1104"/>
      <c r="I24" s="1104"/>
    </row>
    <row r="25" spans="1:9" s="1595" customFormat="1" ht="19.5" customHeight="1">
      <c r="A25" s="3441"/>
      <c r="B25" s="3441"/>
      <c r="C25" s="1130" t="s">
        <v>1457</v>
      </c>
      <c r="D25" s="1131"/>
      <c r="E25" s="1153">
        <v>1.1000000000000001</v>
      </c>
      <c r="F25" s="1132"/>
      <c r="G25" s="1133"/>
      <c r="H25" s="1104"/>
      <c r="I25" s="1104"/>
    </row>
    <row r="26" spans="1:9" s="1595" customFormat="1" ht="19.5" customHeight="1">
      <c r="A26" s="3441"/>
      <c r="B26" s="3441"/>
      <c r="C26" s="1130" t="s">
        <v>1458</v>
      </c>
      <c r="D26" s="1131"/>
      <c r="E26" s="1153">
        <v>1.1000000000000001</v>
      </c>
      <c r="F26" s="1132"/>
      <c r="G26" s="1133"/>
      <c r="H26" s="1104"/>
      <c r="I26" s="1104"/>
    </row>
    <row r="27" spans="1:9" s="1595" customFormat="1" ht="19.5" customHeight="1">
      <c r="A27" s="3441"/>
      <c r="B27" s="3441"/>
      <c r="C27" s="1130" t="s">
        <v>1459</v>
      </c>
      <c r="D27" s="1131"/>
      <c r="E27" s="1153">
        <v>0.9</v>
      </c>
      <c r="F27" s="1132" t="s">
        <v>1460</v>
      </c>
      <c r="G27" s="1133"/>
      <c r="H27" s="1104"/>
      <c r="I27" s="1104"/>
    </row>
    <row r="28" spans="1:9" s="1595" customFormat="1" ht="19.5" customHeight="1">
      <c r="A28" s="3441"/>
      <c r="B28" s="3441"/>
      <c r="C28" s="1130" t="s">
        <v>1461</v>
      </c>
      <c r="D28" s="1131"/>
      <c r="E28" s="1153">
        <v>0.9</v>
      </c>
      <c r="F28" s="1132" t="s">
        <v>1462</v>
      </c>
      <c r="G28" s="1133"/>
      <c r="H28" s="1104"/>
      <c r="I28" s="1104"/>
    </row>
    <row r="29" spans="1:9" s="1595" customFormat="1" ht="19.5" customHeight="1">
      <c r="A29" s="3441"/>
      <c r="B29" s="3441"/>
      <c r="C29" s="1130" t="s">
        <v>1463</v>
      </c>
      <c r="D29" s="1131"/>
      <c r="E29" s="1153">
        <v>0.9</v>
      </c>
      <c r="F29" s="1132" t="s">
        <v>1464</v>
      </c>
      <c r="G29" s="1133"/>
      <c r="H29" s="1104"/>
      <c r="I29" s="1104"/>
    </row>
    <row r="30" spans="1:9" s="1595" customFormat="1" ht="19.5" customHeight="1">
      <c r="A30" s="3441"/>
      <c r="B30" s="3441"/>
      <c r="C30" s="1130" t="s">
        <v>1465</v>
      </c>
      <c r="D30" s="1131"/>
      <c r="E30" s="1153">
        <v>0.9</v>
      </c>
      <c r="F30" s="1132" t="s">
        <v>1466</v>
      </c>
      <c r="G30" s="1133"/>
      <c r="H30" s="1104"/>
      <c r="I30" s="1104"/>
    </row>
    <row r="31" spans="1:9" s="1595" customFormat="1" ht="19.5" customHeight="1">
      <c r="A31" s="3441"/>
      <c r="B31" s="3441"/>
      <c r="C31" s="1130" t="s">
        <v>1467</v>
      </c>
      <c r="D31" s="1131"/>
      <c r="E31" s="1153">
        <v>0.8</v>
      </c>
      <c r="F31" s="1132" t="s">
        <v>1468</v>
      </c>
      <c r="G31" s="1133"/>
      <c r="H31" s="1104"/>
      <c r="I31" s="1104"/>
    </row>
    <row r="32" spans="1:9" s="1595" customFormat="1" ht="19.5" customHeight="1">
      <c r="A32" s="3441"/>
      <c r="B32" s="3441"/>
      <c r="C32" s="1130" t="s">
        <v>1469</v>
      </c>
      <c r="D32" s="1131"/>
      <c r="E32" s="1153">
        <v>0.8</v>
      </c>
      <c r="F32" s="1132" t="s">
        <v>1470</v>
      </c>
      <c r="G32" s="1133"/>
      <c r="H32" s="1104"/>
      <c r="I32" s="1104"/>
    </row>
    <row r="33" spans="1:9" s="1595" customFormat="1" ht="19.5" customHeight="1">
      <c r="A33" s="3441" t="s">
        <v>1471</v>
      </c>
      <c r="B33" s="1153" t="s">
        <v>1443</v>
      </c>
      <c r="C33" s="1130" t="s">
        <v>1472</v>
      </c>
      <c r="D33" s="1131"/>
      <c r="E33" s="1153">
        <v>1</v>
      </c>
      <c r="F33" s="1132" t="s">
        <v>1473</v>
      </c>
      <c r="G33" s="1133"/>
      <c r="H33" s="1104"/>
      <c r="I33" s="1104"/>
    </row>
    <row r="34" spans="1:9" s="1595" customFormat="1" ht="19.5" customHeight="1">
      <c r="A34" s="3441"/>
      <c r="B34" s="1153" t="s">
        <v>1446</v>
      </c>
      <c r="C34" s="1130" t="s">
        <v>1474</v>
      </c>
      <c r="D34" s="1131"/>
      <c r="E34" s="1153">
        <v>1.5</v>
      </c>
      <c r="F34" s="1132" t="s">
        <v>1475</v>
      </c>
      <c r="G34" s="1133"/>
      <c r="H34" s="1104"/>
      <c r="I34" s="1104"/>
    </row>
    <row r="35" spans="1:9" s="1595" customFormat="1" ht="19.5" customHeight="1">
      <c r="A35" s="3441" t="s">
        <v>1429</v>
      </c>
      <c r="B35" s="1153" t="s">
        <v>1443</v>
      </c>
      <c r="C35" s="1130" t="s">
        <v>1476</v>
      </c>
      <c r="D35" s="1131"/>
      <c r="E35" s="1153">
        <v>1</v>
      </c>
      <c r="F35" s="1132" t="s">
        <v>1477</v>
      </c>
      <c r="G35" s="1133"/>
      <c r="H35" s="1104"/>
      <c r="I35" s="1104"/>
    </row>
    <row r="36" spans="1:9" s="1595" customFormat="1" ht="19.5" customHeight="1">
      <c r="A36" s="3441"/>
      <c r="B36" s="3441" t="s">
        <v>1446</v>
      </c>
      <c r="C36" s="1130" t="s">
        <v>1478</v>
      </c>
      <c r="D36" s="1131"/>
      <c r="E36" s="1153">
        <v>1</v>
      </c>
      <c r="F36" s="1132" t="s">
        <v>1479</v>
      </c>
      <c r="G36" s="1133"/>
      <c r="H36" s="1104"/>
      <c r="I36" s="1104"/>
    </row>
    <row r="37" spans="1:9" s="1595" customFormat="1" ht="19.5" customHeight="1">
      <c r="A37" s="3441"/>
      <c r="B37" s="3441"/>
      <c r="C37" s="1130" t="s">
        <v>1480</v>
      </c>
      <c r="D37" s="1131"/>
      <c r="E37" s="1153">
        <v>1.5</v>
      </c>
      <c r="F37" s="1132" t="s">
        <v>1481</v>
      </c>
      <c r="G37" s="1133"/>
      <c r="H37" s="1104"/>
      <c r="I37" s="1104"/>
    </row>
    <row r="38" spans="1:9" s="1595" customFormat="1" ht="19.5" customHeight="1">
      <c r="A38" s="3441"/>
      <c r="B38" s="3441"/>
      <c r="C38" s="1130" t="s">
        <v>1482</v>
      </c>
      <c r="D38" s="1131"/>
      <c r="E38" s="1153">
        <v>1</v>
      </c>
      <c r="F38" s="1132" t="s">
        <v>1483</v>
      </c>
      <c r="G38" s="1133"/>
      <c r="H38" s="1104"/>
      <c r="I38" s="1104"/>
    </row>
    <row r="39" spans="1:9" s="1595" customFormat="1" ht="19.5" customHeight="1">
      <c r="A39" s="3441"/>
      <c r="B39" s="3441"/>
      <c r="C39" s="1130" t="s">
        <v>1484</v>
      </c>
      <c r="D39" s="1131"/>
      <c r="E39" s="1153">
        <v>1</v>
      </c>
      <c r="F39" s="1132" t="s">
        <v>1485</v>
      </c>
      <c r="G39" s="1133"/>
      <c r="H39" s="1104"/>
      <c r="I39" s="1104"/>
    </row>
    <row r="40" spans="1:9" s="1595" customFormat="1" ht="19.5" customHeight="1">
      <c r="A40" s="1596" t="s">
        <v>1486</v>
      </c>
      <c r="B40" s="1596"/>
      <c r="C40" s="1596"/>
      <c r="D40" s="1596"/>
      <c r="E40" s="1596"/>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36">
      <c r="A61" s="1153">
        <v>1</v>
      </c>
      <c r="B61" s="3441" t="s">
        <v>1498</v>
      </c>
      <c r="C61" s="1067" t="s">
        <v>1499</v>
      </c>
      <c r="D61" s="1067" t="s">
        <v>1500</v>
      </c>
      <c r="E61" s="1138">
        <v>0.5</v>
      </c>
      <c r="F61" s="1153">
        <v>80</v>
      </c>
      <c r="H61" s="1104">
        <f>SUMIF(C59:C119,基准地价!C8,E59:E119)</f>
        <v>0</v>
      </c>
    </row>
    <row r="62" spans="1:8" s="1104" customFormat="1" ht="36">
      <c r="A62" s="1153">
        <v>2</v>
      </c>
      <c r="B62" s="3441"/>
      <c r="C62" s="1067" t="s">
        <v>1501</v>
      </c>
      <c r="D62" s="1067" t="s">
        <v>1502</v>
      </c>
      <c r="E62" s="1138">
        <v>0.5</v>
      </c>
      <c r="F62" s="1153">
        <v>80</v>
      </c>
    </row>
    <row r="63" spans="1:8" s="1104" customFormat="1" ht="48">
      <c r="A63" s="1153">
        <v>3</v>
      </c>
      <c r="B63" s="3441"/>
      <c r="C63" s="1067" t="s">
        <v>1503</v>
      </c>
      <c r="D63" s="1067" t="s">
        <v>1504</v>
      </c>
      <c r="E63" s="1138">
        <v>0.5</v>
      </c>
      <c r="F63" s="1153">
        <v>80</v>
      </c>
    </row>
    <row r="64" spans="1:8" s="1104" customFormat="1" ht="48">
      <c r="A64" s="1153">
        <v>4</v>
      </c>
      <c r="B64" s="3441"/>
      <c r="C64" s="1067" t="s">
        <v>1505</v>
      </c>
      <c r="D64" s="1067" t="s">
        <v>1506</v>
      </c>
      <c r="E64" s="1138">
        <v>0.4</v>
      </c>
      <c r="F64" s="1153">
        <v>60</v>
      </c>
    </row>
    <row r="65" spans="1:6" s="1104" customFormat="1" ht="48">
      <c r="A65" s="1153">
        <v>5</v>
      </c>
      <c r="B65" s="3441"/>
      <c r="C65" s="1067" t="s">
        <v>1507</v>
      </c>
      <c r="D65" s="1067" t="s">
        <v>1508</v>
      </c>
      <c r="E65" s="1138">
        <v>0.2</v>
      </c>
      <c r="F65" s="1153">
        <v>30</v>
      </c>
    </row>
    <row r="66" spans="1:6" s="1104" customFormat="1" ht="48">
      <c r="A66" s="1153">
        <v>6</v>
      </c>
      <c r="B66" s="3441"/>
      <c r="C66" s="1067" t="s">
        <v>1509</v>
      </c>
      <c r="D66" s="1067" t="s">
        <v>1510</v>
      </c>
      <c r="E66" s="1138">
        <v>0.3</v>
      </c>
      <c r="F66" s="1153">
        <v>50</v>
      </c>
    </row>
    <row r="67" spans="1:6" s="1104" customFormat="1" ht="48">
      <c r="A67" s="1153">
        <v>7</v>
      </c>
      <c r="B67" s="3441"/>
      <c r="C67" s="1067" t="s">
        <v>1511</v>
      </c>
      <c r="D67" s="1067" t="s">
        <v>1512</v>
      </c>
      <c r="E67" s="1138">
        <v>0.2</v>
      </c>
      <c r="F67" s="1153">
        <v>30</v>
      </c>
    </row>
    <row r="68" spans="1:6" s="1104" customFormat="1" ht="48">
      <c r="A68" s="1153">
        <v>8</v>
      </c>
      <c r="B68" s="3441"/>
      <c r="C68" s="1067" t="s">
        <v>1513</v>
      </c>
      <c r="D68" s="1067" t="s">
        <v>1514</v>
      </c>
      <c r="E68" s="1138">
        <v>0.2</v>
      </c>
      <c r="F68" s="1153">
        <v>30</v>
      </c>
    </row>
    <row r="69" spans="1:6" s="1104" customFormat="1" ht="48">
      <c r="A69" s="1153">
        <v>9</v>
      </c>
      <c r="B69" s="3441"/>
      <c r="C69" s="1067" t="s">
        <v>1515</v>
      </c>
      <c r="D69" s="1067" t="s">
        <v>1516</v>
      </c>
      <c r="E69" s="1138">
        <v>0.2</v>
      </c>
      <c r="F69" s="1153">
        <v>30</v>
      </c>
    </row>
    <row r="70" spans="1:6" s="1104" customFormat="1" ht="60">
      <c r="A70" s="1153">
        <v>10</v>
      </c>
      <c r="B70" s="3441"/>
      <c r="C70" s="1067" t="s">
        <v>1517</v>
      </c>
      <c r="D70" s="1067" t="s">
        <v>1518</v>
      </c>
      <c r="E70" s="1138">
        <v>0.2</v>
      </c>
      <c r="F70" s="1153">
        <v>30</v>
      </c>
    </row>
    <row r="71" spans="1:6" s="1104" customFormat="1" ht="60">
      <c r="A71" s="1153">
        <v>11</v>
      </c>
      <c r="B71" s="3441"/>
      <c r="C71" s="1067" t="s">
        <v>1519</v>
      </c>
      <c r="D71" s="1067" t="s">
        <v>1520</v>
      </c>
      <c r="E71" s="1138">
        <v>0.2</v>
      </c>
      <c r="F71" s="1153">
        <v>30</v>
      </c>
    </row>
    <row r="72" spans="1:6" s="1104" customFormat="1" ht="36">
      <c r="A72" s="1153">
        <v>12</v>
      </c>
      <c r="B72" s="3441"/>
      <c r="C72" s="1067" t="s">
        <v>1521</v>
      </c>
      <c r="D72" s="1067" t="s">
        <v>1522</v>
      </c>
      <c r="E72" s="1138">
        <v>0.5</v>
      </c>
      <c r="F72" s="1153">
        <v>80</v>
      </c>
    </row>
    <row r="73" spans="1:6" s="1104" customFormat="1" ht="36">
      <c r="A73" s="1153">
        <v>13</v>
      </c>
      <c r="B73" s="3441"/>
      <c r="C73" s="1067" t="s">
        <v>1523</v>
      </c>
      <c r="D73" s="1067" t="s">
        <v>1524</v>
      </c>
      <c r="E73" s="1138">
        <v>0.4</v>
      </c>
      <c r="F73" s="1153">
        <v>60</v>
      </c>
    </row>
    <row r="74" spans="1:6" s="1104" customFormat="1" ht="36">
      <c r="A74" s="1153">
        <v>14</v>
      </c>
      <c r="B74" s="3441"/>
      <c r="C74" s="1067" t="s">
        <v>1525</v>
      </c>
      <c r="D74" s="1067" t="s">
        <v>1526</v>
      </c>
      <c r="E74" s="1138">
        <v>0.2</v>
      </c>
      <c r="F74" s="1153">
        <v>30</v>
      </c>
    </row>
    <row r="75" spans="1:6" s="1104" customFormat="1" ht="36">
      <c r="A75" s="1153">
        <v>15</v>
      </c>
      <c r="B75" s="3441"/>
      <c r="C75" s="1067" t="s">
        <v>1527</v>
      </c>
      <c r="D75" s="1067" t="s">
        <v>1528</v>
      </c>
      <c r="E75" s="1138">
        <v>0.2</v>
      </c>
      <c r="F75" s="1153">
        <v>30</v>
      </c>
    </row>
    <row r="76" spans="1:6" s="1104" customFormat="1" ht="36">
      <c r="A76" s="1153">
        <v>16</v>
      </c>
      <c r="B76" s="3441" t="s">
        <v>1529</v>
      </c>
      <c r="C76" s="1067" t="s">
        <v>1530</v>
      </c>
      <c r="D76" s="1067" t="s">
        <v>1531</v>
      </c>
      <c r="E76" s="1138">
        <v>0.5</v>
      </c>
      <c r="F76" s="1153">
        <v>80</v>
      </c>
    </row>
    <row r="77" spans="1:6" s="1104" customFormat="1" ht="36">
      <c r="A77" s="1153">
        <v>17</v>
      </c>
      <c r="B77" s="3441"/>
      <c r="C77" s="1067" t="s">
        <v>1532</v>
      </c>
      <c r="D77" s="1067" t="s">
        <v>1533</v>
      </c>
      <c r="E77" s="1138">
        <v>0.5</v>
      </c>
      <c r="F77" s="1153">
        <v>80</v>
      </c>
    </row>
    <row r="78" spans="1:6" s="1104" customFormat="1" ht="36">
      <c r="A78" s="1153">
        <v>18</v>
      </c>
      <c r="B78" s="3441"/>
      <c r="C78" s="1067" t="s">
        <v>1534</v>
      </c>
      <c r="D78" s="1067" t="s">
        <v>1535</v>
      </c>
      <c r="E78" s="1138">
        <v>0.2</v>
      </c>
      <c r="F78" s="1153">
        <v>30</v>
      </c>
    </row>
    <row r="79" spans="1:6" s="1104" customFormat="1" ht="36">
      <c r="A79" s="1153">
        <v>19</v>
      </c>
      <c r="B79" s="3441"/>
      <c r="C79" s="1067" t="s">
        <v>1536</v>
      </c>
      <c r="D79" s="1067" t="s">
        <v>1537</v>
      </c>
      <c r="E79" s="1138">
        <v>0.5</v>
      </c>
      <c r="F79" s="1153">
        <v>80</v>
      </c>
    </row>
    <row r="80" spans="1:6" s="1104" customFormat="1" ht="36">
      <c r="A80" s="1153">
        <v>20</v>
      </c>
      <c r="B80" s="3441"/>
      <c r="C80" s="1067" t="s">
        <v>1538</v>
      </c>
      <c r="D80" s="1067" t="s">
        <v>1539</v>
      </c>
      <c r="E80" s="1138">
        <v>0.2</v>
      </c>
      <c r="F80" s="1153">
        <v>30</v>
      </c>
    </row>
    <row r="81" spans="1:6" s="1104" customFormat="1" ht="36">
      <c r="A81" s="1153">
        <v>21</v>
      </c>
      <c r="B81" s="3441"/>
      <c r="C81" s="1067" t="s">
        <v>1540</v>
      </c>
      <c r="D81" s="1067" t="s">
        <v>1541</v>
      </c>
      <c r="E81" s="1138">
        <v>0.2</v>
      </c>
      <c r="F81" s="1153">
        <v>30</v>
      </c>
    </row>
    <row r="82" spans="1:6" s="1104" customFormat="1" ht="60">
      <c r="A82" s="1153">
        <v>22</v>
      </c>
      <c r="B82" s="3441"/>
      <c r="C82" s="1067" t="s">
        <v>1542</v>
      </c>
      <c r="D82" s="1067" t="s">
        <v>1543</v>
      </c>
      <c r="E82" s="1138">
        <v>0.2</v>
      </c>
      <c r="F82" s="1153">
        <v>30</v>
      </c>
    </row>
    <row r="83" spans="1:6" s="1104" customFormat="1" ht="60">
      <c r="A83" s="1153">
        <v>23</v>
      </c>
      <c r="B83" s="3441"/>
      <c r="C83" s="1067" t="s">
        <v>1544</v>
      </c>
      <c r="D83" s="1067" t="s">
        <v>1545</v>
      </c>
      <c r="E83" s="1138">
        <v>0.2</v>
      </c>
      <c r="F83" s="1153">
        <v>30</v>
      </c>
    </row>
    <row r="84" spans="1:6" s="1104" customFormat="1" ht="48">
      <c r="A84" s="1153">
        <v>24</v>
      </c>
      <c r="B84" s="3441"/>
      <c r="C84" s="1067" t="s">
        <v>1546</v>
      </c>
      <c r="D84" s="1067" t="s">
        <v>1547</v>
      </c>
      <c r="E84" s="1138">
        <v>0.2</v>
      </c>
      <c r="F84" s="1153">
        <v>30</v>
      </c>
    </row>
    <row r="85" spans="1:6" s="1104" customFormat="1" ht="36">
      <c r="A85" s="1153">
        <v>25</v>
      </c>
      <c r="B85" s="3441"/>
      <c r="C85" s="1067" t="s">
        <v>1548</v>
      </c>
      <c r="D85" s="1067" t="s">
        <v>1549</v>
      </c>
      <c r="E85" s="1138">
        <v>0.5</v>
      </c>
      <c r="F85" s="1153">
        <v>80</v>
      </c>
    </row>
    <row r="86" spans="1:6" s="1104" customFormat="1" ht="36">
      <c r="A86" s="1153">
        <v>26</v>
      </c>
      <c r="B86" s="3441"/>
      <c r="C86" s="1067" t="s">
        <v>1550</v>
      </c>
      <c r="D86" s="1067" t="s">
        <v>1551</v>
      </c>
      <c r="E86" s="1138">
        <v>0.2</v>
      </c>
      <c r="F86" s="1153">
        <v>30</v>
      </c>
    </row>
    <row r="87" spans="1:6" s="1104" customFormat="1" ht="36">
      <c r="A87" s="1153">
        <v>27</v>
      </c>
      <c r="B87" s="3441"/>
      <c r="C87" s="1067" t="s">
        <v>1552</v>
      </c>
      <c r="D87" s="1067" t="s">
        <v>1553</v>
      </c>
      <c r="E87" s="1138">
        <v>0.2</v>
      </c>
      <c r="F87" s="1153">
        <v>30</v>
      </c>
    </row>
    <row r="88" spans="1:6" s="1104" customFormat="1" ht="36">
      <c r="A88" s="1153">
        <v>28</v>
      </c>
      <c r="B88" s="3441"/>
      <c r="C88" s="1067" t="s">
        <v>1554</v>
      </c>
      <c r="D88" s="1067" t="s">
        <v>1555</v>
      </c>
      <c r="E88" s="1138">
        <v>0.2</v>
      </c>
      <c r="F88" s="1153">
        <v>30</v>
      </c>
    </row>
    <row r="89" spans="1:6" s="1104" customFormat="1" ht="36">
      <c r="A89" s="1153">
        <v>29</v>
      </c>
      <c r="B89" s="3441"/>
      <c r="C89" s="1067" t="s">
        <v>1556</v>
      </c>
      <c r="D89" s="1067" t="s">
        <v>1557</v>
      </c>
      <c r="E89" s="1138">
        <v>0.2</v>
      </c>
      <c r="F89" s="1153">
        <v>30</v>
      </c>
    </row>
    <row r="90" spans="1:6" s="1104" customFormat="1" ht="36">
      <c r="A90" s="1153">
        <v>30</v>
      </c>
      <c r="B90" s="3441"/>
      <c r="C90" s="1067" t="s">
        <v>1558</v>
      </c>
      <c r="D90" s="1067" t="s">
        <v>1559</v>
      </c>
      <c r="E90" s="1138">
        <v>0.2</v>
      </c>
      <c r="F90" s="1153">
        <v>30</v>
      </c>
    </row>
    <row r="91" spans="1:6" s="1104" customFormat="1" ht="48">
      <c r="A91" s="1153">
        <v>31</v>
      </c>
      <c r="B91" s="3441"/>
      <c r="C91" s="1067" t="s">
        <v>1560</v>
      </c>
      <c r="D91" s="1067" t="s">
        <v>1561</v>
      </c>
      <c r="E91" s="1138">
        <v>0.2</v>
      </c>
      <c r="F91" s="1153">
        <v>30</v>
      </c>
    </row>
    <row r="92" spans="1:6" s="1104" customFormat="1" ht="36">
      <c r="A92" s="1153">
        <v>32</v>
      </c>
      <c r="B92" s="3441" t="s">
        <v>1562</v>
      </c>
      <c r="C92" s="1153" t="s">
        <v>1563</v>
      </c>
      <c r="D92" s="1067" t="s">
        <v>1564</v>
      </c>
      <c r="E92" s="1138">
        <v>0.2</v>
      </c>
      <c r="F92" s="1153">
        <v>30</v>
      </c>
    </row>
    <row r="93" spans="1:6" s="1104" customFormat="1" ht="36">
      <c r="A93" s="1153">
        <v>33</v>
      </c>
      <c r="B93" s="3441"/>
      <c r="C93" s="1153" t="s">
        <v>1565</v>
      </c>
      <c r="D93" s="1067" t="s">
        <v>1566</v>
      </c>
      <c r="E93" s="1138">
        <v>0.2</v>
      </c>
      <c r="F93" s="1153">
        <v>30</v>
      </c>
    </row>
    <row r="94" spans="1:6" s="1104" customFormat="1" ht="60">
      <c r="A94" s="1153">
        <v>34</v>
      </c>
      <c r="B94" s="3441"/>
      <c r="C94" s="1153" t="s">
        <v>1567</v>
      </c>
      <c r="D94" s="1067" t="s">
        <v>1568</v>
      </c>
      <c r="E94" s="1138">
        <v>0.2</v>
      </c>
      <c r="F94" s="1153">
        <v>30</v>
      </c>
    </row>
    <row r="95" spans="1:6" s="1104" customFormat="1" ht="48">
      <c r="A95" s="1153">
        <v>35</v>
      </c>
      <c r="B95" s="3441"/>
      <c r="C95" s="1153" t="s">
        <v>1569</v>
      </c>
      <c r="D95" s="1067" t="s">
        <v>1570</v>
      </c>
      <c r="E95" s="1138">
        <v>0.2</v>
      </c>
      <c r="F95" s="1153">
        <v>30</v>
      </c>
    </row>
    <row r="96" spans="1:6" s="1104" customFormat="1" ht="72">
      <c r="A96" s="1153">
        <v>36</v>
      </c>
      <c r="B96" s="3441"/>
      <c r="C96" s="1067" t="s">
        <v>1571</v>
      </c>
      <c r="D96" s="1067" t="s">
        <v>1572</v>
      </c>
      <c r="E96" s="1138">
        <v>0.2</v>
      </c>
      <c r="F96" s="1153">
        <v>30</v>
      </c>
    </row>
    <row r="97" spans="1:6" s="1104" customFormat="1" ht="36">
      <c r="A97" s="1153">
        <v>37</v>
      </c>
      <c r="B97" s="3441"/>
      <c r="C97" s="1153" t="s">
        <v>1573</v>
      </c>
      <c r="D97" s="1067" t="s">
        <v>1574</v>
      </c>
      <c r="E97" s="1138">
        <v>0.2</v>
      </c>
      <c r="F97" s="1153">
        <v>30</v>
      </c>
    </row>
    <row r="98" spans="1:6" s="1104" customFormat="1" ht="36">
      <c r="A98" s="1153">
        <v>38</v>
      </c>
      <c r="B98" s="3441"/>
      <c r="C98" s="1153" t="s">
        <v>1575</v>
      </c>
      <c r="D98" s="1067" t="s">
        <v>1576</v>
      </c>
      <c r="E98" s="1138">
        <v>0.2</v>
      </c>
      <c r="F98" s="1153">
        <v>30</v>
      </c>
    </row>
    <row r="99" spans="1:6" s="1104" customFormat="1" ht="36">
      <c r="A99" s="1153">
        <v>39</v>
      </c>
      <c r="B99" s="3441" t="s">
        <v>1577</v>
      </c>
      <c r="C99" s="1153" t="s">
        <v>1578</v>
      </c>
      <c r="D99" s="1067" t="s">
        <v>1579</v>
      </c>
      <c r="E99" s="1138">
        <v>0.3</v>
      </c>
      <c r="F99" s="1153">
        <v>50</v>
      </c>
    </row>
    <row r="100" spans="1:6" s="1104" customFormat="1" ht="36">
      <c r="A100" s="1153">
        <v>40</v>
      </c>
      <c r="B100" s="3441"/>
      <c r="C100" s="1153" t="s">
        <v>1580</v>
      </c>
      <c r="D100" s="1067" t="s">
        <v>1581</v>
      </c>
      <c r="E100" s="1138">
        <v>0.2</v>
      </c>
      <c r="F100" s="1153">
        <v>30</v>
      </c>
    </row>
    <row r="101" spans="1:6" s="1104" customFormat="1" ht="36">
      <c r="A101" s="1153">
        <v>41</v>
      </c>
      <c r="B101" s="3441"/>
      <c r="C101" s="1153" t="s">
        <v>1582</v>
      </c>
      <c r="D101" s="1067" t="s">
        <v>1579</v>
      </c>
      <c r="E101" s="1138">
        <v>0.2</v>
      </c>
      <c r="F101" s="1153">
        <v>30</v>
      </c>
    </row>
    <row r="102" spans="1:6" s="1104" customFormat="1" ht="72">
      <c r="A102" s="1153">
        <v>42</v>
      </c>
      <c r="B102" s="1153" t="s">
        <v>1583</v>
      </c>
      <c r="C102" s="1067" t="s">
        <v>1584</v>
      </c>
      <c r="D102" s="1067" t="s">
        <v>1585</v>
      </c>
      <c r="E102" s="1138">
        <v>0.2</v>
      </c>
      <c r="F102" s="1153">
        <v>30</v>
      </c>
    </row>
    <row r="103" spans="1:6" s="1104" customFormat="1" ht="36">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48">
      <c r="A105" s="1153">
        <v>45</v>
      </c>
      <c r="B105" s="3441" t="s">
        <v>1592</v>
      </c>
      <c r="C105" s="1153" t="s">
        <v>1593</v>
      </c>
      <c r="D105" s="1067" t="s">
        <v>1594</v>
      </c>
      <c r="E105" s="1138">
        <v>0.2</v>
      </c>
      <c r="F105" s="1153">
        <v>30</v>
      </c>
    </row>
    <row r="106" spans="1:6" s="1104" customFormat="1" ht="48">
      <c r="A106" s="1153">
        <v>46</v>
      </c>
      <c r="B106" s="3441"/>
      <c r="C106" s="1153" t="s">
        <v>1595</v>
      </c>
      <c r="D106" s="1067" t="s">
        <v>1596</v>
      </c>
      <c r="E106" s="1138">
        <v>0.2</v>
      </c>
      <c r="F106" s="1153">
        <v>30</v>
      </c>
    </row>
    <row r="107" spans="1:6" s="1104" customFormat="1" ht="36">
      <c r="A107" s="1153">
        <v>47</v>
      </c>
      <c r="B107" s="3441" t="s">
        <v>1597</v>
      </c>
      <c r="C107" s="1153" t="s">
        <v>1598</v>
      </c>
      <c r="D107" s="1067" t="s">
        <v>1599</v>
      </c>
      <c r="E107" s="1138">
        <v>0.3</v>
      </c>
      <c r="F107" s="1153">
        <v>50</v>
      </c>
    </row>
    <row r="108" spans="1:6" s="1104" customFormat="1" ht="48">
      <c r="A108" s="1153">
        <v>48</v>
      </c>
      <c r="B108" s="3441"/>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48">
      <c r="A110" s="1153">
        <v>50</v>
      </c>
      <c r="B110" s="1153" t="s">
        <v>1605</v>
      </c>
      <c r="C110" s="1153" t="s">
        <v>1606</v>
      </c>
      <c r="D110" s="1067" t="s">
        <v>1607</v>
      </c>
      <c r="E110" s="1138">
        <v>0.2</v>
      </c>
      <c r="F110" s="1153">
        <v>30</v>
      </c>
    </row>
    <row r="111" spans="1:6" s="1104" customFormat="1" ht="48">
      <c r="A111" s="1153">
        <v>51</v>
      </c>
      <c r="B111" s="3441" t="s">
        <v>1608</v>
      </c>
      <c r="C111" s="1153" t="s">
        <v>1609</v>
      </c>
      <c r="D111" s="1067" t="s">
        <v>1610</v>
      </c>
      <c r="E111" s="1138">
        <v>0.2</v>
      </c>
      <c r="F111" s="1153">
        <v>30</v>
      </c>
    </row>
    <row r="112" spans="1:6" s="1104" customFormat="1" ht="36">
      <c r="A112" s="1153">
        <v>52</v>
      </c>
      <c r="B112" s="3441"/>
      <c r="C112" s="1153" t="s">
        <v>1611</v>
      </c>
      <c r="D112" s="1067" t="s">
        <v>1612</v>
      </c>
      <c r="E112" s="1138">
        <v>0.2</v>
      </c>
      <c r="F112" s="1153">
        <v>30</v>
      </c>
    </row>
    <row r="113" spans="1:14" s="1104" customFormat="1" ht="36">
      <c r="A113" s="1153">
        <v>53</v>
      </c>
      <c r="B113" s="3441"/>
      <c r="C113" s="1153" t="s">
        <v>1613</v>
      </c>
      <c r="D113" s="1067" t="s">
        <v>1614</v>
      </c>
      <c r="E113" s="1138">
        <v>0.2</v>
      </c>
      <c r="F113" s="1153">
        <v>30</v>
      </c>
    </row>
    <row r="114" spans="1:14" ht="48">
      <c r="A114" s="1153">
        <v>54</v>
      </c>
      <c r="B114" s="1153" t="s">
        <v>1615</v>
      </c>
      <c r="C114" s="1153" t="s">
        <v>1616</v>
      </c>
      <c r="D114" s="1067" t="s">
        <v>1617</v>
      </c>
      <c r="E114" s="1138">
        <v>0.2</v>
      </c>
      <c r="F114" s="1153">
        <v>30</v>
      </c>
    </row>
    <row r="115" spans="1:14" ht="36">
      <c r="A115" s="1153">
        <v>55</v>
      </c>
      <c r="B115" s="1153" t="s">
        <v>1618</v>
      </c>
      <c r="C115" s="1153" t="s">
        <v>1619</v>
      </c>
      <c r="D115" s="1067" t="s">
        <v>1620</v>
      </c>
      <c r="E115" s="1138">
        <v>0.2</v>
      </c>
      <c r="F115" s="1153">
        <v>30</v>
      </c>
    </row>
    <row r="116" spans="1:14" ht="36">
      <c r="A116" s="1153">
        <v>56</v>
      </c>
      <c r="B116" s="3441" t="s">
        <v>1621</v>
      </c>
      <c r="C116" s="1153" t="s">
        <v>1622</v>
      </c>
      <c r="D116" s="1067" t="s">
        <v>1623</v>
      </c>
      <c r="E116" s="1138">
        <v>0.2</v>
      </c>
      <c r="F116" s="1153">
        <v>30</v>
      </c>
    </row>
    <row r="117" spans="1:14" ht="36">
      <c r="A117" s="1153">
        <v>57</v>
      </c>
      <c r="B117" s="3441"/>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4.4">
      <c r="A119" s="1153"/>
      <c r="B119" s="1153"/>
      <c r="C119" s="1153"/>
      <c r="D119" s="1153"/>
      <c r="E119" s="1138"/>
      <c r="F119" s="1153"/>
    </row>
    <row r="121" spans="1:14" ht="19.5" customHeight="1">
      <c r="A121" s="3442" t="s">
        <v>1630</v>
      </c>
      <c r="B121" s="3442"/>
      <c r="C121" s="3442"/>
      <c r="D121" s="3442"/>
      <c r="E121" s="3442"/>
      <c r="F121" s="3442"/>
      <c r="G121" s="3442"/>
      <c r="H121" s="3442"/>
      <c r="I121" s="3442"/>
      <c r="J121" s="344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43" t="s">
        <v>1036</v>
      </c>
      <c r="B1" s="3443"/>
      <c r="C1" s="3443"/>
      <c r="D1" s="3443"/>
      <c r="E1" s="3443"/>
      <c r="F1" s="3443"/>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5" thickBot="1">
      <c r="A2" s="3444" t="s">
        <v>1049</v>
      </c>
      <c r="B2" s="3444"/>
      <c r="C2" s="3444"/>
      <c r="D2" s="3444"/>
      <c r="E2" s="3444"/>
      <c r="F2" s="3444"/>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45"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46"/>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7470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900</v>
      </c>
      <c r="B103" s="1009"/>
      <c r="C103" s="1009"/>
      <c r="D103" s="1009"/>
      <c r="E103" s="1009"/>
      <c r="F103" s="1009"/>
      <c r="G103" s="1009"/>
      <c r="H103" s="1009"/>
      <c r="I103" s="1009"/>
      <c r="J103" s="1009"/>
      <c r="K103" s="1009"/>
      <c r="L103" s="1009"/>
      <c r="M103" s="1009"/>
      <c r="N103" s="1009"/>
    </row>
    <row r="104" spans="1:14" ht="15.6">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0.94299999999999995</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47" t="s">
        <v>2078</v>
      </c>
      <c r="B1" s="3447"/>
    </row>
    <row r="2" spans="1:6" ht="15" thickBot="1">
      <c r="A2" s="1848"/>
      <c r="B2" s="1848"/>
    </row>
    <row r="3" spans="1:6" ht="15" thickBot="1">
      <c r="A3" s="1848"/>
      <c r="B3" s="1848"/>
      <c r="C3" s="1849" t="s">
        <v>2079</v>
      </c>
      <c r="D3" s="1849" t="s">
        <v>2080</v>
      </c>
      <c r="E3" s="1849" t="s">
        <v>2081</v>
      </c>
      <c r="F3" s="1849" t="s">
        <v>2082</v>
      </c>
    </row>
    <row r="4" spans="1:6" ht="15" thickBot="1">
      <c r="A4" s="1850" t="s">
        <v>2083</v>
      </c>
      <c r="B4" s="1851" t="s">
        <v>2084</v>
      </c>
      <c r="C4" s="1849"/>
      <c r="D4" s="1849"/>
      <c r="E4" s="1849"/>
      <c r="F4" s="1849"/>
    </row>
    <row r="5" spans="1:6" ht="15" thickBot="1">
      <c r="A5" s="1852" t="s">
        <v>2085</v>
      </c>
      <c r="B5" s="1853" t="s">
        <v>2086</v>
      </c>
      <c r="C5" s="1854">
        <v>8.8999999999999996E-2</v>
      </c>
      <c r="D5" s="1854">
        <v>7.3999999999999996E-2</v>
      </c>
      <c r="E5" s="1854">
        <v>7.4999999999999997E-2</v>
      </c>
      <c r="F5" s="1855">
        <v>0.1</v>
      </c>
    </row>
    <row r="6" spans="1:6" ht="15" thickBot="1">
      <c r="A6" s="1852" t="s">
        <v>1093</v>
      </c>
      <c r="B6" s="1856" t="s">
        <v>2087</v>
      </c>
      <c r="C6" s="1857">
        <v>0.1</v>
      </c>
      <c r="D6" s="1857">
        <v>9.0999999999999998E-2</v>
      </c>
      <c r="E6" s="1857">
        <v>9.0999999999999998E-2</v>
      </c>
      <c r="F6" s="1858">
        <v>0.1</v>
      </c>
    </row>
    <row r="7" spans="1:6" ht="15" thickBot="1">
      <c r="A7" s="1852" t="s">
        <v>1093</v>
      </c>
      <c r="B7" s="1859" t="s">
        <v>1081</v>
      </c>
      <c r="C7" s="1857">
        <v>8.5999999999999993E-2</v>
      </c>
      <c r="D7" s="1857">
        <v>9.6000000000000002E-2</v>
      </c>
      <c r="E7" s="1857">
        <v>7.5999999999999998E-2</v>
      </c>
      <c r="F7" s="1858">
        <v>0.1</v>
      </c>
    </row>
    <row r="8" spans="1:6" ht="15" thickBot="1">
      <c r="A8" s="1852" t="s">
        <v>1093</v>
      </c>
      <c r="B8" s="1856" t="s">
        <v>1094</v>
      </c>
      <c r="C8" s="1857">
        <v>9.9000000000000005E-2</v>
      </c>
      <c r="D8" s="1857">
        <v>9.8000000000000004E-2</v>
      </c>
      <c r="E8" s="1857">
        <v>9.8000000000000004E-2</v>
      </c>
      <c r="F8" s="1858">
        <v>0.1</v>
      </c>
    </row>
    <row r="9" spans="1:6" ht="15" thickBot="1">
      <c r="A9" s="1860" t="s">
        <v>1093</v>
      </c>
      <c r="B9" s="1861" t="s">
        <v>1108</v>
      </c>
      <c r="C9" s="1862">
        <v>0.05</v>
      </c>
      <c r="D9" s="1863"/>
      <c r="E9" s="1863"/>
      <c r="F9" s="1864"/>
    </row>
    <row r="10" spans="1:6" ht="15" thickBot="1">
      <c r="A10" s="1852" t="s">
        <v>1152</v>
      </c>
      <c r="B10" s="1853" t="s">
        <v>2088</v>
      </c>
      <c r="C10" s="1854">
        <v>8.8999999999999996E-2</v>
      </c>
      <c r="D10" s="1854">
        <v>7.2999999999999995E-2</v>
      </c>
      <c r="E10" s="1854">
        <v>8.2000000000000003E-2</v>
      </c>
      <c r="F10" s="1855">
        <v>0.1</v>
      </c>
    </row>
    <row r="11" spans="1:6" ht="15" thickBot="1">
      <c r="A11" s="1852" t="s">
        <v>1152</v>
      </c>
      <c r="B11" s="1859" t="s">
        <v>1068</v>
      </c>
      <c r="C11" s="1857">
        <v>8.8999999999999996E-2</v>
      </c>
      <c r="D11" s="1857">
        <v>7.2999999999999995E-2</v>
      </c>
      <c r="E11" s="1857">
        <v>8.2000000000000003E-2</v>
      </c>
      <c r="F11" s="1858">
        <v>0.1</v>
      </c>
    </row>
    <row r="12" spans="1:6" ht="15" thickBot="1">
      <c r="A12" s="1852" t="s">
        <v>1152</v>
      </c>
      <c r="B12" s="1859" t="s">
        <v>1082</v>
      </c>
      <c r="C12" s="1857">
        <v>6.0999999999999999E-2</v>
      </c>
      <c r="D12" s="1857">
        <v>7.0999999999999994E-2</v>
      </c>
      <c r="E12" s="1857">
        <v>9.6000000000000002E-2</v>
      </c>
      <c r="F12" s="1858">
        <v>0.1</v>
      </c>
    </row>
    <row r="13" spans="1:6" ht="15" thickBot="1">
      <c r="A13" s="1852" t="s">
        <v>1152</v>
      </c>
      <c r="B13" s="1859" t="s">
        <v>1095</v>
      </c>
      <c r="C13" s="1857">
        <v>6.9000000000000006E-2</v>
      </c>
      <c r="D13" s="1857">
        <v>6.5000000000000002E-2</v>
      </c>
      <c r="E13" s="1857">
        <v>6.6000000000000003E-2</v>
      </c>
      <c r="F13" s="1858">
        <v>0.1</v>
      </c>
    </row>
    <row r="14" spans="1:6" ht="15" thickBot="1">
      <c r="A14" s="1852" t="s">
        <v>1152</v>
      </c>
      <c r="B14" s="1859" t="s">
        <v>1109</v>
      </c>
      <c r="C14" s="1857">
        <v>0.1</v>
      </c>
      <c r="D14" s="1857">
        <v>6.5000000000000002E-2</v>
      </c>
      <c r="E14" s="1857">
        <v>7.0000000000000007E-2</v>
      </c>
      <c r="F14" s="1858">
        <v>0.1</v>
      </c>
    </row>
    <row r="15" spans="1:6" ht="15" thickBot="1">
      <c r="A15" s="1852" t="s">
        <v>1152</v>
      </c>
      <c r="B15" s="1859" t="s">
        <v>1120</v>
      </c>
      <c r="C15" s="1857">
        <v>9.8000000000000004E-2</v>
      </c>
      <c r="D15" s="1857">
        <v>8.8999999999999996E-2</v>
      </c>
      <c r="E15" s="1857">
        <v>8.8999999999999996E-2</v>
      </c>
      <c r="F15" s="1858">
        <v>0.1</v>
      </c>
    </row>
    <row r="16" spans="1:6" ht="15" thickBot="1">
      <c r="A16" s="1852" t="s">
        <v>1152</v>
      </c>
      <c r="B16" s="1859" t="s">
        <v>1131</v>
      </c>
      <c r="C16" s="1857">
        <v>7.0000000000000007E-2</v>
      </c>
      <c r="D16" s="1857">
        <v>9.2999999999999999E-2</v>
      </c>
      <c r="E16" s="1857">
        <v>9.6000000000000002E-2</v>
      </c>
      <c r="F16" s="1858">
        <v>0.1</v>
      </c>
    </row>
    <row r="17" spans="1:6" ht="15" thickBot="1">
      <c r="A17" s="1852" t="s">
        <v>1152</v>
      </c>
      <c r="B17" s="1859" t="s">
        <v>1142</v>
      </c>
      <c r="C17" s="1857">
        <v>9.5000000000000001E-2</v>
      </c>
      <c r="D17" s="1857">
        <v>0.1</v>
      </c>
      <c r="E17" s="1857">
        <v>0.1</v>
      </c>
      <c r="F17" s="1865"/>
    </row>
    <row r="18" spans="1:6" ht="15" thickBot="1">
      <c r="A18" s="1852" t="s">
        <v>1152</v>
      </c>
      <c r="B18" s="1859" t="s">
        <v>1154</v>
      </c>
      <c r="C18" s="1857">
        <v>7.3999999999999996E-2</v>
      </c>
      <c r="D18" s="1857">
        <v>9.9000000000000005E-2</v>
      </c>
      <c r="E18" s="1857">
        <v>0.1</v>
      </c>
      <c r="F18" s="1865"/>
    </row>
    <row r="19" spans="1:6" ht="15" thickBot="1">
      <c r="A19" s="1852" t="s">
        <v>1152</v>
      </c>
      <c r="B19" s="1859" t="s">
        <v>1164</v>
      </c>
      <c r="C19" s="1857">
        <v>9.9000000000000005E-2</v>
      </c>
      <c r="D19" s="1857">
        <v>7.5999999999999998E-2</v>
      </c>
      <c r="E19" s="1857">
        <v>8.6999999999999994E-2</v>
      </c>
      <c r="F19" s="1865"/>
    </row>
    <row r="20" spans="1:6" ht="15" thickBot="1">
      <c r="A20" s="1852" t="s">
        <v>1152</v>
      </c>
      <c r="B20" s="1859" t="s">
        <v>1174</v>
      </c>
      <c r="C20" s="1857">
        <v>9.8000000000000004E-2</v>
      </c>
      <c r="D20" s="1857">
        <v>8.5000000000000006E-2</v>
      </c>
      <c r="E20" s="1857">
        <v>8.2000000000000003E-2</v>
      </c>
      <c r="F20" s="1865"/>
    </row>
    <row r="21" spans="1:6" ht="15" thickBot="1">
      <c r="A21" s="1852" t="s">
        <v>1152</v>
      </c>
      <c r="B21" s="1859" t="s">
        <v>1184</v>
      </c>
      <c r="C21" s="1857">
        <v>6.6000000000000003E-2</v>
      </c>
      <c r="D21" s="1857">
        <v>6.4000000000000001E-2</v>
      </c>
      <c r="E21" s="1857">
        <v>6.5000000000000002E-2</v>
      </c>
      <c r="F21" s="1865"/>
    </row>
    <row r="22" spans="1:6" ht="15" thickBot="1">
      <c r="A22" s="1852" t="s">
        <v>1152</v>
      </c>
      <c r="B22" s="1859" t="s">
        <v>2089</v>
      </c>
      <c r="C22" s="1857">
        <v>0.08</v>
      </c>
      <c r="D22" s="1857">
        <v>9.8000000000000004E-2</v>
      </c>
      <c r="E22" s="1857">
        <v>9.8000000000000004E-2</v>
      </c>
      <c r="F22" s="1865"/>
    </row>
    <row r="23" spans="1:6" ht="15" thickBot="1">
      <c r="A23" s="1852" t="s">
        <v>1152</v>
      </c>
      <c r="B23" s="1859" t="s">
        <v>1204</v>
      </c>
      <c r="C23" s="1857">
        <v>9.9000000000000005E-2</v>
      </c>
      <c r="D23" s="1857">
        <v>9.8000000000000004E-2</v>
      </c>
      <c r="E23" s="1857">
        <v>9.0999999999999998E-2</v>
      </c>
      <c r="F23" s="1865"/>
    </row>
    <row r="24" spans="1:6" ht="15" thickBot="1">
      <c r="A24" s="1852" t="s">
        <v>1152</v>
      </c>
      <c r="B24" s="1859" t="s">
        <v>1214</v>
      </c>
      <c r="C24" s="1857">
        <v>8.8999999999999996E-2</v>
      </c>
      <c r="D24" s="1857">
        <v>9.7000000000000003E-2</v>
      </c>
      <c r="E24" s="1857">
        <v>7.0000000000000007E-2</v>
      </c>
      <c r="F24" s="1865"/>
    </row>
    <row r="25" spans="1:6" ht="15" thickBot="1">
      <c r="A25" s="1852" t="s">
        <v>1152</v>
      </c>
      <c r="B25" s="1859" t="s">
        <v>1224</v>
      </c>
      <c r="C25" s="1857">
        <v>8.8999999999999996E-2</v>
      </c>
      <c r="D25" s="1857">
        <v>0.1</v>
      </c>
      <c r="E25" s="1857">
        <v>8.1000000000000003E-2</v>
      </c>
      <c r="F25" s="1865"/>
    </row>
    <row r="26" spans="1:6" ht="15" thickBot="1">
      <c r="A26" s="1852" t="s">
        <v>1152</v>
      </c>
      <c r="B26" s="1859" t="s">
        <v>1234</v>
      </c>
      <c r="C26" s="1866"/>
      <c r="D26" s="1857">
        <v>9.6000000000000002E-2</v>
      </c>
      <c r="E26" s="1857">
        <v>9.2999999999999999E-2</v>
      </c>
      <c r="F26" s="1865"/>
    </row>
    <row r="27" spans="1:6" ht="15" thickBot="1">
      <c r="A27" s="1852" t="s">
        <v>1152</v>
      </c>
      <c r="B27" s="1859" t="s">
        <v>1244</v>
      </c>
      <c r="C27" s="1866"/>
      <c r="D27" s="1857">
        <v>7.5999999999999998E-2</v>
      </c>
      <c r="E27" s="1857">
        <v>9.1999999999999998E-2</v>
      </c>
      <c r="F27" s="1865"/>
    </row>
    <row r="28" spans="1:6" ht="15" thickBot="1">
      <c r="A28" s="1860" t="s">
        <v>1152</v>
      </c>
      <c r="B28" s="1861" t="s">
        <v>1254</v>
      </c>
      <c r="C28" s="1863"/>
      <c r="D28" s="1862">
        <v>7.5999999999999998E-2</v>
      </c>
      <c r="E28" s="1862">
        <v>9.1999999999999998E-2</v>
      </c>
      <c r="F28" s="1864"/>
    </row>
    <row r="29" spans="1:6" ht="15" thickBot="1">
      <c r="A29" s="1852" t="s">
        <v>1323</v>
      </c>
      <c r="B29" s="1853" t="s">
        <v>2090</v>
      </c>
      <c r="C29" s="1854">
        <v>6.4000000000000001E-2</v>
      </c>
      <c r="D29" s="1854">
        <v>6.5000000000000002E-2</v>
      </c>
      <c r="E29" s="1854">
        <v>6.9000000000000006E-2</v>
      </c>
      <c r="F29" s="1855">
        <v>0.1</v>
      </c>
    </row>
    <row r="30" spans="1:6" ht="15" thickBot="1">
      <c r="A30" s="1852" t="s">
        <v>1323</v>
      </c>
      <c r="B30" s="1859" t="s">
        <v>1069</v>
      </c>
      <c r="C30" s="1857">
        <v>6.4000000000000001E-2</v>
      </c>
      <c r="D30" s="1857">
        <v>9.9000000000000005E-2</v>
      </c>
      <c r="E30" s="1857">
        <v>0.1</v>
      </c>
      <c r="F30" s="1858">
        <v>0.1</v>
      </c>
    </row>
    <row r="31" spans="1:6" ht="15" thickBot="1">
      <c r="A31" s="1852" t="s">
        <v>1323</v>
      </c>
      <c r="B31" s="1859" t="s">
        <v>1083</v>
      </c>
      <c r="C31" s="1857">
        <v>0.1</v>
      </c>
      <c r="D31" s="1857">
        <v>9.5000000000000001E-2</v>
      </c>
      <c r="E31" s="1857">
        <v>8.8999999999999996E-2</v>
      </c>
      <c r="F31" s="1858">
        <v>0.1</v>
      </c>
    </row>
    <row r="32" spans="1:6" ht="15" thickBot="1">
      <c r="A32" s="1852" t="s">
        <v>1323</v>
      </c>
      <c r="B32" s="1859" t="s">
        <v>1096</v>
      </c>
      <c r="C32" s="1857">
        <v>0.05</v>
      </c>
      <c r="D32" s="1857">
        <v>0.05</v>
      </c>
      <c r="E32" s="1857">
        <v>8.7999999999999995E-2</v>
      </c>
      <c r="F32" s="1858">
        <v>0.1</v>
      </c>
    </row>
    <row r="33" spans="1:6" ht="15" thickBot="1">
      <c r="A33" s="1852" t="s">
        <v>1323</v>
      </c>
      <c r="B33" s="1859" t="s">
        <v>1110</v>
      </c>
      <c r="C33" s="1857">
        <v>7.4999999999999997E-2</v>
      </c>
      <c r="D33" s="1857">
        <v>9.4E-2</v>
      </c>
      <c r="E33" s="1857">
        <v>9.7000000000000003E-2</v>
      </c>
      <c r="F33" s="1858">
        <v>0.1</v>
      </c>
    </row>
    <row r="34" spans="1:6" ht="15" thickBot="1">
      <c r="A34" s="1852" t="s">
        <v>1323</v>
      </c>
      <c r="B34" s="1859" t="s">
        <v>1121</v>
      </c>
      <c r="C34" s="1857">
        <v>9.8000000000000004E-2</v>
      </c>
      <c r="D34" s="1857">
        <v>8.5999999999999993E-2</v>
      </c>
      <c r="E34" s="1857">
        <v>9.7000000000000003E-2</v>
      </c>
      <c r="F34" s="1858">
        <v>0.1</v>
      </c>
    </row>
    <row r="35" spans="1:6" ht="15" thickBot="1">
      <c r="A35" s="1852" t="s">
        <v>1323</v>
      </c>
      <c r="B35" s="1859" t="s">
        <v>1132</v>
      </c>
      <c r="C35" s="1857">
        <v>5.8999999999999997E-2</v>
      </c>
      <c r="D35" s="1857">
        <v>6.5000000000000002E-2</v>
      </c>
      <c r="E35" s="1857">
        <v>7.0000000000000007E-2</v>
      </c>
      <c r="F35" s="1858">
        <v>0.1</v>
      </c>
    </row>
    <row r="36" spans="1:6" ht="15" thickBot="1">
      <c r="A36" s="1852" t="s">
        <v>1323</v>
      </c>
      <c r="B36" s="1859" t="s">
        <v>1143</v>
      </c>
      <c r="C36" s="1857">
        <v>6.3E-2</v>
      </c>
      <c r="D36" s="1857">
        <v>0.1</v>
      </c>
      <c r="E36" s="1857">
        <v>0.1</v>
      </c>
      <c r="F36" s="1858">
        <v>0.1</v>
      </c>
    </row>
    <row r="37" spans="1:6" ht="15" thickBot="1">
      <c r="A37" s="1852" t="s">
        <v>1323</v>
      </c>
      <c r="B37" s="1859" t="s">
        <v>1155</v>
      </c>
      <c r="C37" s="1857">
        <v>7.3999999999999996E-2</v>
      </c>
      <c r="D37" s="1857">
        <v>0.1</v>
      </c>
      <c r="E37" s="1857">
        <v>0.1</v>
      </c>
      <c r="F37" s="1858">
        <v>0.1</v>
      </c>
    </row>
    <row r="38" spans="1:6" ht="15" thickBot="1">
      <c r="A38" s="1852" t="s">
        <v>1323</v>
      </c>
      <c r="B38" s="1859" t="s">
        <v>1165</v>
      </c>
      <c r="C38" s="1857">
        <v>0.1</v>
      </c>
      <c r="D38" s="1857">
        <v>9.6000000000000002E-2</v>
      </c>
      <c r="E38" s="1857">
        <v>9.6000000000000002E-2</v>
      </c>
      <c r="F38" s="1865"/>
    </row>
    <row r="39" spans="1:6" ht="15" thickBot="1">
      <c r="A39" s="1852" t="s">
        <v>1323</v>
      </c>
      <c r="B39" s="1859" t="s">
        <v>1175</v>
      </c>
      <c r="C39" s="1857">
        <v>0.1</v>
      </c>
      <c r="D39" s="1857">
        <v>9.6000000000000002E-2</v>
      </c>
      <c r="E39" s="1857">
        <v>9.6000000000000002E-2</v>
      </c>
      <c r="F39" s="1865"/>
    </row>
    <row r="40" spans="1:6" ht="15" thickBot="1">
      <c r="A40" s="1852" t="s">
        <v>1323</v>
      </c>
      <c r="B40" s="1859" t="s">
        <v>1185</v>
      </c>
      <c r="C40" s="1857">
        <v>9.6000000000000002E-2</v>
      </c>
      <c r="D40" s="1857">
        <v>0.1</v>
      </c>
      <c r="E40" s="1857">
        <v>9.9000000000000005E-2</v>
      </c>
      <c r="F40" s="1865"/>
    </row>
    <row r="41" spans="1:6" ht="15" thickBot="1">
      <c r="A41" s="1852" t="s">
        <v>1323</v>
      </c>
      <c r="B41" s="1859" t="s">
        <v>1195</v>
      </c>
      <c r="C41" s="1857">
        <v>9.6000000000000002E-2</v>
      </c>
      <c r="D41" s="1857">
        <v>9.8000000000000004E-2</v>
      </c>
      <c r="E41" s="1857">
        <v>9.8000000000000004E-2</v>
      </c>
      <c r="F41" s="1865"/>
    </row>
    <row r="42" spans="1:6" ht="15" thickBot="1">
      <c r="A42" s="1852" t="s">
        <v>1323</v>
      </c>
      <c r="B42" s="1859" t="s">
        <v>1205</v>
      </c>
      <c r="C42" s="1857">
        <v>0.1</v>
      </c>
      <c r="D42" s="1857">
        <v>8.7999999999999995E-2</v>
      </c>
      <c r="E42" s="1857">
        <v>0.1</v>
      </c>
      <c r="F42" s="1865"/>
    </row>
    <row r="43" spans="1:6" ht="15" thickBot="1">
      <c r="A43" s="1852" t="s">
        <v>1323</v>
      </c>
      <c r="B43" s="1859" t="s">
        <v>1215</v>
      </c>
      <c r="C43" s="1857">
        <v>9.8000000000000004E-2</v>
      </c>
      <c r="D43" s="1857">
        <v>9.7000000000000003E-2</v>
      </c>
      <c r="E43" s="1857">
        <v>9.6000000000000002E-2</v>
      </c>
      <c r="F43" s="1865"/>
    </row>
    <row r="44" spans="1:6" ht="15" thickBot="1">
      <c r="A44" s="1852" t="s">
        <v>1323</v>
      </c>
      <c r="B44" s="1859" t="s">
        <v>1225</v>
      </c>
      <c r="C44" s="1857">
        <v>8.5999999999999993E-2</v>
      </c>
      <c r="D44" s="1857">
        <v>7.9000000000000001E-2</v>
      </c>
      <c r="E44" s="1857">
        <v>7.0999999999999994E-2</v>
      </c>
      <c r="F44" s="1865"/>
    </row>
    <row r="45" spans="1:6" ht="15" thickBot="1">
      <c r="A45" s="1852" t="s">
        <v>1323</v>
      </c>
      <c r="B45" s="1859" t="s">
        <v>1235</v>
      </c>
      <c r="C45" s="1857">
        <v>9.8000000000000004E-2</v>
      </c>
      <c r="D45" s="1857">
        <v>9.6000000000000002E-2</v>
      </c>
      <c r="E45" s="1857">
        <v>9.6000000000000002E-2</v>
      </c>
      <c r="F45" s="1865"/>
    </row>
    <row r="46" spans="1:6" ht="15" thickBot="1">
      <c r="A46" s="1852" t="s">
        <v>1323</v>
      </c>
      <c r="B46" s="1859" t="s">
        <v>1245</v>
      </c>
      <c r="C46" s="1857">
        <v>8.5999999999999993E-2</v>
      </c>
      <c r="D46" s="1857">
        <v>9.8000000000000004E-2</v>
      </c>
      <c r="E46" s="1857">
        <v>8.7999999999999995E-2</v>
      </c>
      <c r="F46" s="1865"/>
    </row>
    <row r="47" spans="1:6" ht="15" thickBot="1">
      <c r="A47" s="1852" t="s">
        <v>1323</v>
      </c>
      <c r="B47" s="1859" t="s">
        <v>1255</v>
      </c>
      <c r="C47" s="1857">
        <v>9.6000000000000002E-2</v>
      </c>
      <c r="D47" s="1866"/>
      <c r="E47" s="1857">
        <v>6.9000000000000006E-2</v>
      </c>
      <c r="F47" s="1865"/>
    </row>
    <row r="48" spans="1:6" ht="15" thickBot="1">
      <c r="A48" s="1860" t="s">
        <v>1323</v>
      </c>
      <c r="B48" s="1861" t="s">
        <v>1264</v>
      </c>
      <c r="C48" s="1862">
        <v>9.8000000000000004E-2</v>
      </c>
      <c r="D48" s="1863"/>
      <c r="E48" s="1862">
        <v>9.5000000000000001E-2</v>
      </c>
      <c r="F48" s="1864"/>
    </row>
    <row r="49" spans="1:6" ht="15" thickBot="1">
      <c r="A49" s="1852" t="s">
        <v>921</v>
      </c>
      <c r="B49" s="1853" t="s">
        <v>2091</v>
      </c>
      <c r="C49" s="1854">
        <v>9.7000000000000003E-2</v>
      </c>
      <c r="D49" s="1854">
        <v>9.5000000000000001E-2</v>
      </c>
      <c r="E49" s="1854">
        <v>9.7000000000000003E-2</v>
      </c>
      <c r="F49" s="1855">
        <v>0.1</v>
      </c>
    </row>
    <row r="50" spans="1:6" ht="15" thickBot="1">
      <c r="A50" s="1852" t="s">
        <v>921</v>
      </c>
      <c r="B50" s="1856" t="s">
        <v>1070</v>
      </c>
      <c r="C50" s="1857">
        <v>7.4999999999999997E-2</v>
      </c>
      <c r="D50" s="1857">
        <v>9.5000000000000001E-2</v>
      </c>
      <c r="E50" s="1857">
        <v>0.1</v>
      </c>
      <c r="F50" s="1858">
        <v>0.1</v>
      </c>
    </row>
    <row r="51" spans="1:6" ht="15" thickBot="1">
      <c r="A51" s="1852" t="s">
        <v>921</v>
      </c>
      <c r="B51" s="1856" t="s">
        <v>1084</v>
      </c>
      <c r="C51" s="1857">
        <v>9.8000000000000004E-2</v>
      </c>
      <c r="D51" s="1857">
        <v>8.8999999999999996E-2</v>
      </c>
      <c r="E51" s="1857">
        <v>0.1</v>
      </c>
      <c r="F51" s="1858">
        <v>0.1</v>
      </c>
    </row>
    <row r="52" spans="1:6" ht="15" thickBot="1">
      <c r="A52" s="1852" t="s">
        <v>921</v>
      </c>
      <c r="B52" s="1856" t="s">
        <v>1097</v>
      </c>
      <c r="C52" s="1857">
        <v>9.8000000000000004E-2</v>
      </c>
      <c r="D52" s="1857">
        <v>9.7000000000000003E-2</v>
      </c>
      <c r="E52" s="1857">
        <v>8.1000000000000003E-2</v>
      </c>
      <c r="F52" s="1858">
        <v>0.1</v>
      </c>
    </row>
    <row r="53" spans="1:6" ht="15" thickBot="1">
      <c r="A53" s="1852" t="s">
        <v>921</v>
      </c>
      <c r="B53" s="1856" t="s">
        <v>1111</v>
      </c>
      <c r="C53" s="1857">
        <v>9.7000000000000003E-2</v>
      </c>
      <c r="D53" s="1857">
        <v>7.5999999999999998E-2</v>
      </c>
      <c r="E53" s="1857">
        <v>7.0999999999999994E-2</v>
      </c>
      <c r="F53" s="1858">
        <v>0.1</v>
      </c>
    </row>
    <row r="54" spans="1:6" ht="15" thickBot="1">
      <c r="A54" s="1852" t="s">
        <v>921</v>
      </c>
      <c r="B54" s="1856" t="s">
        <v>1122</v>
      </c>
      <c r="C54" s="1857">
        <v>7.5999999999999998E-2</v>
      </c>
      <c r="D54" s="1857">
        <v>0.1</v>
      </c>
      <c r="E54" s="1857">
        <v>9.9000000000000005E-2</v>
      </c>
      <c r="F54" s="1858">
        <v>0.1</v>
      </c>
    </row>
    <row r="55" spans="1:6" ht="15" thickBot="1">
      <c r="A55" s="1852" t="s">
        <v>921</v>
      </c>
      <c r="B55" s="1856" t="s">
        <v>1133</v>
      </c>
      <c r="C55" s="1857">
        <v>0.1</v>
      </c>
      <c r="D55" s="1857">
        <v>0.1</v>
      </c>
      <c r="E55" s="1857">
        <v>9.6000000000000002E-2</v>
      </c>
      <c r="F55" s="1858">
        <v>0.1</v>
      </c>
    </row>
    <row r="56" spans="1:6" ht="15" thickBot="1">
      <c r="A56" s="1852" t="s">
        <v>921</v>
      </c>
      <c r="B56" s="1856" t="s">
        <v>1144</v>
      </c>
      <c r="C56" s="1857">
        <v>0.1</v>
      </c>
      <c r="D56" s="1857">
        <v>9.6000000000000002E-2</v>
      </c>
      <c r="E56" s="1857">
        <v>5.1999999999999998E-2</v>
      </c>
      <c r="F56" s="1858">
        <v>0.1</v>
      </c>
    </row>
    <row r="57" spans="1:6" ht="15" thickBot="1">
      <c r="A57" s="1852" t="s">
        <v>921</v>
      </c>
      <c r="B57" s="1856" t="s">
        <v>1156</v>
      </c>
      <c r="C57" s="1857">
        <v>9.7000000000000003E-2</v>
      </c>
      <c r="D57" s="1857">
        <v>9.6000000000000002E-2</v>
      </c>
      <c r="E57" s="1857">
        <v>9.6000000000000002E-2</v>
      </c>
      <c r="F57" s="1858">
        <v>0.1</v>
      </c>
    </row>
    <row r="58" spans="1:6" ht="15" thickBot="1">
      <c r="A58" s="1852" t="s">
        <v>921</v>
      </c>
      <c r="B58" s="1856" t="s">
        <v>1166</v>
      </c>
      <c r="C58" s="1857">
        <v>9.6000000000000002E-2</v>
      </c>
      <c r="D58" s="1857">
        <v>9.9000000000000005E-2</v>
      </c>
      <c r="E58" s="1857">
        <v>9.6000000000000002E-2</v>
      </c>
      <c r="F58" s="1858">
        <v>0.1</v>
      </c>
    </row>
    <row r="59" spans="1:6" ht="15" thickBot="1">
      <c r="A59" s="1852" t="s">
        <v>921</v>
      </c>
      <c r="B59" s="1856" t="s">
        <v>1176</v>
      </c>
      <c r="C59" s="1857">
        <v>7.1999999999999995E-2</v>
      </c>
      <c r="D59" s="1857">
        <v>9.6000000000000002E-2</v>
      </c>
      <c r="E59" s="1857">
        <v>7.0999999999999994E-2</v>
      </c>
      <c r="F59" s="1858">
        <v>0.1</v>
      </c>
    </row>
    <row r="60" spans="1:6" ht="15" thickBot="1">
      <c r="A60" s="1852" t="s">
        <v>921</v>
      </c>
      <c r="B60" s="1856" t="s">
        <v>1186</v>
      </c>
      <c r="C60" s="1857">
        <v>9.6000000000000002E-2</v>
      </c>
      <c r="D60" s="1857">
        <v>8.8999999999999996E-2</v>
      </c>
      <c r="E60" s="1857">
        <v>9.6000000000000002E-2</v>
      </c>
      <c r="F60" s="1858">
        <v>0.1</v>
      </c>
    </row>
    <row r="61" spans="1:6" ht="15" thickBot="1">
      <c r="A61" s="1852" t="s">
        <v>921</v>
      </c>
      <c r="B61" s="1856" t="s">
        <v>1196</v>
      </c>
      <c r="C61" s="1857">
        <v>8.8999999999999996E-2</v>
      </c>
      <c r="D61" s="1857">
        <v>9.8000000000000004E-2</v>
      </c>
      <c r="E61" s="1857">
        <v>8.7999999999999995E-2</v>
      </c>
      <c r="F61" s="1865"/>
    </row>
    <row r="62" spans="1:6" ht="15" thickBot="1">
      <c r="A62" s="1852" t="s">
        <v>921</v>
      </c>
      <c r="B62" s="1856" t="s">
        <v>1206</v>
      </c>
      <c r="C62" s="1857">
        <v>9.8000000000000004E-2</v>
      </c>
      <c r="D62" s="1857">
        <v>9.2999999999999999E-2</v>
      </c>
      <c r="E62" s="1857">
        <v>9.7000000000000003E-2</v>
      </c>
      <c r="F62" s="1865"/>
    </row>
    <row r="63" spans="1:6" ht="15" thickBot="1">
      <c r="A63" s="1852" t="s">
        <v>921</v>
      </c>
      <c r="B63" s="1856" t="s">
        <v>1216</v>
      </c>
      <c r="C63" s="1857">
        <v>9.6000000000000002E-2</v>
      </c>
      <c r="D63" s="1857">
        <v>9.8000000000000004E-2</v>
      </c>
      <c r="E63" s="1857">
        <v>0.09</v>
      </c>
      <c r="F63" s="1865"/>
    </row>
    <row r="64" spans="1:6" ht="15" thickBot="1">
      <c r="A64" s="1852" t="s">
        <v>921</v>
      </c>
      <c r="B64" s="1856" t="s">
        <v>1226</v>
      </c>
      <c r="C64" s="1857">
        <v>9.9000000000000005E-2</v>
      </c>
      <c r="D64" s="1857">
        <v>9.7000000000000003E-2</v>
      </c>
      <c r="E64" s="1857">
        <v>9.9000000000000005E-2</v>
      </c>
      <c r="F64" s="1865"/>
    </row>
    <row r="65" spans="1:6" ht="15" thickBot="1">
      <c r="A65" s="1852" t="s">
        <v>921</v>
      </c>
      <c r="B65" s="1856" t="s">
        <v>1236</v>
      </c>
      <c r="C65" s="1857">
        <v>9.8000000000000004E-2</v>
      </c>
      <c r="D65" s="1857">
        <v>9.6000000000000002E-2</v>
      </c>
      <c r="E65" s="1857">
        <v>9.6000000000000002E-2</v>
      </c>
      <c r="F65" s="1865"/>
    </row>
    <row r="66" spans="1:6" ht="15" thickBot="1">
      <c r="A66" s="1852" t="s">
        <v>921</v>
      </c>
      <c r="B66" s="1856" t="s">
        <v>1246</v>
      </c>
      <c r="C66" s="1857">
        <v>9.6000000000000002E-2</v>
      </c>
      <c r="D66" s="1857">
        <v>9.1999999999999998E-2</v>
      </c>
      <c r="E66" s="1857">
        <v>9.6000000000000002E-2</v>
      </c>
      <c r="F66" s="1865"/>
    </row>
    <row r="67" spans="1:6" ht="15" thickBot="1">
      <c r="A67" s="1852" t="s">
        <v>921</v>
      </c>
      <c r="B67" s="1856" t="s">
        <v>1256</v>
      </c>
      <c r="C67" s="1857">
        <v>9.4E-2</v>
      </c>
      <c r="D67" s="1857">
        <v>0.1</v>
      </c>
      <c r="E67" s="1857">
        <v>8.7999999999999995E-2</v>
      </c>
      <c r="F67" s="1865"/>
    </row>
    <row r="68" spans="1:6" ht="15" thickBot="1">
      <c r="A68" s="1852" t="s">
        <v>921</v>
      </c>
      <c r="B68" s="1856" t="s">
        <v>1265</v>
      </c>
      <c r="C68" s="1857">
        <v>0.1</v>
      </c>
      <c r="D68" s="1857">
        <v>8.7999999999999995E-2</v>
      </c>
      <c r="E68" s="1857">
        <v>9.7000000000000003E-2</v>
      </c>
      <c r="F68" s="1865"/>
    </row>
    <row r="69" spans="1:6" ht="15" thickBot="1">
      <c r="A69" s="1852" t="s">
        <v>921</v>
      </c>
      <c r="B69" s="1856" t="s">
        <v>1274</v>
      </c>
      <c r="C69" s="1857">
        <v>6.4000000000000001E-2</v>
      </c>
      <c r="D69" s="1857">
        <v>0.1</v>
      </c>
      <c r="E69" s="1857">
        <v>0.1</v>
      </c>
      <c r="F69" s="1865"/>
    </row>
    <row r="70" spans="1:6" ht="15" thickBot="1">
      <c r="A70" s="1852" t="s">
        <v>921</v>
      </c>
      <c r="B70" s="1856" t="s">
        <v>1282</v>
      </c>
      <c r="C70" s="1857">
        <v>9.0999999999999998E-2</v>
      </c>
      <c r="D70" s="1866"/>
      <c r="E70" s="1866"/>
      <c r="F70" s="1865"/>
    </row>
    <row r="71" spans="1:6" ht="15" thickBot="1">
      <c r="A71" s="1852" t="s">
        <v>921</v>
      </c>
      <c r="B71" s="1856" t="s">
        <v>1289</v>
      </c>
      <c r="C71" s="1857">
        <v>0.1</v>
      </c>
      <c r="D71" s="1866"/>
      <c r="E71" s="1866"/>
      <c r="F71" s="1865"/>
    </row>
    <row r="72" spans="1:6" ht="24.6" thickBot="1">
      <c r="A72" s="1852" t="s">
        <v>921</v>
      </c>
      <c r="B72" s="1856" t="s">
        <v>2092</v>
      </c>
      <c r="C72" s="1866"/>
      <c r="D72" s="1866"/>
      <c r="E72" s="1866"/>
      <c r="F72" s="1858">
        <v>0.05</v>
      </c>
    </row>
    <row r="73" spans="1:6" ht="24.6" thickBot="1">
      <c r="A73" s="1852" t="s">
        <v>921</v>
      </c>
      <c r="B73" s="1856" t="s">
        <v>2093</v>
      </c>
      <c r="C73" s="1866"/>
      <c r="D73" s="1866"/>
      <c r="E73" s="1866"/>
      <c r="F73" s="1858">
        <v>0.05</v>
      </c>
    </row>
    <row r="74" spans="1:6" ht="24.6" thickBot="1">
      <c r="A74" s="1852" t="s">
        <v>921</v>
      </c>
      <c r="B74" s="1856" t="s">
        <v>2094</v>
      </c>
      <c r="C74" s="1866"/>
      <c r="D74" s="1866"/>
      <c r="E74" s="1866"/>
      <c r="F74" s="1858">
        <v>0.05</v>
      </c>
    </row>
    <row r="75" spans="1:6" ht="24.6" thickBot="1">
      <c r="A75" s="1860" t="s">
        <v>921</v>
      </c>
      <c r="B75" s="1867" t="s">
        <v>2095</v>
      </c>
      <c r="C75" s="1863"/>
      <c r="D75" s="1863"/>
      <c r="E75" s="1863"/>
      <c r="F75" s="1868">
        <v>0.05</v>
      </c>
    </row>
    <row r="76" spans="1:6" ht="15" thickBot="1">
      <c r="A76" s="1852" t="s">
        <v>1404</v>
      </c>
      <c r="B76" s="1853" t="s">
        <v>2096</v>
      </c>
      <c r="C76" s="1854">
        <v>0.1</v>
      </c>
      <c r="D76" s="1854">
        <v>0.1</v>
      </c>
      <c r="E76" s="1854">
        <v>0.1</v>
      </c>
      <c r="F76" s="1855">
        <v>0.1</v>
      </c>
    </row>
    <row r="77" spans="1:6" ht="15" thickBot="1">
      <c r="A77" s="1852" t="s">
        <v>1404</v>
      </c>
      <c r="B77" s="1856" t="s">
        <v>1071</v>
      </c>
      <c r="C77" s="1857">
        <v>8.7999999999999995E-2</v>
      </c>
      <c r="D77" s="1857">
        <v>8.6999999999999994E-2</v>
      </c>
      <c r="E77" s="1857">
        <v>7.9000000000000001E-2</v>
      </c>
      <c r="F77" s="1858">
        <v>0.1</v>
      </c>
    </row>
    <row r="78" spans="1:6" ht="15" thickBot="1">
      <c r="A78" s="1852" t="s">
        <v>1404</v>
      </c>
      <c r="B78" s="1856" t="s">
        <v>1085</v>
      </c>
      <c r="C78" s="1857">
        <v>8.6999999999999994E-2</v>
      </c>
      <c r="D78" s="1857">
        <v>8.4000000000000005E-2</v>
      </c>
      <c r="E78" s="1857">
        <v>9.6000000000000002E-2</v>
      </c>
      <c r="F78" s="1858">
        <v>0.1</v>
      </c>
    </row>
    <row r="79" spans="1:6" ht="15" thickBot="1">
      <c r="A79" s="1852" t="s">
        <v>1404</v>
      </c>
      <c r="B79" s="1856" t="s">
        <v>1098</v>
      </c>
      <c r="C79" s="1857">
        <v>9.8000000000000004E-2</v>
      </c>
      <c r="D79" s="1857">
        <v>9.8000000000000004E-2</v>
      </c>
      <c r="E79" s="1857">
        <v>9.0999999999999998E-2</v>
      </c>
      <c r="F79" s="1858">
        <v>0.1</v>
      </c>
    </row>
    <row r="80" spans="1:6" ht="15" thickBot="1">
      <c r="A80" s="1852" t="s">
        <v>1404</v>
      </c>
      <c r="B80" s="1856" t="s">
        <v>1112</v>
      </c>
      <c r="C80" s="1857">
        <v>9.6000000000000002E-2</v>
      </c>
      <c r="D80" s="1857">
        <v>9.6000000000000002E-2</v>
      </c>
      <c r="E80" s="1857">
        <v>0.1</v>
      </c>
      <c r="F80" s="1858">
        <v>0.1</v>
      </c>
    </row>
    <row r="81" spans="1:6" ht="15" thickBot="1">
      <c r="A81" s="1852" t="s">
        <v>1404</v>
      </c>
      <c r="B81" s="1856" t="s">
        <v>1123</v>
      </c>
      <c r="C81" s="1857">
        <v>9.9000000000000005E-2</v>
      </c>
      <c r="D81" s="1857">
        <v>9.9000000000000005E-2</v>
      </c>
      <c r="E81" s="1857">
        <v>9.8000000000000004E-2</v>
      </c>
      <c r="F81" s="1858">
        <v>0.1</v>
      </c>
    </row>
    <row r="82" spans="1:6" ht="15" thickBot="1">
      <c r="A82" s="1852" t="s">
        <v>1404</v>
      </c>
      <c r="B82" s="1856" t="s">
        <v>1134</v>
      </c>
      <c r="C82" s="1857">
        <v>9.9000000000000005E-2</v>
      </c>
      <c r="D82" s="1857">
        <v>9.9000000000000005E-2</v>
      </c>
      <c r="E82" s="1857">
        <v>9.7000000000000003E-2</v>
      </c>
      <c r="F82" s="1858">
        <v>0.1</v>
      </c>
    </row>
    <row r="83" spans="1:6" ht="15" thickBot="1">
      <c r="A83" s="1852" t="s">
        <v>1404</v>
      </c>
      <c r="B83" s="1856" t="s">
        <v>1145</v>
      </c>
      <c r="C83" s="1857">
        <v>9.8000000000000004E-2</v>
      </c>
      <c r="D83" s="1857">
        <v>9.8000000000000004E-2</v>
      </c>
      <c r="E83" s="1857">
        <v>9.8000000000000004E-2</v>
      </c>
      <c r="F83" s="1858">
        <v>0.1</v>
      </c>
    </row>
    <row r="84" spans="1:6" ht="15" thickBot="1">
      <c r="A84" s="1852" t="s">
        <v>1404</v>
      </c>
      <c r="B84" s="1856" t="s">
        <v>1157</v>
      </c>
      <c r="C84" s="1857">
        <v>9.9000000000000005E-2</v>
      </c>
      <c r="D84" s="1857">
        <v>9.9000000000000005E-2</v>
      </c>
      <c r="E84" s="1857">
        <v>9.9000000000000005E-2</v>
      </c>
      <c r="F84" s="1858">
        <v>0.1</v>
      </c>
    </row>
    <row r="85" spans="1:6" ht="15" thickBot="1">
      <c r="A85" s="1852" t="s">
        <v>1404</v>
      </c>
      <c r="B85" s="1856" t="s">
        <v>1167</v>
      </c>
      <c r="C85" s="1857">
        <v>9.9000000000000005E-2</v>
      </c>
      <c r="D85" s="1857">
        <v>9.9000000000000005E-2</v>
      </c>
      <c r="E85" s="1857">
        <v>9.9000000000000005E-2</v>
      </c>
      <c r="F85" s="1858">
        <v>0.1</v>
      </c>
    </row>
    <row r="86" spans="1:6" ht="15" thickBot="1">
      <c r="A86" s="1852" t="s">
        <v>1404</v>
      </c>
      <c r="B86" s="1856" t="s">
        <v>1177</v>
      </c>
      <c r="C86" s="1857">
        <v>0.1</v>
      </c>
      <c r="D86" s="1857">
        <v>0.1</v>
      </c>
      <c r="E86" s="1857">
        <v>7.6999999999999999E-2</v>
      </c>
      <c r="F86" s="1858">
        <v>0.1</v>
      </c>
    </row>
    <row r="87" spans="1:6" ht="15" thickBot="1">
      <c r="A87" s="1852" t="s">
        <v>1404</v>
      </c>
      <c r="B87" s="1856" t="s">
        <v>1187</v>
      </c>
      <c r="C87" s="1857">
        <v>0.1</v>
      </c>
      <c r="D87" s="1857">
        <v>0.1</v>
      </c>
      <c r="E87" s="1857">
        <v>9.8000000000000004E-2</v>
      </c>
      <c r="F87" s="1865"/>
    </row>
    <row r="88" spans="1:6" ht="15" thickBot="1">
      <c r="A88" s="1852" t="s">
        <v>1404</v>
      </c>
      <c r="B88" s="1856" t="s">
        <v>1197</v>
      </c>
      <c r="C88" s="1857">
        <v>9.1999999999999998E-2</v>
      </c>
      <c r="D88" s="1857">
        <v>8.5000000000000006E-2</v>
      </c>
      <c r="E88" s="1857">
        <v>9.6000000000000002E-2</v>
      </c>
      <c r="F88" s="1865"/>
    </row>
    <row r="89" spans="1:6" ht="15" thickBot="1">
      <c r="A89" s="1852" t="s">
        <v>1404</v>
      </c>
      <c r="B89" s="1856" t="s">
        <v>1207</v>
      </c>
      <c r="C89" s="1857">
        <v>0.1</v>
      </c>
      <c r="D89" s="1857">
        <v>0.1</v>
      </c>
      <c r="E89" s="1857">
        <v>9.7000000000000003E-2</v>
      </c>
      <c r="F89" s="1865"/>
    </row>
    <row r="90" spans="1:6" ht="15" thickBot="1">
      <c r="A90" s="1852" t="s">
        <v>1404</v>
      </c>
      <c r="B90" s="1856" t="s">
        <v>1217</v>
      </c>
      <c r="C90" s="1857">
        <v>9.8000000000000004E-2</v>
      </c>
      <c r="D90" s="1857">
        <v>9.8000000000000004E-2</v>
      </c>
      <c r="E90" s="1857">
        <v>8.7999999999999995E-2</v>
      </c>
      <c r="F90" s="1865"/>
    </row>
    <row r="91" spans="1:6" ht="15" thickBot="1">
      <c r="A91" s="1852" t="s">
        <v>1404</v>
      </c>
      <c r="B91" s="1856" t="s">
        <v>1227</v>
      </c>
      <c r="C91" s="1857">
        <v>9.9000000000000005E-2</v>
      </c>
      <c r="D91" s="1857">
        <v>9.9000000000000005E-2</v>
      </c>
      <c r="E91" s="1857">
        <v>9.0999999999999998E-2</v>
      </c>
      <c r="F91" s="1865"/>
    </row>
    <row r="92" spans="1:6" ht="15" thickBot="1">
      <c r="A92" s="1852" t="s">
        <v>1404</v>
      </c>
      <c r="B92" s="1856" t="s">
        <v>1237</v>
      </c>
      <c r="C92" s="1857">
        <v>9.6000000000000002E-2</v>
      </c>
      <c r="D92" s="1857">
        <v>9.6000000000000002E-2</v>
      </c>
      <c r="E92" s="1857">
        <v>7.2999999999999995E-2</v>
      </c>
      <c r="F92" s="1865"/>
    </row>
    <row r="93" spans="1:6" ht="15" thickBot="1">
      <c r="A93" s="1852" t="s">
        <v>1404</v>
      </c>
      <c r="B93" s="1856" t="s">
        <v>1247</v>
      </c>
      <c r="C93" s="1857">
        <v>9.6000000000000002E-2</v>
      </c>
      <c r="D93" s="1857">
        <v>9.6000000000000002E-2</v>
      </c>
      <c r="E93" s="1857">
        <v>9.9000000000000005E-2</v>
      </c>
      <c r="F93" s="1865"/>
    </row>
    <row r="94" spans="1:6" ht="15" thickBot="1">
      <c r="A94" s="1852" t="s">
        <v>1404</v>
      </c>
      <c r="B94" s="1856" t="s">
        <v>1257</v>
      </c>
      <c r="C94" s="1857">
        <v>7.5999999999999998E-2</v>
      </c>
      <c r="D94" s="1857">
        <v>7.3999999999999996E-2</v>
      </c>
      <c r="E94" s="1857">
        <v>9.7000000000000003E-2</v>
      </c>
      <c r="F94" s="1865"/>
    </row>
    <row r="95" spans="1:6" ht="15" thickBot="1">
      <c r="A95" s="1852" t="s">
        <v>1404</v>
      </c>
      <c r="B95" s="1856" t="s">
        <v>1266</v>
      </c>
      <c r="C95" s="1857">
        <v>9.9000000000000005E-2</v>
      </c>
      <c r="D95" s="1857">
        <v>9.4E-2</v>
      </c>
      <c r="E95" s="1857">
        <v>9.6000000000000002E-2</v>
      </c>
      <c r="F95" s="1865"/>
    </row>
    <row r="96" spans="1:6" ht="15" thickBot="1">
      <c r="A96" s="1852" t="s">
        <v>1404</v>
      </c>
      <c r="B96" s="1856" t="s">
        <v>1275</v>
      </c>
      <c r="C96" s="1857">
        <v>9.9000000000000005E-2</v>
      </c>
      <c r="D96" s="1857">
        <v>9.9000000000000005E-2</v>
      </c>
      <c r="E96" s="1857">
        <v>9.9000000000000005E-2</v>
      </c>
      <c r="F96" s="1865"/>
    </row>
    <row r="97" spans="1:6" ht="15" thickBot="1">
      <c r="A97" s="1852" t="s">
        <v>1404</v>
      </c>
      <c r="B97" s="1856" t="s">
        <v>1283</v>
      </c>
      <c r="C97" s="1857">
        <v>9.8000000000000004E-2</v>
      </c>
      <c r="D97" s="1857">
        <v>9.8000000000000004E-2</v>
      </c>
      <c r="E97" s="1857">
        <v>9.7000000000000003E-2</v>
      </c>
      <c r="F97" s="1865"/>
    </row>
    <row r="98" spans="1:6" ht="15" thickBot="1">
      <c r="A98" s="1852" t="s">
        <v>1404</v>
      </c>
      <c r="B98" s="1856" t="s">
        <v>1290</v>
      </c>
      <c r="C98" s="1857">
        <v>0.1</v>
      </c>
      <c r="D98" s="1857">
        <v>0.1</v>
      </c>
      <c r="E98" s="1857">
        <v>9.7000000000000003E-2</v>
      </c>
      <c r="F98" s="1865"/>
    </row>
    <row r="99" spans="1:6" ht="15" thickBot="1">
      <c r="A99" s="1852" t="s">
        <v>1404</v>
      </c>
      <c r="B99" s="1856" t="s">
        <v>1297</v>
      </c>
      <c r="C99" s="1857">
        <v>0.1</v>
      </c>
      <c r="D99" s="1857">
        <v>0.1</v>
      </c>
      <c r="E99" s="1866"/>
      <c r="F99" s="1865"/>
    </row>
    <row r="100" spans="1:6" ht="15" thickBot="1">
      <c r="A100" s="1852" t="s">
        <v>1404</v>
      </c>
      <c r="B100" s="1856" t="s">
        <v>1304</v>
      </c>
      <c r="C100" s="1857">
        <v>0.09</v>
      </c>
      <c r="D100" s="1857">
        <v>8.8999999999999996E-2</v>
      </c>
      <c r="E100" s="1866"/>
      <c r="F100" s="1865"/>
    </row>
    <row r="101" spans="1:6" ht="15" thickBot="1">
      <c r="A101" s="1852" t="s">
        <v>1404</v>
      </c>
      <c r="B101" s="1856" t="s">
        <v>1311</v>
      </c>
      <c r="C101" s="1857">
        <v>9.8000000000000004E-2</v>
      </c>
      <c r="D101" s="1857">
        <v>9.7000000000000003E-2</v>
      </c>
      <c r="E101" s="1866"/>
      <c r="F101" s="1865"/>
    </row>
    <row r="102" spans="1:6" ht="24.6" thickBot="1">
      <c r="A102" s="1852" t="s">
        <v>1404</v>
      </c>
      <c r="B102" s="1856" t="s">
        <v>2097</v>
      </c>
      <c r="C102" s="1866"/>
      <c r="D102" s="1866"/>
      <c r="E102" s="1866"/>
      <c r="F102" s="1858">
        <v>0.05</v>
      </c>
    </row>
    <row r="103" spans="1:6" ht="24.6" thickBot="1">
      <c r="A103" s="1852" t="s">
        <v>1404</v>
      </c>
      <c r="B103" s="1856" t="s">
        <v>2098</v>
      </c>
      <c r="C103" s="1866"/>
      <c r="D103" s="1866"/>
      <c r="E103" s="1866"/>
      <c r="F103" s="1858">
        <v>0.05</v>
      </c>
    </row>
    <row r="104" spans="1:6" ht="15" thickBot="1">
      <c r="A104" s="1852" t="s">
        <v>1404</v>
      </c>
      <c r="B104" s="1856" t="s">
        <v>2099</v>
      </c>
      <c r="C104" s="1866"/>
      <c r="D104" s="1866"/>
      <c r="E104" s="1866"/>
      <c r="F104" s="1858">
        <v>0.05</v>
      </c>
    </row>
    <row r="105" spans="1:6" ht="24.6" thickBot="1">
      <c r="A105" s="1852" t="s">
        <v>1404</v>
      </c>
      <c r="B105" s="1856" t="s">
        <v>2100</v>
      </c>
      <c r="C105" s="1866"/>
      <c r="D105" s="1866"/>
      <c r="E105" s="1866"/>
      <c r="F105" s="1858">
        <v>0.05</v>
      </c>
    </row>
    <row r="106" spans="1:6" ht="24.6" thickBot="1">
      <c r="A106" s="1852" t="s">
        <v>1404</v>
      </c>
      <c r="B106" s="1856" t="s">
        <v>2101</v>
      </c>
      <c r="C106" s="1866"/>
      <c r="D106" s="1866"/>
      <c r="E106" s="1866"/>
      <c r="F106" s="1858">
        <v>0.05</v>
      </c>
    </row>
    <row r="107" spans="1:6" ht="24.6" thickBot="1">
      <c r="A107" s="1852" t="s">
        <v>1404</v>
      </c>
      <c r="B107" s="1856" t="s">
        <v>2102</v>
      </c>
      <c r="C107" s="1866"/>
      <c r="D107" s="1866"/>
      <c r="E107" s="1866"/>
      <c r="F107" s="1858">
        <v>0.05</v>
      </c>
    </row>
    <row r="108" spans="1:6" ht="24.6" thickBot="1">
      <c r="A108" s="1852" t="s">
        <v>1404</v>
      </c>
      <c r="B108" s="1856" t="s">
        <v>2103</v>
      </c>
      <c r="C108" s="1866"/>
      <c r="D108" s="1866"/>
      <c r="E108" s="1866"/>
      <c r="F108" s="1858">
        <v>0.05</v>
      </c>
    </row>
    <row r="109" spans="1:6" ht="24.6" thickBot="1">
      <c r="A109" s="1860" t="s">
        <v>1404</v>
      </c>
      <c r="B109" s="1867" t="s">
        <v>2104</v>
      </c>
      <c r="C109" s="1863"/>
      <c r="D109" s="1863"/>
      <c r="E109" s="1863"/>
      <c r="F109" s="1868">
        <v>0.05</v>
      </c>
    </row>
    <row r="110" spans="1:6" ht="15" thickBot="1">
      <c r="A110" s="1852" t="s">
        <v>1406</v>
      </c>
      <c r="B110" s="1853" t="s">
        <v>2105</v>
      </c>
      <c r="C110" s="1854">
        <v>0.129</v>
      </c>
      <c r="D110" s="1854">
        <v>0.129</v>
      </c>
      <c r="E110" s="1854">
        <v>0.126</v>
      </c>
      <c r="F110" s="1855">
        <v>0.13</v>
      </c>
    </row>
    <row r="111" spans="1:6" ht="15" thickBot="1">
      <c r="A111" s="1852" t="s">
        <v>1406</v>
      </c>
      <c r="B111" s="1856" t="s">
        <v>1072</v>
      </c>
      <c r="C111" s="1857">
        <v>0.11</v>
      </c>
      <c r="D111" s="1857">
        <v>0.11</v>
      </c>
      <c r="E111" s="1857">
        <v>9.9000000000000005E-2</v>
      </c>
      <c r="F111" s="1858">
        <v>0.128</v>
      </c>
    </row>
    <row r="112" spans="1:6" ht="15" thickBot="1">
      <c r="A112" s="1852" t="s">
        <v>1406</v>
      </c>
      <c r="B112" s="1856" t="s">
        <v>1086</v>
      </c>
      <c r="C112" s="1857">
        <v>0.125</v>
      </c>
      <c r="D112" s="1857">
        <v>0.125</v>
      </c>
      <c r="E112" s="1857">
        <v>0.12</v>
      </c>
      <c r="F112" s="1858">
        <v>0.125</v>
      </c>
    </row>
    <row r="113" spans="1:6" ht="15" thickBot="1">
      <c r="A113" s="1852" t="s">
        <v>1406</v>
      </c>
      <c r="B113" s="1856" t="s">
        <v>1099</v>
      </c>
      <c r="C113" s="1857">
        <v>0.13</v>
      </c>
      <c r="D113" s="1857">
        <v>0.13</v>
      </c>
      <c r="E113" s="1857">
        <v>0.13</v>
      </c>
      <c r="F113" s="1858">
        <v>0.13</v>
      </c>
    </row>
    <row r="114" spans="1:6" ht="15" thickBot="1">
      <c r="A114" s="1852" t="s">
        <v>1406</v>
      </c>
      <c r="B114" s="1856" t="s">
        <v>1113</v>
      </c>
      <c r="C114" s="1857">
        <v>0.123</v>
      </c>
      <c r="D114" s="1857">
        <v>0.123</v>
      </c>
      <c r="E114" s="1857">
        <v>0.12</v>
      </c>
      <c r="F114" s="1858">
        <v>0.13</v>
      </c>
    </row>
    <row r="115" spans="1:6" ht="15" thickBot="1">
      <c r="A115" s="1852" t="s">
        <v>1406</v>
      </c>
      <c r="B115" s="1856" t="s">
        <v>1124</v>
      </c>
      <c r="C115" s="1857">
        <v>0.125</v>
      </c>
      <c r="D115" s="1857">
        <v>0.125</v>
      </c>
      <c r="E115" s="1857">
        <v>0.11700000000000001</v>
      </c>
      <c r="F115" s="1858">
        <v>0.13</v>
      </c>
    </row>
    <row r="116" spans="1:6" ht="15" thickBot="1">
      <c r="A116" s="1852" t="s">
        <v>1406</v>
      </c>
      <c r="B116" s="1856" t="s">
        <v>1135</v>
      </c>
      <c r="C116" s="1857">
        <v>0.11700000000000001</v>
      </c>
      <c r="D116" s="1857">
        <v>0.11700000000000001</v>
      </c>
      <c r="E116" s="1857">
        <v>8.7999999999999995E-2</v>
      </c>
      <c r="F116" s="1858">
        <v>0.13</v>
      </c>
    </row>
    <row r="117" spans="1:6" ht="15" thickBot="1">
      <c r="A117" s="1852" t="s">
        <v>1406</v>
      </c>
      <c r="B117" s="1856" t="s">
        <v>1146</v>
      </c>
      <c r="C117" s="1857">
        <v>0.13</v>
      </c>
      <c r="D117" s="1857">
        <v>0.13</v>
      </c>
      <c r="E117" s="1857">
        <v>0.129</v>
      </c>
      <c r="F117" s="1858">
        <v>0.13</v>
      </c>
    </row>
    <row r="118" spans="1:6" ht="15" thickBot="1">
      <c r="A118" s="1852" t="s">
        <v>1406</v>
      </c>
      <c r="B118" s="1856" t="s">
        <v>1158</v>
      </c>
      <c r="C118" s="1857">
        <v>0.123</v>
      </c>
      <c r="D118" s="1857">
        <v>0.123</v>
      </c>
      <c r="E118" s="1857">
        <v>0.11600000000000001</v>
      </c>
      <c r="F118" s="1858">
        <v>0.13</v>
      </c>
    </row>
    <row r="119" spans="1:6" ht="15" thickBot="1">
      <c r="A119" s="1852" t="s">
        <v>1406</v>
      </c>
      <c r="B119" s="1856" t="s">
        <v>1168</v>
      </c>
      <c r="C119" s="1857">
        <v>0.127</v>
      </c>
      <c r="D119" s="1857">
        <v>0.127</v>
      </c>
      <c r="E119" s="1857">
        <v>0.124</v>
      </c>
      <c r="F119" s="1858">
        <v>0.13</v>
      </c>
    </row>
    <row r="120" spans="1:6" ht="15" thickBot="1">
      <c r="A120" s="1852" t="s">
        <v>1406</v>
      </c>
      <c r="B120" s="1856" t="s">
        <v>1178</v>
      </c>
      <c r="C120" s="1857">
        <v>0.125</v>
      </c>
      <c r="D120" s="1857">
        <v>0.125</v>
      </c>
      <c r="E120" s="1857">
        <v>0.122</v>
      </c>
      <c r="F120" s="1858">
        <v>0.13</v>
      </c>
    </row>
    <row r="121" spans="1:6" ht="15" thickBot="1">
      <c r="A121" s="1852" t="s">
        <v>1406</v>
      </c>
      <c r="B121" s="1856" t="s">
        <v>1188</v>
      </c>
      <c r="C121" s="1857">
        <v>0.13</v>
      </c>
      <c r="D121" s="1857">
        <v>0.13</v>
      </c>
      <c r="E121" s="1857">
        <v>0.13</v>
      </c>
      <c r="F121" s="1858">
        <v>0.13</v>
      </c>
    </row>
    <row r="122" spans="1:6" ht="15" thickBot="1">
      <c r="A122" s="1852" t="s">
        <v>1406</v>
      </c>
      <c r="B122" s="1856" t="s">
        <v>1198</v>
      </c>
      <c r="C122" s="1857">
        <v>0.13</v>
      </c>
      <c r="D122" s="1857">
        <v>0.13</v>
      </c>
      <c r="E122" s="1857">
        <v>0.125</v>
      </c>
      <c r="F122" s="1858">
        <v>0.13</v>
      </c>
    </row>
    <row r="123" spans="1:6" ht="15" thickBot="1">
      <c r="A123" s="1852" t="s">
        <v>1406</v>
      </c>
      <c r="B123" s="1856" t="s">
        <v>1208</v>
      </c>
      <c r="C123" s="1857">
        <v>0.129</v>
      </c>
      <c r="D123" s="1857">
        <v>0.129</v>
      </c>
      <c r="E123" s="1857">
        <v>0.123</v>
      </c>
      <c r="F123" s="1858">
        <v>0.13</v>
      </c>
    </row>
    <row r="124" spans="1:6" ht="15" thickBot="1">
      <c r="A124" s="1852" t="s">
        <v>1406</v>
      </c>
      <c r="B124" s="1856" t="s">
        <v>1218</v>
      </c>
      <c r="C124" s="1857">
        <v>0.10199999999999999</v>
      </c>
      <c r="D124" s="1857">
        <v>0.10100000000000001</v>
      </c>
      <c r="E124" s="1857">
        <v>0.08</v>
      </c>
      <c r="F124" s="1865"/>
    </row>
    <row r="125" spans="1:6" ht="15" thickBot="1">
      <c r="A125" s="1852" t="s">
        <v>1406</v>
      </c>
      <c r="B125" s="1856" t="s">
        <v>1228</v>
      </c>
      <c r="C125" s="1857">
        <v>0.13</v>
      </c>
      <c r="D125" s="1857">
        <v>0.13</v>
      </c>
      <c r="E125" s="1857">
        <v>0.129</v>
      </c>
      <c r="F125" s="1865"/>
    </row>
    <row r="126" spans="1:6" ht="15" thickBot="1">
      <c r="A126" s="1852" t="s">
        <v>1406</v>
      </c>
      <c r="B126" s="1856" t="s">
        <v>1238</v>
      </c>
      <c r="C126" s="1857">
        <v>0.13</v>
      </c>
      <c r="D126" s="1857">
        <v>0.13</v>
      </c>
      <c r="E126" s="1857">
        <v>0.126</v>
      </c>
      <c r="F126" s="1865"/>
    </row>
    <row r="127" spans="1:6" ht="15" thickBot="1">
      <c r="A127" s="1852" t="s">
        <v>1406</v>
      </c>
      <c r="B127" s="1856" t="s">
        <v>1248</v>
      </c>
      <c r="C127" s="1857">
        <v>0.125</v>
      </c>
      <c r="D127" s="1857">
        <v>0.125</v>
      </c>
      <c r="E127" s="1857">
        <v>0.121</v>
      </c>
      <c r="F127" s="1865"/>
    </row>
    <row r="128" spans="1:6" ht="15" thickBot="1">
      <c r="A128" s="1852" t="s">
        <v>1406</v>
      </c>
      <c r="B128" s="1856" t="s">
        <v>1258</v>
      </c>
      <c r="C128" s="1857">
        <v>0.12</v>
      </c>
      <c r="D128" s="1857">
        <v>0.12</v>
      </c>
      <c r="E128" s="1857">
        <v>0.105</v>
      </c>
      <c r="F128" s="1865"/>
    </row>
    <row r="129" spans="1:6" ht="15" thickBot="1">
      <c r="A129" s="1852" t="s">
        <v>1406</v>
      </c>
      <c r="B129" s="1856" t="s">
        <v>1267</v>
      </c>
      <c r="C129" s="1857">
        <v>0.13</v>
      </c>
      <c r="D129" s="1857">
        <v>0.13</v>
      </c>
      <c r="E129" s="1857">
        <v>0.126</v>
      </c>
      <c r="F129" s="1865"/>
    </row>
    <row r="130" spans="1:6" ht="15" thickBot="1">
      <c r="A130" s="1852" t="s">
        <v>1406</v>
      </c>
      <c r="B130" s="1856" t="s">
        <v>1276</v>
      </c>
      <c r="C130" s="1857">
        <v>0.125</v>
      </c>
      <c r="D130" s="1857">
        <v>0.125</v>
      </c>
      <c r="E130" s="1857">
        <v>0.122</v>
      </c>
      <c r="F130" s="1865"/>
    </row>
    <row r="131" spans="1:6" ht="15" thickBot="1">
      <c r="A131" s="1852" t="s">
        <v>1406</v>
      </c>
      <c r="B131" s="1856" t="s">
        <v>1284</v>
      </c>
      <c r="C131" s="1857">
        <v>0.127</v>
      </c>
      <c r="D131" s="1857">
        <v>0.126</v>
      </c>
      <c r="E131" s="1857">
        <v>0.123</v>
      </c>
      <c r="F131" s="1865"/>
    </row>
    <row r="132" spans="1:6" ht="15" thickBot="1">
      <c r="A132" s="1852" t="s">
        <v>1406</v>
      </c>
      <c r="B132" s="1856" t="s">
        <v>1291</v>
      </c>
      <c r="C132" s="1857">
        <v>9.0999999999999998E-2</v>
      </c>
      <c r="D132" s="1857">
        <v>0.121</v>
      </c>
      <c r="E132" s="1857">
        <v>9.9000000000000005E-2</v>
      </c>
      <c r="F132" s="1865"/>
    </row>
    <row r="133" spans="1:6" ht="15" thickBot="1">
      <c r="A133" s="1852" t="s">
        <v>1406</v>
      </c>
      <c r="B133" s="1856" t="s">
        <v>1298</v>
      </c>
      <c r="C133" s="1857">
        <v>0.13</v>
      </c>
      <c r="D133" s="1857">
        <v>0.13</v>
      </c>
      <c r="E133" s="1857">
        <v>0.129</v>
      </c>
      <c r="F133" s="1865"/>
    </row>
    <row r="134" spans="1:6" ht="15" thickBot="1">
      <c r="A134" s="1852" t="s">
        <v>1406</v>
      </c>
      <c r="B134" s="1856" t="s">
        <v>2106</v>
      </c>
      <c r="C134" s="1857">
        <v>6.8000000000000005E-2</v>
      </c>
      <c r="D134" s="1857">
        <v>6.5000000000000002E-2</v>
      </c>
      <c r="E134" s="1857">
        <v>6.5000000000000002E-2</v>
      </c>
      <c r="F134" s="1858">
        <v>0.13</v>
      </c>
    </row>
    <row r="135" spans="1:6" ht="15" thickBot="1">
      <c r="A135" s="1852" t="s">
        <v>1406</v>
      </c>
      <c r="B135" s="1856" t="s">
        <v>1312</v>
      </c>
      <c r="C135" s="1857">
        <v>0.123</v>
      </c>
      <c r="D135" s="1857">
        <v>0.123</v>
      </c>
      <c r="E135" s="1857">
        <v>0.11</v>
      </c>
      <c r="F135" s="1865"/>
    </row>
    <row r="136" spans="1:6" ht="15" thickBot="1">
      <c r="A136" s="1852" t="s">
        <v>1406</v>
      </c>
      <c r="B136" s="1856" t="s">
        <v>1319</v>
      </c>
      <c r="C136" s="1857">
        <v>0.13</v>
      </c>
      <c r="D136" s="1857">
        <v>0.13</v>
      </c>
      <c r="E136" s="1857">
        <v>0.125</v>
      </c>
      <c r="F136" s="1865"/>
    </row>
    <row r="137" spans="1:6" ht="15" thickBot="1">
      <c r="A137" s="1852" t="s">
        <v>1406</v>
      </c>
      <c r="B137" s="1856" t="s">
        <v>1326</v>
      </c>
      <c r="C137" s="1857">
        <v>0.121</v>
      </c>
      <c r="D137" s="1857">
        <v>0.122</v>
      </c>
      <c r="E137" s="1857">
        <v>0.115</v>
      </c>
      <c r="F137" s="1865"/>
    </row>
    <row r="138" spans="1:6" ht="15" thickBot="1">
      <c r="A138" s="1852" t="s">
        <v>1406</v>
      </c>
      <c r="B138" s="1856" t="s">
        <v>2107</v>
      </c>
      <c r="C138" s="1857">
        <v>0.105</v>
      </c>
      <c r="D138" s="1857">
        <v>0.125</v>
      </c>
      <c r="E138" s="1857">
        <v>0.112</v>
      </c>
      <c r="F138" s="1865"/>
    </row>
    <row r="139" spans="1:6" ht="15" thickBot="1">
      <c r="A139" s="1852" t="s">
        <v>1406</v>
      </c>
      <c r="B139" s="1856" t="s">
        <v>2108</v>
      </c>
      <c r="C139" s="1857">
        <v>0.127</v>
      </c>
      <c r="D139" s="1857">
        <v>0.127</v>
      </c>
      <c r="E139" s="1857">
        <v>0.122</v>
      </c>
      <c r="F139" s="1858">
        <v>0.13</v>
      </c>
    </row>
    <row r="140" spans="1:6" ht="15" thickBot="1">
      <c r="A140" s="1852" t="s">
        <v>1406</v>
      </c>
      <c r="B140" s="1856" t="s">
        <v>2109</v>
      </c>
      <c r="C140" s="1857">
        <v>0.125</v>
      </c>
      <c r="D140" s="1857">
        <v>0.125</v>
      </c>
      <c r="E140" s="1857">
        <v>0.11899999999999999</v>
      </c>
      <c r="F140" s="1858">
        <v>0.13</v>
      </c>
    </row>
    <row r="141" spans="1:6" ht="15" thickBot="1">
      <c r="A141" s="1852" t="s">
        <v>1406</v>
      </c>
      <c r="B141" s="1856" t="s">
        <v>1345</v>
      </c>
      <c r="C141" s="1857">
        <v>0.125</v>
      </c>
      <c r="D141" s="1857">
        <v>0.125</v>
      </c>
      <c r="E141" s="1857">
        <v>0.11700000000000001</v>
      </c>
      <c r="F141" s="1865"/>
    </row>
    <row r="142" spans="1:6" ht="15" thickBot="1">
      <c r="A142" s="1852" t="s">
        <v>1406</v>
      </c>
      <c r="B142" s="1856" t="s">
        <v>1350</v>
      </c>
      <c r="C142" s="1857">
        <v>0.125</v>
      </c>
      <c r="D142" s="1857">
        <v>0.125</v>
      </c>
      <c r="E142" s="1857">
        <v>0.115</v>
      </c>
      <c r="F142" s="1865"/>
    </row>
    <row r="143" spans="1:6" ht="15" thickBot="1">
      <c r="A143" s="1852" t="s">
        <v>1406</v>
      </c>
      <c r="B143" s="1856" t="s">
        <v>1355</v>
      </c>
      <c r="C143" s="1857">
        <v>0.121</v>
      </c>
      <c r="D143" s="1857">
        <v>0.121</v>
      </c>
      <c r="E143" s="1857">
        <v>0.108</v>
      </c>
      <c r="F143" s="1865"/>
    </row>
    <row r="144" spans="1:6" ht="15" thickBot="1">
      <c r="A144" s="1852" t="s">
        <v>1406</v>
      </c>
      <c r="B144" s="1869" t="s">
        <v>2110</v>
      </c>
      <c r="C144" s="1870">
        <v>0.126</v>
      </c>
      <c r="D144" s="1870">
        <v>0.126</v>
      </c>
      <c r="E144" s="1870">
        <v>0.121</v>
      </c>
      <c r="F144" s="1865"/>
    </row>
    <row r="145" spans="1:6" ht="15" thickBot="1">
      <c r="A145" s="1860" t="s">
        <v>1406</v>
      </c>
      <c r="B145" s="1871" t="s">
        <v>2111</v>
      </c>
      <c r="C145" s="1872"/>
      <c r="D145" s="1872"/>
      <c r="E145" s="1872"/>
      <c r="F145" s="1873">
        <v>0.05</v>
      </c>
    </row>
    <row r="146" spans="1:6" ht="24.6" thickBot="1">
      <c r="A146" s="1874" t="s">
        <v>1406</v>
      </c>
      <c r="B146" s="1859" t="s">
        <v>2112</v>
      </c>
      <c r="C146" s="1866"/>
      <c r="D146" s="1866"/>
      <c r="E146" s="1866"/>
      <c r="F146" s="1875">
        <v>0.05</v>
      </c>
    </row>
    <row r="147" spans="1:6" ht="24.6" thickBot="1">
      <c r="A147" s="1852" t="s">
        <v>1406</v>
      </c>
      <c r="B147" s="1856" t="s">
        <v>2113</v>
      </c>
      <c r="C147" s="1866"/>
      <c r="D147" s="1866"/>
      <c r="E147" s="1866"/>
      <c r="F147" s="1858">
        <v>0.05</v>
      </c>
    </row>
    <row r="148" spans="1:6" ht="24.6" thickBot="1">
      <c r="A148" s="1852" t="s">
        <v>1406</v>
      </c>
      <c r="B148" s="1856" t="s">
        <v>2114</v>
      </c>
      <c r="C148" s="1866"/>
      <c r="D148" s="1866"/>
      <c r="E148" s="1866"/>
      <c r="F148" s="1858">
        <v>0.05</v>
      </c>
    </row>
    <row r="149" spans="1:6" ht="24.6" thickBot="1">
      <c r="A149" s="1852" t="s">
        <v>1406</v>
      </c>
      <c r="B149" s="1856" t="s">
        <v>2115</v>
      </c>
      <c r="C149" s="1866"/>
      <c r="D149" s="1866"/>
      <c r="E149" s="1866"/>
      <c r="F149" s="1858">
        <v>0.05</v>
      </c>
    </row>
    <row r="150" spans="1:6" ht="24.6" thickBot="1">
      <c r="A150" s="1852" t="s">
        <v>1406</v>
      </c>
      <c r="B150" s="1856" t="s">
        <v>2116</v>
      </c>
      <c r="C150" s="1866"/>
      <c r="D150" s="1866"/>
      <c r="E150" s="1866"/>
      <c r="F150" s="1858">
        <v>0.05</v>
      </c>
    </row>
    <row r="151" spans="1:6" ht="24.6" thickBot="1">
      <c r="A151" s="1852" t="s">
        <v>1406</v>
      </c>
      <c r="B151" s="1856" t="s">
        <v>2117</v>
      </c>
      <c r="C151" s="1866"/>
      <c r="D151" s="1866"/>
      <c r="E151" s="1866"/>
      <c r="F151" s="1858">
        <v>0.05</v>
      </c>
    </row>
    <row r="152" spans="1:6" ht="24.6" thickBot="1">
      <c r="A152" s="1852" t="s">
        <v>1406</v>
      </c>
      <c r="B152" s="1856" t="s">
        <v>1388</v>
      </c>
      <c r="C152" s="1866"/>
      <c r="D152" s="1866"/>
      <c r="E152" s="1866"/>
      <c r="F152" s="1858">
        <v>0.05</v>
      </c>
    </row>
    <row r="153" spans="1:6" ht="15" thickBot="1">
      <c r="A153" s="1852" t="s">
        <v>1406</v>
      </c>
      <c r="B153" s="1856" t="s">
        <v>2118</v>
      </c>
      <c r="C153" s="1866"/>
      <c r="D153" s="1866"/>
      <c r="E153" s="1866"/>
      <c r="F153" s="1858">
        <v>0.05</v>
      </c>
    </row>
    <row r="154" spans="1:6" ht="15" thickBot="1">
      <c r="A154" s="1852" t="s">
        <v>1406</v>
      </c>
      <c r="B154" s="1856" t="s">
        <v>2119</v>
      </c>
      <c r="C154" s="1866"/>
      <c r="D154" s="1866"/>
      <c r="E154" s="1866"/>
      <c r="F154" s="1858">
        <v>0.05</v>
      </c>
    </row>
    <row r="155" spans="1:6" ht="24.6" thickBot="1">
      <c r="A155" s="1852" t="s">
        <v>1406</v>
      </c>
      <c r="B155" s="1856" t="s">
        <v>2120</v>
      </c>
      <c r="C155" s="1866"/>
      <c r="D155" s="1866"/>
      <c r="E155" s="1866"/>
      <c r="F155" s="1858">
        <v>0.05</v>
      </c>
    </row>
    <row r="156" spans="1:6" ht="24.6" thickBot="1">
      <c r="A156" s="1852" t="s">
        <v>1406</v>
      </c>
      <c r="B156" s="1856" t="s">
        <v>2121</v>
      </c>
      <c r="C156" s="1866"/>
      <c r="D156" s="1866"/>
      <c r="E156" s="1866"/>
      <c r="F156" s="1858">
        <v>0.05</v>
      </c>
    </row>
    <row r="157" spans="1:6" ht="24.6" thickBot="1">
      <c r="A157" s="1860" t="s">
        <v>1406</v>
      </c>
      <c r="B157" s="1867" t="s">
        <v>2122</v>
      </c>
      <c r="C157" s="1863"/>
      <c r="D157" s="1863"/>
      <c r="E157" s="1863"/>
      <c r="F157" s="1868">
        <v>0.05</v>
      </c>
    </row>
    <row r="158" spans="1:6" ht="15" thickBot="1">
      <c r="A158" s="1852" t="s">
        <v>1408</v>
      </c>
      <c r="B158" s="1853" t="s">
        <v>2123</v>
      </c>
      <c r="C158" s="1854">
        <v>0.13</v>
      </c>
      <c r="D158" s="1854">
        <v>0.13</v>
      </c>
      <c r="E158" s="1854">
        <v>0.13</v>
      </c>
      <c r="F158" s="1855">
        <v>0.13</v>
      </c>
    </row>
    <row r="159" spans="1:6" ht="15" thickBot="1">
      <c r="A159" s="1852" t="s">
        <v>1408</v>
      </c>
      <c r="B159" s="1856" t="s">
        <v>1073</v>
      </c>
      <c r="C159" s="1857">
        <v>0.13</v>
      </c>
      <c r="D159" s="1857">
        <v>0.13</v>
      </c>
      <c r="E159" s="1857">
        <v>0.13</v>
      </c>
      <c r="F159" s="1858">
        <v>0.13</v>
      </c>
    </row>
    <row r="160" spans="1:6" ht="15" thickBot="1">
      <c r="A160" s="1852" t="s">
        <v>1408</v>
      </c>
      <c r="B160" s="1856" t="s">
        <v>1087</v>
      </c>
      <c r="C160" s="1857">
        <v>0.13</v>
      </c>
      <c r="D160" s="1857">
        <v>0.13</v>
      </c>
      <c r="E160" s="1857">
        <v>0.129</v>
      </c>
      <c r="F160" s="1858">
        <v>0.13</v>
      </c>
    </row>
    <row r="161" spans="1:6" ht="15" thickBot="1">
      <c r="A161" s="1852" t="s">
        <v>1408</v>
      </c>
      <c r="B161" s="1856" t="s">
        <v>1100</v>
      </c>
      <c r="C161" s="1857">
        <v>0.128</v>
      </c>
      <c r="D161" s="1857">
        <v>0.128</v>
      </c>
      <c r="E161" s="1857">
        <v>0.125</v>
      </c>
      <c r="F161" s="1858">
        <v>0.13</v>
      </c>
    </row>
    <row r="162" spans="1:6" ht="15" thickBot="1">
      <c r="A162" s="1852" t="s">
        <v>1408</v>
      </c>
      <c r="B162" s="1856" t="s">
        <v>1114</v>
      </c>
      <c r="C162" s="1857">
        <v>0.122</v>
      </c>
      <c r="D162" s="1857">
        <v>0.122</v>
      </c>
      <c r="E162" s="1857">
        <v>0.126</v>
      </c>
      <c r="F162" s="1858">
        <v>0.122</v>
      </c>
    </row>
    <row r="163" spans="1:6" ht="15" thickBot="1">
      <c r="A163" s="1852" t="s">
        <v>1408</v>
      </c>
      <c r="B163" s="1856" t="s">
        <v>1125</v>
      </c>
      <c r="C163" s="1857">
        <v>0.13</v>
      </c>
      <c r="D163" s="1857">
        <v>0.13</v>
      </c>
      <c r="E163" s="1857">
        <v>0.125</v>
      </c>
      <c r="F163" s="1858">
        <v>0.13</v>
      </c>
    </row>
    <row r="164" spans="1:6" ht="15" thickBot="1">
      <c r="A164" s="1852" t="s">
        <v>1408</v>
      </c>
      <c r="B164" s="1856" t="s">
        <v>1136</v>
      </c>
      <c r="C164" s="1857">
        <v>0.13</v>
      </c>
      <c r="D164" s="1857">
        <v>0.13</v>
      </c>
      <c r="E164" s="1857">
        <v>0.13</v>
      </c>
      <c r="F164" s="1858">
        <v>0.13</v>
      </c>
    </row>
    <row r="165" spans="1:6" ht="15" thickBot="1">
      <c r="A165" s="1852" t="s">
        <v>1408</v>
      </c>
      <c r="B165" s="1856" t="s">
        <v>1147</v>
      </c>
      <c r="C165" s="1857">
        <v>0.13</v>
      </c>
      <c r="D165" s="1857">
        <v>0.13</v>
      </c>
      <c r="E165" s="1857">
        <v>0.124</v>
      </c>
      <c r="F165" s="1858">
        <v>0.13</v>
      </c>
    </row>
    <row r="166" spans="1:6" ht="15" thickBot="1">
      <c r="A166" s="1852" t="s">
        <v>1408</v>
      </c>
      <c r="B166" s="1856" t="s">
        <v>1159</v>
      </c>
      <c r="C166" s="1857">
        <v>0.13</v>
      </c>
      <c r="D166" s="1857">
        <v>0.13</v>
      </c>
      <c r="E166" s="1857">
        <v>0.13</v>
      </c>
      <c r="F166" s="1858">
        <v>0.13</v>
      </c>
    </row>
    <row r="167" spans="1:6" ht="15" thickBot="1">
      <c r="A167" s="1852" t="s">
        <v>1408</v>
      </c>
      <c r="B167" s="1856" t="s">
        <v>1169</v>
      </c>
      <c r="C167" s="1857">
        <v>0.125</v>
      </c>
      <c r="D167" s="1857">
        <v>0.125</v>
      </c>
      <c r="E167" s="1857">
        <v>0.121</v>
      </c>
      <c r="F167" s="1865"/>
    </row>
    <row r="168" spans="1:6" ht="15" thickBot="1">
      <c r="A168" s="1852" t="s">
        <v>1408</v>
      </c>
      <c r="B168" s="1856" t="s">
        <v>1179</v>
      </c>
      <c r="C168" s="1857">
        <v>0.13</v>
      </c>
      <c r="D168" s="1857">
        <v>0.13</v>
      </c>
      <c r="E168" s="1857">
        <v>0.126</v>
      </c>
      <c r="F168" s="1865"/>
    </row>
    <row r="169" spans="1:6" ht="15" thickBot="1">
      <c r="A169" s="1852" t="s">
        <v>1408</v>
      </c>
      <c r="B169" s="1856" t="s">
        <v>1189</v>
      </c>
      <c r="C169" s="1857">
        <v>0.128</v>
      </c>
      <c r="D169" s="1857">
        <v>0.129</v>
      </c>
      <c r="E169" s="1857">
        <v>0.13</v>
      </c>
      <c r="F169" s="1865"/>
    </row>
    <row r="170" spans="1:6" ht="15" thickBot="1">
      <c r="A170" s="1852" t="s">
        <v>1408</v>
      </c>
      <c r="B170" s="1856" t="s">
        <v>1199</v>
      </c>
      <c r="C170" s="1857">
        <v>0.14099999999999999</v>
      </c>
      <c r="D170" s="1857">
        <v>0.13</v>
      </c>
      <c r="E170" s="1857">
        <v>0.125</v>
      </c>
      <c r="F170" s="1865"/>
    </row>
    <row r="171" spans="1:6" ht="15" thickBot="1">
      <c r="A171" s="1852" t="s">
        <v>1408</v>
      </c>
      <c r="B171" s="1856" t="s">
        <v>2124</v>
      </c>
      <c r="C171" s="1857">
        <v>0.127</v>
      </c>
      <c r="D171" s="1857">
        <v>0.126</v>
      </c>
      <c r="E171" s="1857">
        <v>0.126</v>
      </c>
      <c r="F171" s="1858">
        <v>0.11799999999999999</v>
      </c>
    </row>
    <row r="172" spans="1:6" ht="15" thickBot="1">
      <c r="A172" s="1852" t="s">
        <v>1408</v>
      </c>
      <c r="B172" s="1856" t="s">
        <v>2125</v>
      </c>
      <c r="C172" s="1857">
        <v>0.13</v>
      </c>
      <c r="D172" s="1857">
        <v>0.13</v>
      </c>
      <c r="E172" s="1857">
        <v>0.13</v>
      </c>
      <c r="F172" s="1865"/>
    </row>
    <row r="173" spans="1:6" ht="15" thickBot="1">
      <c r="A173" s="1852" t="s">
        <v>1408</v>
      </c>
      <c r="B173" s="1856" t="s">
        <v>1229</v>
      </c>
      <c r="C173" s="1857">
        <v>0.13</v>
      </c>
      <c r="D173" s="1857">
        <v>0.13</v>
      </c>
      <c r="E173" s="1857">
        <v>0.13</v>
      </c>
      <c r="F173" s="1865"/>
    </row>
    <row r="174" spans="1:6" ht="15" thickBot="1">
      <c r="A174" s="1852" t="s">
        <v>1408</v>
      </c>
      <c r="B174" s="1856" t="s">
        <v>2126</v>
      </c>
      <c r="C174" s="1857">
        <v>0.13</v>
      </c>
      <c r="D174" s="1857">
        <v>0.13</v>
      </c>
      <c r="E174" s="1857">
        <v>0.13</v>
      </c>
      <c r="F174" s="1858">
        <v>0.13</v>
      </c>
    </row>
    <row r="175" spans="1:6" ht="15" thickBot="1">
      <c r="A175" s="1852" t="s">
        <v>1408</v>
      </c>
      <c r="B175" s="1856" t="s">
        <v>2127</v>
      </c>
      <c r="C175" s="1857">
        <v>0.13</v>
      </c>
      <c r="D175" s="1857">
        <v>0.13</v>
      </c>
      <c r="E175" s="1857">
        <v>0.13</v>
      </c>
      <c r="F175" s="1858">
        <v>0.13</v>
      </c>
    </row>
    <row r="176" spans="1:6" ht="15" thickBot="1">
      <c r="A176" s="1852" t="s">
        <v>1408</v>
      </c>
      <c r="B176" s="1856" t="s">
        <v>1259</v>
      </c>
      <c r="C176" s="1857">
        <v>0.13</v>
      </c>
      <c r="D176" s="1857">
        <v>0.13</v>
      </c>
      <c r="E176" s="1857">
        <v>0.13</v>
      </c>
      <c r="F176" s="1858">
        <v>0.13</v>
      </c>
    </row>
    <row r="177" spans="1:6" ht="15" thickBot="1">
      <c r="A177" s="1852" t="s">
        <v>1408</v>
      </c>
      <c r="B177" s="1856" t="s">
        <v>2128</v>
      </c>
      <c r="C177" s="1857">
        <v>0.13</v>
      </c>
      <c r="D177" s="1857">
        <v>0.13</v>
      </c>
      <c r="E177" s="1857">
        <v>0.13</v>
      </c>
      <c r="F177" s="1858">
        <v>0.13</v>
      </c>
    </row>
    <row r="178" spans="1:6" ht="15" thickBot="1">
      <c r="A178" s="1852" t="s">
        <v>1408</v>
      </c>
      <c r="B178" s="1856" t="s">
        <v>1277</v>
      </c>
      <c r="C178" s="1857">
        <v>0.13</v>
      </c>
      <c r="D178" s="1857">
        <v>0.13</v>
      </c>
      <c r="E178" s="1857">
        <v>0.13</v>
      </c>
      <c r="F178" s="1858">
        <v>0.127</v>
      </c>
    </row>
    <row r="179" spans="1:6" ht="15" thickBot="1">
      <c r="A179" s="1852" t="s">
        <v>1408</v>
      </c>
      <c r="B179" s="1856" t="s">
        <v>1285</v>
      </c>
      <c r="C179" s="1857">
        <v>0.13</v>
      </c>
      <c r="D179" s="1857">
        <v>0.13</v>
      </c>
      <c r="E179" s="1857">
        <v>0.13</v>
      </c>
      <c r="F179" s="1865"/>
    </row>
    <row r="180" spans="1:6" ht="15" thickBot="1">
      <c r="A180" s="1852" t="s">
        <v>1408</v>
      </c>
      <c r="B180" s="1856" t="s">
        <v>2129</v>
      </c>
      <c r="C180" s="1857">
        <v>0.13</v>
      </c>
      <c r="D180" s="1857">
        <v>0.13</v>
      </c>
      <c r="E180" s="1857">
        <v>0.125</v>
      </c>
      <c r="F180" s="1858">
        <v>0.13</v>
      </c>
    </row>
    <row r="181" spans="1:6" ht="15" thickBot="1">
      <c r="A181" s="1852" t="s">
        <v>1408</v>
      </c>
      <c r="B181" s="1856" t="s">
        <v>1299</v>
      </c>
      <c r="C181" s="1857">
        <v>0.122</v>
      </c>
      <c r="D181" s="1857">
        <v>0.123</v>
      </c>
      <c r="E181" s="1857">
        <v>0.126</v>
      </c>
      <c r="F181" s="1858">
        <v>0.121</v>
      </c>
    </row>
    <row r="182" spans="1:6" ht="15" thickBot="1">
      <c r="A182" s="1852" t="s">
        <v>1408</v>
      </c>
      <c r="B182" s="1856" t="s">
        <v>1306</v>
      </c>
      <c r="C182" s="1857">
        <v>0.125</v>
      </c>
      <c r="D182" s="1857">
        <v>0.125</v>
      </c>
      <c r="E182" s="1857">
        <v>0.11700000000000001</v>
      </c>
      <c r="F182" s="1858">
        <v>0.13</v>
      </c>
    </row>
    <row r="183" spans="1:6" ht="15" thickBot="1">
      <c r="A183" s="1852" t="s">
        <v>1408</v>
      </c>
      <c r="B183" s="1856" t="s">
        <v>1313</v>
      </c>
      <c r="C183" s="1857">
        <v>0.127</v>
      </c>
      <c r="D183" s="1857">
        <v>0.127</v>
      </c>
      <c r="E183" s="1857">
        <v>0.128</v>
      </c>
      <c r="F183" s="1865"/>
    </row>
    <row r="184" spans="1:6" ht="15" thickBot="1">
      <c r="A184" s="1852" t="s">
        <v>1408</v>
      </c>
      <c r="B184" s="1856" t="s">
        <v>1320</v>
      </c>
      <c r="C184" s="1857">
        <v>0.125</v>
      </c>
      <c r="D184" s="1857">
        <v>0.125</v>
      </c>
      <c r="E184" s="1857">
        <v>0.127</v>
      </c>
      <c r="F184" s="1865"/>
    </row>
    <row r="185" spans="1:6" ht="15" thickBot="1">
      <c r="A185" s="1852" t="s">
        <v>1408</v>
      </c>
      <c r="B185" s="1856" t="s">
        <v>2130</v>
      </c>
      <c r="C185" s="1857">
        <v>0.127</v>
      </c>
      <c r="D185" s="1857">
        <v>0.127</v>
      </c>
      <c r="E185" s="1857">
        <v>0.128</v>
      </c>
      <c r="F185" s="1858">
        <v>0.13</v>
      </c>
    </row>
    <row r="186" spans="1:6" ht="24.6" thickBot="1">
      <c r="A186" s="1852" t="s">
        <v>1408</v>
      </c>
      <c r="B186" s="1856" t="s">
        <v>2131</v>
      </c>
      <c r="C186" s="1866"/>
      <c r="D186" s="1866"/>
      <c r="E186" s="1866"/>
      <c r="F186" s="1858">
        <v>0.05</v>
      </c>
    </row>
    <row r="187" spans="1:6" ht="15" thickBot="1">
      <c r="A187" s="1852" t="s">
        <v>1408</v>
      </c>
      <c r="B187" s="1856" t="s">
        <v>2132</v>
      </c>
      <c r="C187" s="1866"/>
      <c r="D187" s="1866"/>
      <c r="E187" s="1866"/>
      <c r="F187" s="1858">
        <v>0.05</v>
      </c>
    </row>
    <row r="188" spans="1:6" ht="24.6" thickBot="1">
      <c r="A188" s="1852" t="s">
        <v>1408</v>
      </c>
      <c r="B188" s="1856" t="s">
        <v>2133</v>
      </c>
      <c r="C188" s="1866"/>
      <c r="D188" s="1866"/>
      <c r="E188" s="1866"/>
      <c r="F188" s="1858">
        <v>0.05</v>
      </c>
    </row>
    <row r="189" spans="1:6" ht="24.6" thickBot="1">
      <c r="A189" s="1852" t="s">
        <v>1408</v>
      </c>
      <c r="B189" s="1856" t="s">
        <v>2134</v>
      </c>
      <c r="C189" s="1866"/>
      <c r="D189" s="1866"/>
      <c r="E189" s="1866"/>
      <c r="F189" s="1858">
        <v>0.05</v>
      </c>
    </row>
    <row r="190" spans="1:6" ht="24.6" thickBot="1">
      <c r="A190" s="1852" t="s">
        <v>1408</v>
      </c>
      <c r="B190" s="1856" t="s">
        <v>2135</v>
      </c>
      <c r="C190" s="1866"/>
      <c r="D190" s="1866"/>
      <c r="E190" s="1866"/>
      <c r="F190" s="1858">
        <v>0.05</v>
      </c>
    </row>
    <row r="191" spans="1:6" ht="24.6" thickBot="1">
      <c r="A191" s="1852" t="s">
        <v>1408</v>
      </c>
      <c r="B191" s="1856" t="s">
        <v>2136</v>
      </c>
      <c r="C191" s="1866"/>
      <c r="D191" s="1866"/>
      <c r="E191" s="1866"/>
      <c r="F191" s="1858">
        <v>0.05</v>
      </c>
    </row>
    <row r="192" spans="1:6" ht="24.6" thickBot="1">
      <c r="A192" s="1852" t="s">
        <v>1408</v>
      </c>
      <c r="B192" s="1856" t="s">
        <v>2137</v>
      </c>
      <c r="C192" s="1866"/>
      <c r="D192" s="1866"/>
      <c r="E192" s="1866"/>
      <c r="F192" s="1858">
        <v>0.05</v>
      </c>
    </row>
    <row r="193" spans="1:6" ht="24.6" thickBot="1">
      <c r="A193" s="1852" t="s">
        <v>1408</v>
      </c>
      <c r="B193" s="1856" t="s">
        <v>2138</v>
      </c>
      <c r="C193" s="1866"/>
      <c r="D193" s="1866"/>
      <c r="E193" s="1866"/>
      <c r="F193" s="1858">
        <v>0.05</v>
      </c>
    </row>
    <row r="194" spans="1:6" ht="24.6" thickBot="1">
      <c r="A194" s="1852" t="s">
        <v>1408</v>
      </c>
      <c r="B194" s="1856" t="s">
        <v>2139</v>
      </c>
      <c r="C194" s="1866"/>
      <c r="D194" s="1866"/>
      <c r="E194" s="1866"/>
      <c r="F194" s="1858">
        <v>0.05</v>
      </c>
    </row>
    <row r="195" spans="1:6" ht="15" thickBot="1">
      <c r="A195" s="1852" t="s">
        <v>1408</v>
      </c>
      <c r="B195" s="1856" t="s">
        <v>2140</v>
      </c>
      <c r="C195" s="1866"/>
      <c r="D195" s="1866"/>
      <c r="E195" s="1866"/>
      <c r="F195" s="1858">
        <v>0.05</v>
      </c>
    </row>
    <row r="196" spans="1:6" ht="24.6" thickBot="1">
      <c r="A196" s="1852" t="s">
        <v>1408</v>
      </c>
      <c r="B196" s="1856" t="s">
        <v>2141</v>
      </c>
      <c r="C196" s="1866"/>
      <c r="D196" s="1866"/>
      <c r="E196" s="1866"/>
      <c r="F196" s="1858">
        <v>0.05</v>
      </c>
    </row>
    <row r="197" spans="1:6" ht="24.6" thickBot="1">
      <c r="A197" s="1852" t="s">
        <v>1408</v>
      </c>
      <c r="B197" s="1856" t="s">
        <v>2142</v>
      </c>
      <c r="C197" s="1866"/>
      <c r="D197" s="1866"/>
      <c r="E197" s="1866"/>
      <c r="F197" s="1858">
        <v>0.05</v>
      </c>
    </row>
    <row r="198" spans="1:6" ht="24.6" thickBot="1">
      <c r="A198" s="1852" t="s">
        <v>1408</v>
      </c>
      <c r="B198" s="1856" t="s">
        <v>2143</v>
      </c>
      <c r="C198" s="1866"/>
      <c r="D198" s="1866"/>
      <c r="E198" s="1866"/>
      <c r="F198" s="1858">
        <v>0.05</v>
      </c>
    </row>
    <row r="199" spans="1:6" ht="24.6" thickBot="1">
      <c r="A199" s="1852" t="s">
        <v>1408</v>
      </c>
      <c r="B199" s="1856" t="s">
        <v>2144</v>
      </c>
      <c r="C199" s="1866"/>
      <c r="D199" s="1866"/>
      <c r="E199" s="1866"/>
      <c r="F199" s="1858">
        <v>0.05</v>
      </c>
    </row>
    <row r="200" spans="1:6" ht="24.6" thickBot="1">
      <c r="A200" s="1852" t="s">
        <v>1408</v>
      </c>
      <c r="B200" s="1856" t="s">
        <v>2145</v>
      </c>
      <c r="C200" s="1866"/>
      <c r="D200" s="1866"/>
      <c r="E200" s="1866"/>
      <c r="F200" s="1858">
        <v>0.05</v>
      </c>
    </row>
    <row r="201" spans="1:6" ht="24.6" thickBot="1">
      <c r="A201" s="1852" t="s">
        <v>1408</v>
      </c>
      <c r="B201" s="1856" t="s">
        <v>2146</v>
      </c>
      <c r="C201" s="1866"/>
      <c r="D201" s="1866"/>
      <c r="E201" s="1866"/>
      <c r="F201" s="1858">
        <v>0.05</v>
      </c>
    </row>
    <row r="202" spans="1:6" ht="24.6" thickBot="1">
      <c r="A202" s="1852" t="s">
        <v>1408</v>
      </c>
      <c r="B202" s="1856" t="s">
        <v>2147</v>
      </c>
      <c r="C202" s="1866"/>
      <c r="D202" s="1866"/>
      <c r="E202" s="1866"/>
      <c r="F202" s="1858">
        <v>0.05</v>
      </c>
    </row>
    <row r="203" spans="1:6" ht="24.6" thickBot="1">
      <c r="A203" s="1852" t="s">
        <v>1408</v>
      </c>
      <c r="B203" s="1856" t="s">
        <v>2148</v>
      </c>
      <c r="C203" s="1866"/>
      <c r="D203" s="1866"/>
      <c r="E203" s="1866"/>
      <c r="F203" s="1858">
        <v>0.05</v>
      </c>
    </row>
    <row r="204" spans="1:6" ht="15" thickBot="1">
      <c r="A204" s="1852" t="s">
        <v>1408</v>
      </c>
      <c r="B204" s="1856" t="s">
        <v>2149</v>
      </c>
      <c r="C204" s="1866"/>
      <c r="D204" s="1866"/>
      <c r="E204" s="1866"/>
      <c r="F204" s="1858">
        <v>0.05</v>
      </c>
    </row>
    <row r="205" spans="1:6" ht="15" thickBot="1">
      <c r="A205" s="1860" t="s">
        <v>1408</v>
      </c>
      <c r="B205" s="1867" t="s">
        <v>2150</v>
      </c>
      <c r="C205" s="1863"/>
      <c r="D205" s="1863"/>
      <c r="E205" s="1863"/>
      <c r="F205" s="1868">
        <v>0.05</v>
      </c>
    </row>
    <row r="206" spans="1:6" ht="15" thickBot="1">
      <c r="A206" s="1852" t="s">
        <v>1410</v>
      </c>
      <c r="B206" s="1853" t="s">
        <v>2151</v>
      </c>
      <c r="C206" s="1854">
        <v>0.15</v>
      </c>
      <c r="D206" s="1854">
        <v>0.15</v>
      </c>
      <c r="E206" s="1854">
        <v>0.15</v>
      </c>
      <c r="F206" s="1855">
        <v>0.15</v>
      </c>
    </row>
    <row r="207" spans="1:6" ht="15" thickBot="1">
      <c r="A207" s="1852" t="s">
        <v>1410</v>
      </c>
      <c r="B207" s="1856" t="s">
        <v>1074</v>
      </c>
      <c r="C207" s="1857">
        <v>0.15</v>
      </c>
      <c r="D207" s="1857">
        <v>0.15</v>
      </c>
      <c r="E207" s="1857">
        <v>0.15</v>
      </c>
      <c r="F207" s="1858">
        <v>0.14399999999999999</v>
      </c>
    </row>
    <row r="208" spans="1:6" ht="15" thickBot="1">
      <c r="A208" s="1852" t="s">
        <v>1410</v>
      </c>
      <c r="B208" s="1856" t="s">
        <v>1088</v>
      </c>
      <c r="C208" s="1857">
        <v>0.15</v>
      </c>
      <c r="D208" s="1857">
        <v>0.15</v>
      </c>
      <c r="E208" s="1857">
        <v>0.15</v>
      </c>
      <c r="F208" s="1858">
        <v>0.15</v>
      </c>
    </row>
    <row r="209" spans="1:6" ht="15" thickBot="1">
      <c r="A209" s="1852" t="s">
        <v>1410</v>
      </c>
      <c r="B209" s="1856" t="s">
        <v>1101</v>
      </c>
      <c r="C209" s="1857">
        <v>0.13700000000000001</v>
      </c>
      <c r="D209" s="1857">
        <v>0.13700000000000001</v>
      </c>
      <c r="E209" s="1857">
        <v>0.14000000000000001</v>
      </c>
      <c r="F209" s="1858">
        <v>0.11700000000000001</v>
      </c>
    </row>
    <row r="210" spans="1:6" ht="15" thickBot="1">
      <c r="A210" s="1852" t="s">
        <v>1410</v>
      </c>
      <c r="B210" s="1856" t="s">
        <v>2152</v>
      </c>
      <c r="C210" s="1857">
        <v>0.15</v>
      </c>
      <c r="D210" s="1857">
        <v>0.15</v>
      </c>
      <c r="E210" s="1857">
        <v>0.15</v>
      </c>
      <c r="F210" s="1858">
        <v>0.13800000000000001</v>
      </c>
    </row>
    <row r="211" spans="1:6" ht="15" thickBot="1">
      <c r="A211" s="1852" t="s">
        <v>1410</v>
      </c>
      <c r="B211" s="1856" t="s">
        <v>2153</v>
      </c>
      <c r="C211" s="1857">
        <v>0.13700000000000001</v>
      </c>
      <c r="D211" s="1857">
        <v>0.13500000000000001</v>
      </c>
      <c r="E211" s="1857">
        <v>0.13600000000000001</v>
      </c>
      <c r="F211" s="1858">
        <v>0.1</v>
      </c>
    </row>
    <row r="212" spans="1:6" ht="15" thickBot="1">
      <c r="A212" s="1852" t="s">
        <v>1410</v>
      </c>
      <c r="B212" s="1856" t="s">
        <v>2154</v>
      </c>
      <c r="C212" s="1857">
        <v>0.15</v>
      </c>
      <c r="D212" s="1857">
        <v>0.15</v>
      </c>
      <c r="E212" s="1857">
        <v>0.14799999999999999</v>
      </c>
      <c r="F212" s="1858">
        <v>0.13600000000000001</v>
      </c>
    </row>
    <row r="213" spans="1:6" ht="15" thickBot="1">
      <c r="A213" s="1852" t="s">
        <v>1410</v>
      </c>
      <c r="B213" s="1856" t="s">
        <v>1148</v>
      </c>
      <c r="C213" s="1857">
        <v>0.15</v>
      </c>
      <c r="D213" s="1857">
        <v>0.15</v>
      </c>
      <c r="E213" s="1857">
        <v>0.15</v>
      </c>
      <c r="F213" s="1858">
        <v>0.13800000000000001</v>
      </c>
    </row>
    <row r="214" spans="1:6" ht="15" thickBot="1">
      <c r="A214" s="1852" t="s">
        <v>1410</v>
      </c>
      <c r="B214" s="1856" t="s">
        <v>1160</v>
      </c>
      <c r="C214" s="1857">
        <v>9.0999999999999998E-2</v>
      </c>
      <c r="D214" s="1857">
        <v>0.09</v>
      </c>
      <c r="E214" s="1857">
        <v>9.1999999999999998E-2</v>
      </c>
      <c r="F214" s="1865"/>
    </row>
    <row r="215" spans="1:6" ht="15" thickBot="1">
      <c r="A215" s="1852" t="s">
        <v>1410</v>
      </c>
      <c r="B215" s="1856" t="s">
        <v>2155</v>
      </c>
      <c r="C215" s="1857">
        <v>0.15</v>
      </c>
      <c r="D215" s="1857">
        <v>0.15</v>
      </c>
      <c r="E215" s="1857">
        <v>0.15</v>
      </c>
      <c r="F215" s="1858">
        <v>0.15</v>
      </c>
    </row>
    <row r="216" spans="1:6" ht="15" thickBot="1">
      <c r="A216" s="1852" t="s">
        <v>1410</v>
      </c>
      <c r="B216" s="1856" t="s">
        <v>1180</v>
      </c>
      <c r="C216" s="1857">
        <v>0.14699999999999999</v>
      </c>
      <c r="D216" s="1857">
        <v>0.14699999999999999</v>
      </c>
      <c r="E216" s="1857">
        <v>0.15</v>
      </c>
      <c r="F216" s="1858">
        <v>0.14000000000000001</v>
      </c>
    </row>
    <row r="217" spans="1:6" ht="15" thickBot="1">
      <c r="A217" s="1852" t="s">
        <v>1410</v>
      </c>
      <c r="B217" s="1856" t="s">
        <v>1190</v>
      </c>
      <c r="C217" s="1857">
        <v>0.15</v>
      </c>
      <c r="D217" s="1857">
        <v>0.15</v>
      </c>
      <c r="E217" s="1857">
        <v>0.15</v>
      </c>
      <c r="F217" s="1858">
        <v>0.15</v>
      </c>
    </row>
    <row r="218" spans="1:6" ht="15" thickBot="1">
      <c r="A218" s="1852" t="s">
        <v>1410</v>
      </c>
      <c r="B218" s="1856" t="s">
        <v>2156</v>
      </c>
      <c r="C218" s="1857">
        <v>0.15</v>
      </c>
      <c r="D218" s="1857">
        <v>0.15</v>
      </c>
      <c r="E218" s="1857">
        <v>0.15</v>
      </c>
      <c r="F218" s="1858">
        <v>0.15</v>
      </c>
    </row>
    <row r="219" spans="1:6" ht="15" thickBot="1">
      <c r="A219" s="1852" t="s">
        <v>1410</v>
      </c>
      <c r="B219" s="1856" t="s">
        <v>1210</v>
      </c>
      <c r="C219" s="1857">
        <v>0.15</v>
      </c>
      <c r="D219" s="1857">
        <v>0.15</v>
      </c>
      <c r="E219" s="1857">
        <v>0.15</v>
      </c>
      <c r="F219" s="1858">
        <v>0.14799999999999999</v>
      </c>
    </row>
    <row r="220" spans="1:6" ht="15" thickBot="1">
      <c r="A220" s="1852" t="s">
        <v>1410</v>
      </c>
      <c r="B220" s="1856" t="s">
        <v>2157</v>
      </c>
      <c r="C220" s="1857">
        <v>0.15</v>
      </c>
      <c r="D220" s="1857">
        <v>0.15</v>
      </c>
      <c r="E220" s="1857">
        <v>0.15</v>
      </c>
      <c r="F220" s="1858">
        <v>0.15</v>
      </c>
    </row>
    <row r="221" spans="1:6" ht="15" thickBot="1">
      <c r="A221" s="1852" t="s">
        <v>1410</v>
      </c>
      <c r="B221" s="1856" t="s">
        <v>1230</v>
      </c>
      <c r="C221" s="1857"/>
      <c r="D221" s="1866"/>
      <c r="E221" s="1866"/>
      <c r="F221" s="1858">
        <v>0.14799999999999999</v>
      </c>
    </row>
    <row r="222" spans="1:6" ht="15" thickBot="1">
      <c r="A222" s="1852" t="s">
        <v>1410</v>
      </c>
      <c r="B222" s="1856" t="s">
        <v>1240</v>
      </c>
      <c r="C222" s="1857"/>
      <c r="D222" s="1866"/>
      <c r="E222" s="1866"/>
      <c r="F222" s="1858">
        <v>0.1</v>
      </c>
    </row>
    <row r="223" spans="1:6" ht="15" thickBot="1">
      <c r="A223" s="1852" t="s">
        <v>1410</v>
      </c>
      <c r="B223" s="1856" t="s">
        <v>1250</v>
      </c>
      <c r="C223" s="1857"/>
      <c r="D223" s="1866"/>
      <c r="E223" s="1866"/>
      <c r="F223" s="1858">
        <v>0.15</v>
      </c>
    </row>
    <row r="224" spans="1:6" ht="15" thickBot="1">
      <c r="A224" s="1852" t="s">
        <v>1410</v>
      </c>
      <c r="B224" s="1856" t="s">
        <v>1260</v>
      </c>
      <c r="C224" s="1857"/>
      <c r="D224" s="1866"/>
      <c r="E224" s="1866"/>
      <c r="F224" s="1858">
        <v>0.15</v>
      </c>
    </row>
    <row r="225" spans="1:6" ht="15" thickBot="1">
      <c r="A225" s="1852" t="s">
        <v>1410</v>
      </c>
      <c r="B225" s="1856" t="s">
        <v>2158</v>
      </c>
      <c r="C225" s="1857">
        <v>0.15</v>
      </c>
      <c r="D225" s="1857">
        <v>0.15</v>
      </c>
      <c r="E225" s="1857">
        <v>0.15</v>
      </c>
      <c r="F225" s="1858">
        <v>0.15</v>
      </c>
    </row>
    <row r="226" spans="1:6" ht="15" thickBot="1">
      <c r="A226" s="1852" t="s">
        <v>1410</v>
      </c>
      <c r="B226" s="1856" t="s">
        <v>1278</v>
      </c>
      <c r="C226" s="1857">
        <v>0.15</v>
      </c>
      <c r="D226" s="1857">
        <v>0.15</v>
      </c>
      <c r="E226" s="1857">
        <v>0.15</v>
      </c>
      <c r="F226" s="1858">
        <v>0.14799999999999999</v>
      </c>
    </row>
    <row r="227" spans="1:6" ht="15" thickBot="1">
      <c r="A227" s="1852" t="s">
        <v>1410</v>
      </c>
      <c r="B227" s="1856" t="s">
        <v>2159</v>
      </c>
      <c r="C227" s="1857">
        <v>0.15</v>
      </c>
      <c r="D227" s="1857">
        <v>0.15</v>
      </c>
      <c r="E227" s="1857">
        <v>0.15</v>
      </c>
      <c r="F227" s="1858">
        <v>0.15</v>
      </c>
    </row>
    <row r="228" spans="1:6" ht="15" thickBot="1">
      <c r="A228" s="1852" t="s">
        <v>1410</v>
      </c>
      <c r="B228" s="1856" t="s">
        <v>1293</v>
      </c>
      <c r="C228" s="1857">
        <v>0.15</v>
      </c>
      <c r="D228" s="1857">
        <v>0.15</v>
      </c>
      <c r="E228" s="1857">
        <v>0.15</v>
      </c>
      <c r="F228" s="1858">
        <v>0.15</v>
      </c>
    </row>
    <row r="229" spans="1:6" ht="15" thickBot="1">
      <c r="A229" s="1852" t="s">
        <v>1410</v>
      </c>
      <c r="B229" s="1856" t="s">
        <v>1300</v>
      </c>
      <c r="C229" s="1857">
        <v>0.15</v>
      </c>
      <c r="D229" s="1857">
        <v>0.15</v>
      </c>
      <c r="E229" s="1857">
        <v>0.15</v>
      </c>
      <c r="F229" s="1865"/>
    </row>
    <row r="230" spans="1:6" ht="15" thickBot="1">
      <c r="A230" s="1852" t="s">
        <v>1410</v>
      </c>
      <c r="B230" s="1856" t="s">
        <v>1307</v>
      </c>
      <c r="C230" s="1857">
        <v>0.14499999999999999</v>
      </c>
      <c r="D230" s="1857">
        <v>0.14499999999999999</v>
      </c>
      <c r="E230" s="1857">
        <v>0.14399999999999999</v>
      </c>
      <c r="F230" s="1865"/>
    </row>
    <row r="231" spans="1:6" ht="15" thickBot="1">
      <c r="A231" s="1852" t="s">
        <v>1410</v>
      </c>
      <c r="B231" s="1856" t="s">
        <v>2160</v>
      </c>
      <c r="C231" s="1857">
        <v>0.128</v>
      </c>
      <c r="D231" s="1857">
        <v>0.125</v>
      </c>
      <c r="E231" s="1857">
        <v>0.13200000000000001</v>
      </c>
      <c r="F231" s="1865"/>
    </row>
    <row r="232" spans="1:6" ht="15" thickBot="1">
      <c r="A232" s="1852" t="s">
        <v>1410</v>
      </c>
      <c r="B232" s="1856" t="s">
        <v>2161</v>
      </c>
      <c r="C232" s="1857">
        <v>0.14499999999999999</v>
      </c>
      <c r="D232" s="1857">
        <v>0.14399999999999999</v>
      </c>
      <c r="E232" s="1857">
        <v>0.14599999999999999</v>
      </c>
      <c r="F232" s="1858">
        <v>0.13800000000000001</v>
      </c>
    </row>
    <row r="233" spans="1:6" ht="15" thickBot="1">
      <c r="A233" s="1852" t="s">
        <v>1410</v>
      </c>
      <c r="B233" s="1856" t="s">
        <v>2162</v>
      </c>
      <c r="C233" s="1857">
        <v>0.14499999999999999</v>
      </c>
      <c r="D233" s="1857">
        <v>0.14299999999999999</v>
      </c>
      <c r="E233" s="1857">
        <v>0.14199999999999999</v>
      </c>
      <c r="F233" s="1865"/>
    </row>
    <row r="234" spans="1:6" ht="15" thickBot="1">
      <c r="A234" s="1852" t="s">
        <v>1410</v>
      </c>
      <c r="B234" s="1856" t="s">
        <v>2163</v>
      </c>
      <c r="C234" s="1857">
        <v>0.14000000000000001</v>
      </c>
      <c r="D234" s="1857">
        <v>0.14000000000000001</v>
      </c>
      <c r="E234" s="1857">
        <v>0.14399999999999999</v>
      </c>
      <c r="F234" s="1865"/>
    </row>
    <row r="235" spans="1:6" ht="15" thickBot="1">
      <c r="A235" s="1852" t="s">
        <v>1410</v>
      </c>
      <c r="B235" s="1856" t="s">
        <v>2164</v>
      </c>
      <c r="C235" s="1857">
        <v>0.14099999999999999</v>
      </c>
      <c r="D235" s="1857">
        <v>0.14199999999999999</v>
      </c>
      <c r="E235" s="1857">
        <v>0.14499999999999999</v>
      </c>
      <c r="F235" s="1858">
        <v>0.15</v>
      </c>
    </row>
    <row r="236" spans="1:6" ht="15" thickBot="1">
      <c r="A236" s="1852" t="s">
        <v>1410</v>
      </c>
      <c r="B236" s="1856" t="s">
        <v>1342</v>
      </c>
      <c r="C236" s="1866"/>
      <c r="D236" s="1866"/>
      <c r="E236" s="1866"/>
      <c r="F236" s="1858">
        <v>0.14299999999999999</v>
      </c>
    </row>
    <row r="237" spans="1:6" ht="24.6" thickBot="1">
      <c r="A237" s="1852" t="s">
        <v>1410</v>
      </c>
      <c r="B237" s="1856" t="s">
        <v>2165</v>
      </c>
      <c r="C237" s="1866"/>
      <c r="D237" s="1866"/>
      <c r="E237" s="1866"/>
      <c r="F237" s="1858">
        <v>0.05</v>
      </c>
    </row>
    <row r="238" spans="1:6" ht="24.6" thickBot="1">
      <c r="A238" s="1852" t="s">
        <v>1410</v>
      </c>
      <c r="B238" s="1856" t="s">
        <v>2166</v>
      </c>
      <c r="C238" s="1866"/>
      <c r="D238" s="1866"/>
      <c r="E238" s="1866"/>
      <c r="F238" s="1858">
        <v>0.05</v>
      </c>
    </row>
    <row r="239" spans="1:6" ht="24.6" thickBot="1">
      <c r="A239" s="1852" t="s">
        <v>1410</v>
      </c>
      <c r="B239" s="1856" t="s">
        <v>2167</v>
      </c>
      <c r="C239" s="1866"/>
      <c r="D239" s="1866"/>
      <c r="E239" s="1866"/>
      <c r="F239" s="1858">
        <v>0.05</v>
      </c>
    </row>
    <row r="240" spans="1:6" ht="24.6" thickBot="1">
      <c r="A240" s="1852" t="s">
        <v>1410</v>
      </c>
      <c r="B240" s="1856" t="s">
        <v>2168</v>
      </c>
      <c r="C240" s="1866"/>
      <c r="D240" s="1866"/>
      <c r="E240" s="1866"/>
      <c r="F240" s="1858">
        <v>0.05</v>
      </c>
    </row>
    <row r="241" spans="1:6" ht="24.6" thickBot="1">
      <c r="A241" s="1852" t="s">
        <v>1410</v>
      </c>
      <c r="B241" s="1856" t="s">
        <v>2169</v>
      </c>
      <c r="C241" s="1866"/>
      <c r="D241" s="1866"/>
      <c r="E241" s="1866"/>
      <c r="F241" s="1858">
        <v>0.05</v>
      </c>
    </row>
    <row r="242" spans="1:6" ht="24.6" thickBot="1">
      <c r="A242" s="1852" t="s">
        <v>1410</v>
      </c>
      <c r="B242" s="1856" t="s">
        <v>2170</v>
      </c>
      <c r="C242" s="1866"/>
      <c r="D242" s="1866"/>
      <c r="E242" s="1866"/>
      <c r="F242" s="1858">
        <v>0.05</v>
      </c>
    </row>
    <row r="243" spans="1:6" ht="24.6" thickBot="1">
      <c r="A243" s="1852" t="s">
        <v>1410</v>
      </c>
      <c r="B243" s="1856" t="s">
        <v>2171</v>
      </c>
      <c r="C243" s="1866"/>
      <c r="D243" s="1866"/>
      <c r="E243" s="1866"/>
      <c r="F243" s="1858">
        <v>0.05</v>
      </c>
    </row>
    <row r="244" spans="1:6" ht="24.6" thickBot="1">
      <c r="A244" s="1860" t="s">
        <v>1410</v>
      </c>
      <c r="B244" s="1867" t="s">
        <v>2172</v>
      </c>
      <c r="C244" s="1863"/>
      <c r="D244" s="1863"/>
      <c r="E244" s="1863"/>
      <c r="F244" s="1868">
        <v>0.05</v>
      </c>
    </row>
    <row r="245" spans="1:6" ht="15" thickBot="1">
      <c r="A245" s="1852" t="s">
        <v>1412</v>
      </c>
      <c r="B245" s="1853" t="s">
        <v>2173</v>
      </c>
      <c r="C245" s="1854">
        <v>0.15</v>
      </c>
      <c r="D245" s="1854">
        <v>0.15</v>
      </c>
      <c r="E245" s="1854">
        <v>0.15</v>
      </c>
      <c r="F245" s="1855">
        <v>0.14299999999999999</v>
      </c>
    </row>
    <row r="246" spans="1:6" ht="15" thickBot="1">
      <c r="A246" s="1852" t="s">
        <v>1412</v>
      </c>
      <c r="B246" s="1856" t="s">
        <v>1075</v>
      </c>
      <c r="C246" s="1857">
        <v>0.15</v>
      </c>
      <c r="D246" s="1857">
        <v>0.15</v>
      </c>
      <c r="E246" s="1857">
        <v>0.15</v>
      </c>
      <c r="F246" s="1858">
        <v>0.114</v>
      </c>
    </row>
    <row r="247" spans="1:6" ht="15" thickBot="1">
      <c r="A247" s="1852" t="s">
        <v>1412</v>
      </c>
      <c r="B247" s="1856" t="s">
        <v>2174</v>
      </c>
      <c r="C247" s="1857">
        <v>0.15</v>
      </c>
      <c r="D247" s="1857">
        <v>0.15</v>
      </c>
      <c r="E247" s="1857">
        <v>0.15</v>
      </c>
      <c r="F247" s="1858">
        <v>0.15</v>
      </c>
    </row>
    <row r="248" spans="1:6" ht="15" thickBot="1">
      <c r="A248" s="1852" t="s">
        <v>1412</v>
      </c>
      <c r="B248" s="1856" t="s">
        <v>2175</v>
      </c>
      <c r="C248" s="1857">
        <v>0.15</v>
      </c>
      <c r="D248" s="1857">
        <v>0.15</v>
      </c>
      <c r="E248" s="1857">
        <v>0.15</v>
      </c>
      <c r="F248" s="1858">
        <v>0.14000000000000001</v>
      </c>
    </row>
    <row r="249" spans="1:6" ht="15" thickBot="1">
      <c r="A249" s="1852" t="s">
        <v>1412</v>
      </c>
      <c r="B249" s="1856" t="s">
        <v>2176</v>
      </c>
      <c r="C249" s="1857">
        <v>0.15</v>
      </c>
      <c r="D249" s="1857">
        <v>0.14899999999999999</v>
      </c>
      <c r="E249" s="1857">
        <v>0.15</v>
      </c>
      <c r="F249" s="1858">
        <v>0.1</v>
      </c>
    </row>
    <row r="250" spans="1:6" ht="15" thickBot="1">
      <c r="A250" s="1852" t="s">
        <v>1412</v>
      </c>
      <c r="B250" s="1856" t="s">
        <v>2177</v>
      </c>
      <c r="C250" s="1857">
        <v>0.15</v>
      </c>
      <c r="D250" s="1857">
        <v>0.15</v>
      </c>
      <c r="E250" s="1857">
        <v>0.15</v>
      </c>
      <c r="F250" s="1858">
        <v>0.14399999999999999</v>
      </c>
    </row>
    <row r="251" spans="1:6" ht="15" thickBot="1">
      <c r="A251" s="1852" t="s">
        <v>1412</v>
      </c>
      <c r="B251" s="1856" t="s">
        <v>1138</v>
      </c>
      <c r="C251" s="1857">
        <v>0.15</v>
      </c>
      <c r="D251" s="1857">
        <v>0.15</v>
      </c>
      <c r="E251" s="1857">
        <v>0.15</v>
      </c>
      <c r="F251" s="1858">
        <v>0.14299999999999999</v>
      </c>
    </row>
    <row r="252" spans="1:6" ht="15" thickBot="1">
      <c r="A252" s="1852" t="s">
        <v>1412</v>
      </c>
      <c r="B252" s="1856" t="s">
        <v>1149</v>
      </c>
      <c r="C252" s="1857">
        <v>0.15</v>
      </c>
      <c r="D252" s="1857">
        <v>0.15</v>
      </c>
      <c r="E252" s="1857">
        <v>0.15</v>
      </c>
      <c r="F252" s="1858">
        <v>0.1</v>
      </c>
    </row>
    <row r="253" spans="1:6" ht="15" thickBot="1">
      <c r="A253" s="1852" t="s">
        <v>1412</v>
      </c>
      <c r="B253" s="1856" t="s">
        <v>1161</v>
      </c>
      <c r="C253" s="1857">
        <v>0.15</v>
      </c>
      <c r="D253" s="1857">
        <v>0.15</v>
      </c>
      <c r="E253" s="1857">
        <v>0.15</v>
      </c>
      <c r="F253" s="1858">
        <v>0.1</v>
      </c>
    </row>
    <row r="254" spans="1:6" ht="15" thickBot="1">
      <c r="A254" s="1852" t="s">
        <v>1412</v>
      </c>
      <c r="B254" s="1856" t="s">
        <v>1171</v>
      </c>
      <c r="C254" s="1866"/>
      <c r="D254" s="1866"/>
      <c r="E254" s="1866"/>
      <c r="F254" s="1858">
        <v>0.15</v>
      </c>
    </row>
    <row r="255" spans="1:6" ht="15" thickBot="1">
      <c r="A255" s="1852" t="s">
        <v>1412</v>
      </c>
      <c r="B255" s="1856" t="s">
        <v>1181</v>
      </c>
      <c r="C255" s="1866"/>
      <c r="D255" s="1866"/>
      <c r="E255" s="1866"/>
      <c r="F255" s="1858">
        <v>0.14299999999999999</v>
      </c>
    </row>
    <row r="256" spans="1:6" ht="15" thickBot="1">
      <c r="A256" s="1852" t="s">
        <v>1412</v>
      </c>
      <c r="B256" s="1856" t="s">
        <v>2178</v>
      </c>
      <c r="C256" s="1857">
        <v>0.14599999999999999</v>
      </c>
      <c r="D256" s="1857">
        <v>0.14699999999999999</v>
      </c>
      <c r="E256" s="1857">
        <v>0.15</v>
      </c>
      <c r="F256" s="1858">
        <v>0.13200000000000001</v>
      </c>
    </row>
    <row r="257" spans="1:6" ht="15" thickBot="1">
      <c r="A257" s="1852" t="s">
        <v>1412</v>
      </c>
      <c r="B257" s="1856" t="s">
        <v>1201</v>
      </c>
      <c r="C257" s="1857">
        <v>0.15</v>
      </c>
      <c r="D257" s="1857">
        <v>0.15</v>
      </c>
      <c r="E257" s="1857">
        <v>0.15</v>
      </c>
      <c r="F257" s="1858">
        <v>0.13900000000000001</v>
      </c>
    </row>
    <row r="258" spans="1:6" ht="15" thickBot="1">
      <c r="A258" s="1852" t="s">
        <v>1412</v>
      </c>
      <c r="B258" s="1856" t="s">
        <v>1211</v>
      </c>
      <c r="C258" s="1857">
        <v>0.15</v>
      </c>
      <c r="D258" s="1857">
        <v>0.15</v>
      </c>
      <c r="E258" s="1857">
        <v>0.15</v>
      </c>
      <c r="F258" s="1858">
        <v>0.13</v>
      </c>
    </row>
    <row r="259" spans="1:6" ht="15" thickBot="1">
      <c r="A259" s="1852" t="s">
        <v>1412</v>
      </c>
      <c r="B259" s="1856" t="s">
        <v>2179</v>
      </c>
      <c r="C259" s="1857">
        <v>0.14799999999999999</v>
      </c>
      <c r="D259" s="1857">
        <v>0.14899999999999999</v>
      </c>
      <c r="E259" s="1857">
        <v>0.15</v>
      </c>
      <c r="F259" s="1858">
        <v>0.13700000000000001</v>
      </c>
    </row>
    <row r="260" spans="1:6" ht="15" thickBot="1">
      <c r="A260" s="1852" t="s">
        <v>1412</v>
      </c>
      <c r="B260" s="1856" t="s">
        <v>1231</v>
      </c>
      <c r="C260" s="1857">
        <v>0.15</v>
      </c>
      <c r="D260" s="1857">
        <v>0.15</v>
      </c>
      <c r="E260" s="1857">
        <v>0.15</v>
      </c>
      <c r="F260" s="1858">
        <v>0.14199999999999999</v>
      </c>
    </row>
    <row r="261" spans="1:6" ht="15" thickBot="1">
      <c r="A261" s="1852" t="s">
        <v>1412</v>
      </c>
      <c r="B261" s="1856" t="s">
        <v>1241</v>
      </c>
      <c r="C261" s="1857">
        <v>0.15</v>
      </c>
      <c r="D261" s="1857">
        <v>0.15</v>
      </c>
      <c r="E261" s="1857">
        <v>0.14899999999999999</v>
      </c>
      <c r="F261" s="1858">
        <v>0.14799999999999999</v>
      </c>
    </row>
    <row r="262" spans="1:6" ht="15" thickBot="1">
      <c r="A262" s="1852" t="s">
        <v>1412</v>
      </c>
      <c r="B262" s="1856" t="s">
        <v>1251</v>
      </c>
      <c r="C262" s="1857">
        <v>0.15</v>
      </c>
      <c r="D262" s="1857">
        <v>0.15</v>
      </c>
      <c r="E262" s="1857">
        <v>0.15</v>
      </c>
      <c r="F262" s="1865"/>
    </row>
    <row r="263" spans="1:6" ht="15" thickBot="1">
      <c r="A263" s="1852" t="s">
        <v>1412</v>
      </c>
      <c r="B263" s="1856" t="s">
        <v>2180</v>
      </c>
      <c r="C263" s="1857">
        <v>0.14899999999999999</v>
      </c>
      <c r="D263" s="1857">
        <v>0.14899999999999999</v>
      </c>
      <c r="E263" s="1857">
        <v>0.15</v>
      </c>
      <c r="F263" s="1858">
        <v>0.13</v>
      </c>
    </row>
    <row r="264" spans="1:6" ht="15" thickBot="1">
      <c r="A264" s="1852" t="s">
        <v>1412</v>
      </c>
      <c r="B264" s="1856" t="s">
        <v>1270</v>
      </c>
      <c r="C264" s="1857">
        <v>0.14799999999999999</v>
      </c>
      <c r="D264" s="1857">
        <v>0.14699999999999999</v>
      </c>
      <c r="E264" s="1857">
        <v>0.15</v>
      </c>
      <c r="F264" s="1858">
        <v>7.8E-2</v>
      </c>
    </row>
    <row r="265" spans="1:6" ht="15" thickBot="1">
      <c r="A265" s="1852" t="s">
        <v>1412</v>
      </c>
      <c r="B265" s="1856" t="s">
        <v>1279</v>
      </c>
      <c r="C265" s="1857">
        <v>0.15</v>
      </c>
      <c r="D265" s="1857">
        <v>0.15</v>
      </c>
      <c r="E265" s="1857">
        <v>0.15</v>
      </c>
      <c r="F265" s="1858">
        <v>7.3999999999999996E-2</v>
      </c>
    </row>
    <row r="266" spans="1:6" ht="15" thickBot="1">
      <c r="A266" s="1852" t="s">
        <v>1412</v>
      </c>
      <c r="B266" s="1856" t="s">
        <v>1287</v>
      </c>
      <c r="C266" s="1857">
        <v>0.14699999999999999</v>
      </c>
      <c r="D266" s="1857">
        <v>0.14699999999999999</v>
      </c>
      <c r="E266" s="1857">
        <v>0.15</v>
      </c>
      <c r="F266" s="1858">
        <v>0.14299999999999999</v>
      </c>
    </row>
    <row r="267" spans="1:6" ht="15" thickBot="1">
      <c r="A267" s="1852" t="s">
        <v>1412</v>
      </c>
      <c r="B267" s="1856" t="s">
        <v>1294</v>
      </c>
      <c r="C267" s="1857">
        <v>0.14199999999999999</v>
      </c>
      <c r="D267" s="1857">
        <v>0.14299999999999999</v>
      </c>
      <c r="E267" s="1857">
        <v>0.15</v>
      </c>
      <c r="F267" s="1865"/>
    </row>
    <row r="268" spans="1:6" ht="15" thickBot="1">
      <c r="A268" s="1852" t="s">
        <v>1412</v>
      </c>
      <c r="B268" s="1856" t="s">
        <v>2181</v>
      </c>
      <c r="C268" s="1857">
        <v>0.15</v>
      </c>
      <c r="D268" s="1857">
        <v>0.15</v>
      </c>
      <c r="E268" s="1857">
        <v>0.15</v>
      </c>
      <c r="F268" s="1858">
        <v>0.13</v>
      </c>
    </row>
    <row r="269" spans="1:6" ht="15" thickBot="1">
      <c r="A269" s="1852" t="s">
        <v>1412</v>
      </c>
      <c r="B269" s="1856" t="s">
        <v>1308</v>
      </c>
      <c r="C269" s="1857">
        <v>0.15</v>
      </c>
      <c r="D269" s="1857">
        <v>0.15</v>
      </c>
      <c r="E269" s="1857">
        <v>0.15</v>
      </c>
      <c r="F269" s="1858">
        <v>0.14299999999999999</v>
      </c>
    </row>
    <row r="270" spans="1:6" ht="15" thickBot="1">
      <c r="A270" s="1852" t="s">
        <v>1412</v>
      </c>
      <c r="B270" s="1856" t="s">
        <v>1315</v>
      </c>
      <c r="C270" s="1857">
        <v>0.14499999999999999</v>
      </c>
      <c r="D270" s="1857">
        <v>0.14499999999999999</v>
      </c>
      <c r="E270" s="1857">
        <v>0.15</v>
      </c>
      <c r="F270" s="1858">
        <v>0.14699999999999999</v>
      </c>
    </row>
    <row r="271" spans="1:6" ht="15" thickBot="1">
      <c r="A271" s="1852" t="s">
        <v>1412</v>
      </c>
      <c r="B271" s="1856" t="s">
        <v>1322</v>
      </c>
      <c r="C271" s="1857">
        <v>0.15</v>
      </c>
      <c r="D271" s="1857">
        <v>0.15</v>
      </c>
      <c r="E271" s="1857">
        <v>0.15</v>
      </c>
      <c r="F271" s="1858">
        <v>0.13800000000000001</v>
      </c>
    </row>
    <row r="272" spans="1:6" ht="15" thickBot="1">
      <c r="A272" s="1852" t="s">
        <v>1412</v>
      </c>
      <c r="B272" s="1856" t="s">
        <v>1329</v>
      </c>
      <c r="C272" s="1866"/>
      <c r="D272" s="1866"/>
      <c r="E272" s="1866"/>
      <c r="F272" s="1858">
        <v>0.14000000000000001</v>
      </c>
    </row>
    <row r="273" spans="1:6" ht="15" thickBot="1">
      <c r="A273" s="1852" t="s">
        <v>1412</v>
      </c>
      <c r="B273" s="1856" t="s">
        <v>2182</v>
      </c>
      <c r="C273" s="1857">
        <v>0.14199999999999999</v>
      </c>
      <c r="D273" s="1857">
        <v>0.14299999999999999</v>
      </c>
      <c r="E273" s="1857">
        <v>0.15</v>
      </c>
      <c r="F273" s="1858">
        <v>0.1</v>
      </c>
    </row>
    <row r="274" spans="1:6" ht="15" thickBot="1">
      <c r="A274" s="1852" t="s">
        <v>1412</v>
      </c>
      <c r="B274" s="1856" t="s">
        <v>2183</v>
      </c>
      <c r="C274" s="1857">
        <v>0.14799999999999999</v>
      </c>
      <c r="D274" s="1857">
        <v>0.14799999999999999</v>
      </c>
      <c r="E274" s="1857">
        <v>0.15</v>
      </c>
      <c r="F274" s="1858">
        <v>6.7000000000000004E-2</v>
      </c>
    </row>
    <row r="275" spans="1:6" ht="15" thickBot="1">
      <c r="A275" s="1852" t="s">
        <v>1412</v>
      </c>
      <c r="B275" s="1856" t="s">
        <v>2184</v>
      </c>
      <c r="C275" s="1857">
        <v>0.15</v>
      </c>
      <c r="D275" s="1857">
        <v>0.15</v>
      </c>
      <c r="E275" s="1857">
        <v>0.15</v>
      </c>
      <c r="F275" s="1858">
        <v>0.15</v>
      </c>
    </row>
    <row r="276" spans="1:6" ht="15" thickBot="1">
      <c r="A276" s="1852" t="s">
        <v>1412</v>
      </c>
      <c r="B276" s="1856" t="s">
        <v>2185</v>
      </c>
      <c r="C276" s="1857">
        <v>0.14499999999999999</v>
      </c>
      <c r="D276" s="1857">
        <v>0.14299999999999999</v>
      </c>
      <c r="E276" s="1857">
        <v>0.15</v>
      </c>
      <c r="F276" s="1858">
        <v>5.8999999999999997E-2</v>
      </c>
    </row>
    <row r="277" spans="1:6" ht="15" thickBot="1">
      <c r="A277" s="1852" t="s">
        <v>1412</v>
      </c>
      <c r="B277" s="1856" t="s">
        <v>2186</v>
      </c>
      <c r="C277" s="1857">
        <v>0.15</v>
      </c>
      <c r="D277" s="1857">
        <v>0.15</v>
      </c>
      <c r="E277" s="1857">
        <v>0.15</v>
      </c>
      <c r="F277" s="1858">
        <v>0.121</v>
      </c>
    </row>
    <row r="278" spans="1:6" ht="15" thickBot="1">
      <c r="A278" s="1852" t="s">
        <v>1412</v>
      </c>
      <c r="B278" s="1856" t="s">
        <v>2187</v>
      </c>
      <c r="C278" s="1857">
        <v>0.15</v>
      </c>
      <c r="D278" s="1857">
        <v>0.15</v>
      </c>
      <c r="E278" s="1857">
        <v>0.15</v>
      </c>
      <c r="F278" s="1858">
        <v>0.13800000000000001</v>
      </c>
    </row>
    <row r="279" spans="1:6" ht="24.6" thickBot="1">
      <c r="A279" s="1852" t="s">
        <v>1412</v>
      </c>
      <c r="B279" s="1856" t="s">
        <v>2188</v>
      </c>
      <c r="C279" s="1866"/>
      <c r="D279" s="1866"/>
      <c r="E279" s="1866"/>
      <c r="F279" s="1858">
        <v>0.05</v>
      </c>
    </row>
    <row r="280" spans="1:6" ht="24.6" thickBot="1">
      <c r="A280" s="1852" t="s">
        <v>1412</v>
      </c>
      <c r="B280" s="1856" t="s">
        <v>2189</v>
      </c>
      <c r="C280" s="1866"/>
      <c r="D280" s="1866"/>
      <c r="E280" s="1866"/>
      <c r="F280" s="1858">
        <v>0.05</v>
      </c>
    </row>
    <row r="281" spans="1:6" ht="24.6" thickBot="1">
      <c r="A281" s="1852" t="s">
        <v>1412</v>
      </c>
      <c r="B281" s="1856" t="s">
        <v>2190</v>
      </c>
      <c r="C281" s="1866"/>
      <c r="D281" s="1866"/>
      <c r="E281" s="1866"/>
      <c r="F281" s="1858">
        <v>0.05</v>
      </c>
    </row>
    <row r="282" spans="1:6" ht="24.6" thickBot="1">
      <c r="A282" s="1852" t="s">
        <v>1412</v>
      </c>
      <c r="B282" s="1856" t="s">
        <v>2191</v>
      </c>
      <c r="C282" s="1866"/>
      <c r="D282" s="1866"/>
      <c r="E282" s="1866"/>
      <c r="F282" s="1858">
        <v>0.05</v>
      </c>
    </row>
    <row r="283" spans="1:6" ht="24.6" thickBot="1">
      <c r="A283" s="1852" t="s">
        <v>1412</v>
      </c>
      <c r="B283" s="1856" t="s">
        <v>2192</v>
      </c>
      <c r="C283" s="1866"/>
      <c r="D283" s="1866"/>
      <c r="E283" s="1866"/>
      <c r="F283" s="1858">
        <v>0.05</v>
      </c>
    </row>
    <row r="284" spans="1:6" ht="24.6" thickBot="1">
      <c r="A284" s="1852" t="s">
        <v>1412</v>
      </c>
      <c r="B284" s="1856" t="s">
        <v>2193</v>
      </c>
      <c r="C284" s="1866"/>
      <c r="D284" s="1866"/>
      <c r="E284" s="1866"/>
      <c r="F284" s="1858">
        <v>0.05</v>
      </c>
    </row>
    <row r="285" spans="1:6" ht="24.6" thickBot="1">
      <c r="A285" s="1852" t="s">
        <v>1412</v>
      </c>
      <c r="B285" s="1856" t="s">
        <v>2194</v>
      </c>
      <c r="C285" s="1866"/>
      <c r="D285" s="1866"/>
      <c r="E285" s="1866"/>
      <c r="F285" s="1858">
        <v>0.05</v>
      </c>
    </row>
    <row r="286" spans="1:6" ht="24.6" thickBot="1">
      <c r="A286" s="1852" t="s">
        <v>1412</v>
      </c>
      <c r="B286" s="1856" t="s">
        <v>2195</v>
      </c>
      <c r="C286" s="1866"/>
      <c r="D286" s="1866"/>
      <c r="E286" s="1866"/>
      <c r="F286" s="1858">
        <v>0.05</v>
      </c>
    </row>
    <row r="287" spans="1:6" ht="24.6" thickBot="1">
      <c r="A287" s="1852" t="s">
        <v>1412</v>
      </c>
      <c r="B287" s="1856" t="s">
        <v>2196</v>
      </c>
      <c r="C287" s="1866"/>
      <c r="D287" s="1866"/>
      <c r="E287" s="1866"/>
      <c r="F287" s="1858">
        <v>0.05</v>
      </c>
    </row>
    <row r="288" spans="1:6" ht="24.6" thickBot="1">
      <c r="A288" s="1852" t="s">
        <v>1412</v>
      </c>
      <c r="B288" s="1856" t="s">
        <v>2197</v>
      </c>
      <c r="C288" s="1866"/>
      <c r="D288" s="1866"/>
      <c r="E288" s="1866"/>
      <c r="F288" s="1858">
        <v>0.05</v>
      </c>
    </row>
    <row r="289" spans="1:6" ht="24.6" thickBot="1">
      <c r="A289" s="1860" t="s">
        <v>1412</v>
      </c>
      <c r="B289" s="1867" t="s">
        <v>2198</v>
      </c>
      <c r="C289" s="1863"/>
      <c r="D289" s="1863"/>
      <c r="E289" s="1863"/>
      <c r="F289" s="1868">
        <v>0.05</v>
      </c>
    </row>
    <row r="290" spans="1:6" ht="15" thickBot="1">
      <c r="A290" s="1852" t="s">
        <v>1416</v>
      </c>
      <c r="B290" s="1853" t="s">
        <v>2199</v>
      </c>
      <c r="C290" s="1854">
        <v>0.15</v>
      </c>
      <c r="D290" s="1854">
        <v>0.15</v>
      </c>
      <c r="E290" s="1854">
        <v>0.15</v>
      </c>
      <c r="F290" s="1876"/>
    </row>
    <row r="291" spans="1:6" ht="15" thickBot="1">
      <c r="A291" s="1852" t="s">
        <v>1416</v>
      </c>
      <c r="B291" s="1856" t="s">
        <v>1076</v>
      </c>
      <c r="C291" s="1857">
        <v>0.15</v>
      </c>
      <c r="D291" s="1857">
        <v>0.15</v>
      </c>
      <c r="E291" s="1857">
        <v>0.15</v>
      </c>
      <c r="F291" s="1865"/>
    </row>
    <row r="292" spans="1:6" ht="15" thickBot="1">
      <c r="A292" s="1852" t="s">
        <v>1416</v>
      </c>
      <c r="B292" s="1856" t="s">
        <v>2200</v>
      </c>
      <c r="C292" s="1857">
        <v>0.15</v>
      </c>
      <c r="D292" s="1857">
        <v>0.15</v>
      </c>
      <c r="E292" s="1857">
        <v>0.15</v>
      </c>
      <c r="F292" s="1858">
        <v>0.14699999999999999</v>
      </c>
    </row>
    <row r="293" spans="1:6" ht="15" thickBot="1">
      <c r="A293" s="1852" t="s">
        <v>1416</v>
      </c>
      <c r="B293" s="1856" t="s">
        <v>2201</v>
      </c>
      <c r="C293" s="1866"/>
      <c r="D293" s="1866"/>
      <c r="E293" s="1866"/>
      <c r="F293" s="1858">
        <v>0.1</v>
      </c>
    </row>
    <row r="294" spans="1:6" ht="15" thickBot="1">
      <c r="A294" s="1852" t="s">
        <v>1416</v>
      </c>
      <c r="B294" s="1856" t="s">
        <v>2202</v>
      </c>
      <c r="C294" s="1857">
        <v>0.15</v>
      </c>
      <c r="D294" s="1857">
        <v>0.15</v>
      </c>
      <c r="E294" s="1857">
        <v>0.15</v>
      </c>
      <c r="F294" s="1858">
        <v>0.15</v>
      </c>
    </row>
    <row r="295" spans="1:6" ht="15" thickBot="1">
      <c r="A295" s="1852" t="s">
        <v>1416</v>
      </c>
      <c r="B295" s="1856" t="s">
        <v>1117</v>
      </c>
      <c r="C295" s="1857">
        <v>0.15</v>
      </c>
      <c r="D295" s="1857">
        <v>0.15</v>
      </c>
      <c r="E295" s="1857">
        <v>0.15</v>
      </c>
      <c r="F295" s="1858">
        <v>0.15</v>
      </c>
    </row>
    <row r="296" spans="1:6" ht="15" thickBot="1">
      <c r="A296" s="1852" t="s">
        <v>1416</v>
      </c>
      <c r="B296" s="1856" t="s">
        <v>2203</v>
      </c>
      <c r="C296" s="1857">
        <v>0.15</v>
      </c>
      <c r="D296" s="1857">
        <v>0.15</v>
      </c>
      <c r="E296" s="1857">
        <v>0.15</v>
      </c>
      <c r="F296" s="1858">
        <v>0.15</v>
      </c>
    </row>
    <row r="297" spans="1:6" ht="15" thickBot="1">
      <c r="A297" s="1852" t="s">
        <v>1416</v>
      </c>
      <c r="B297" s="1856" t="s">
        <v>2204</v>
      </c>
      <c r="C297" s="1857">
        <v>0.14799999999999999</v>
      </c>
      <c r="D297" s="1857">
        <v>0.14899999999999999</v>
      </c>
      <c r="E297" s="1857">
        <v>0.15</v>
      </c>
      <c r="F297" s="1858">
        <v>0.13700000000000001</v>
      </c>
    </row>
    <row r="298" spans="1:6" ht="15" thickBot="1">
      <c r="A298" s="1852" t="s">
        <v>1416</v>
      </c>
      <c r="B298" s="1856" t="s">
        <v>1150</v>
      </c>
      <c r="C298" s="1857">
        <v>0.13400000000000001</v>
      </c>
      <c r="D298" s="1857">
        <v>0.13400000000000001</v>
      </c>
      <c r="E298" s="1857">
        <v>0.14499999999999999</v>
      </c>
      <c r="F298" s="1858">
        <v>0.14799999999999999</v>
      </c>
    </row>
    <row r="299" spans="1:6" ht="15" thickBot="1">
      <c r="A299" s="1852" t="s">
        <v>1416</v>
      </c>
      <c r="B299" s="1856" t="s">
        <v>1162</v>
      </c>
      <c r="C299" s="1857">
        <v>0.15</v>
      </c>
      <c r="D299" s="1857">
        <v>0.15</v>
      </c>
      <c r="E299" s="1857">
        <v>0.15</v>
      </c>
      <c r="F299" s="1865"/>
    </row>
    <row r="300" spans="1:6" ht="15" thickBot="1">
      <c r="A300" s="1852" t="s">
        <v>1416</v>
      </c>
      <c r="B300" s="1856" t="s">
        <v>2205</v>
      </c>
      <c r="C300" s="1857">
        <v>0.15</v>
      </c>
      <c r="D300" s="1857">
        <v>0.15</v>
      </c>
      <c r="E300" s="1857">
        <v>0.15</v>
      </c>
      <c r="F300" s="1858">
        <v>0.15</v>
      </c>
    </row>
    <row r="301" spans="1:6" ht="15" thickBot="1">
      <c r="A301" s="1852" t="s">
        <v>1416</v>
      </c>
      <c r="B301" s="1856" t="s">
        <v>1182</v>
      </c>
      <c r="C301" s="1857">
        <v>0.15</v>
      </c>
      <c r="D301" s="1857">
        <v>0.15</v>
      </c>
      <c r="E301" s="1857">
        <v>0.15</v>
      </c>
      <c r="F301" s="1865"/>
    </row>
    <row r="302" spans="1:6" ht="15" thickBot="1">
      <c r="A302" s="1852" t="s">
        <v>1416</v>
      </c>
      <c r="B302" s="1856" t="s">
        <v>2206</v>
      </c>
      <c r="C302" s="1857">
        <v>0.15</v>
      </c>
      <c r="D302" s="1857">
        <v>0.15</v>
      </c>
      <c r="E302" s="1857">
        <v>0.15</v>
      </c>
      <c r="F302" s="1858">
        <v>0.15</v>
      </c>
    </row>
    <row r="303" spans="1:6" ht="15" thickBot="1">
      <c r="A303" s="1852" t="s">
        <v>1416</v>
      </c>
      <c r="B303" s="1856" t="s">
        <v>1202</v>
      </c>
      <c r="C303" s="1857">
        <v>0.15</v>
      </c>
      <c r="D303" s="1857">
        <v>0.15</v>
      </c>
      <c r="E303" s="1857">
        <v>0.15</v>
      </c>
      <c r="F303" s="1858">
        <v>0.15</v>
      </c>
    </row>
    <row r="304" spans="1:6" ht="15" thickBot="1">
      <c r="A304" s="1852" t="s">
        <v>1416</v>
      </c>
      <c r="B304" s="1856" t="s">
        <v>1212</v>
      </c>
      <c r="C304" s="1857">
        <v>0.15</v>
      </c>
      <c r="D304" s="1857">
        <v>0.15</v>
      </c>
      <c r="E304" s="1857">
        <v>0.15</v>
      </c>
      <c r="F304" s="1865"/>
    </row>
    <row r="305" spans="1:6" ht="15" thickBot="1">
      <c r="A305" s="1852" t="s">
        <v>1416</v>
      </c>
      <c r="B305" s="1856" t="s">
        <v>2207</v>
      </c>
      <c r="C305" s="1857">
        <v>0.15</v>
      </c>
      <c r="D305" s="1857">
        <v>0.15</v>
      </c>
      <c r="E305" s="1857">
        <v>0.15</v>
      </c>
      <c r="F305" s="1858">
        <v>0.14000000000000001</v>
      </c>
    </row>
    <row r="306" spans="1:6" ht="15" thickBot="1">
      <c r="A306" s="1852" t="s">
        <v>1416</v>
      </c>
      <c r="B306" s="1856" t="s">
        <v>1232</v>
      </c>
      <c r="C306" s="1857">
        <v>0.15</v>
      </c>
      <c r="D306" s="1857">
        <v>0.15</v>
      </c>
      <c r="E306" s="1857">
        <v>0.15</v>
      </c>
      <c r="F306" s="1865"/>
    </row>
    <row r="307" spans="1:6" ht="15" thickBot="1">
      <c r="A307" s="1852" t="s">
        <v>1416</v>
      </c>
      <c r="B307" s="1856" t="s">
        <v>2208</v>
      </c>
      <c r="C307" s="1857">
        <v>0.15</v>
      </c>
      <c r="D307" s="1857">
        <v>0.15</v>
      </c>
      <c r="E307" s="1857">
        <v>0.15</v>
      </c>
      <c r="F307" s="1858">
        <v>0.14299999999999999</v>
      </c>
    </row>
    <row r="308" spans="1:6" ht="15" thickBot="1">
      <c r="A308" s="1852" t="s">
        <v>1416</v>
      </c>
      <c r="B308" s="1856" t="s">
        <v>1252</v>
      </c>
      <c r="C308" s="1857">
        <v>0.15</v>
      </c>
      <c r="D308" s="1857">
        <v>0.15</v>
      </c>
      <c r="E308" s="1857">
        <v>0.15</v>
      </c>
      <c r="F308" s="1858">
        <v>0.15</v>
      </c>
    </row>
    <row r="309" spans="1:6" ht="15" thickBot="1">
      <c r="A309" s="1852" t="s">
        <v>1416</v>
      </c>
      <c r="B309" s="1856" t="s">
        <v>1262</v>
      </c>
      <c r="C309" s="1857">
        <v>0.15</v>
      </c>
      <c r="D309" s="1857">
        <v>0.15</v>
      </c>
      <c r="E309" s="1857">
        <v>0.15</v>
      </c>
      <c r="F309" s="1865"/>
    </row>
    <row r="310" spans="1:6" ht="15" thickBot="1">
      <c r="A310" s="1852" t="s">
        <v>1416</v>
      </c>
      <c r="B310" s="1856" t="s">
        <v>2209</v>
      </c>
      <c r="C310" s="1857">
        <v>0.15</v>
      </c>
      <c r="D310" s="1857">
        <v>0.15</v>
      </c>
      <c r="E310" s="1857">
        <v>0.15</v>
      </c>
      <c r="F310" s="1858">
        <v>0.13700000000000001</v>
      </c>
    </row>
    <row r="311" spans="1:6" ht="15" thickBot="1">
      <c r="A311" s="1852" t="s">
        <v>1416</v>
      </c>
      <c r="B311" s="1856" t="s">
        <v>2210</v>
      </c>
      <c r="C311" s="1857">
        <v>0.15</v>
      </c>
      <c r="D311" s="1857">
        <v>0.15</v>
      </c>
      <c r="E311" s="1857">
        <v>0.15</v>
      </c>
      <c r="F311" s="1858">
        <v>0.15</v>
      </c>
    </row>
    <row r="312" spans="1:6" ht="15" thickBot="1">
      <c r="A312" s="1852" t="s">
        <v>1416</v>
      </c>
      <c r="B312" s="1856" t="s">
        <v>1288</v>
      </c>
      <c r="C312" s="1857">
        <v>0.15</v>
      </c>
      <c r="D312" s="1857">
        <v>0.15</v>
      </c>
      <c r="E312" s="1857">
        <v>0.15</v>
      </c>
      <c r="F312" s="1858">
        <v>0.1</v>
      </c>
    </row>
    <row r="313" spans="1:6" ht="15" thickBot="1">
      <c r="A313" s="1852" t="s">
        <v>1416</v>
      </c>
      <c r="B313" s="1856" t="s">
        <v>2211</v>
      </c>
      <c r="C313" s="1857">
        <v>0.15</v>
      </c>
      <c r="D313" s="1857">
        <v>0.15</v>
      </c>
      <c r="E313" s="1857">
        <v>0.15</v>
      </c>
      <c r="F313" s="1858">
        <v>0.15</v>
      </c>
    </row>
    <row r="314" spans="1:6" ht="24.6" thickBot="1">
      <c r="A314" s="1852" t="s">
        <v>1416</v>
      </c>
      <c r="B314" s="1856" t="s">
        <v>2212</v>
      </c>
      <c r="C314" s="1866"/>
      <c r="D314" s="1866"/>
      <c r="E314" s="1866"/>
      <c r="F314" s="1858">
        <v>0.05</v>
      </c>
    </row>
    <row r="315" spans="1:6" ht="24.6" thickBot="1">
      <c r="A315" s="1852" t="s">
        <v>1416</v>
      </c>
      <c r="B315" s="1856" t="s">
        <v>2213</v>
      </c>
      <c r="C315" s="1866"/>
      <c r="D315" s="1866"/>
      <c r="E315" s="1866"/>
      <c r="F315" s="1858">
        <v>0.05</v>
      </c>
    </row>
    <row r="316" spans="1:6" ht="24.6" thickBot="1">
      <c r="A316" s="1860" t="s">
        <v>1416</v>
      </c>
      <c r="B316" s="1867" t="s">
        <v>2214</v>
      </c>
      <c r="C316" s="1863"/>
      <c r="D316" s="1863"/>
      <c r="E316" s="1863"/>
      <c r="F316" s="1868">
        <v>0.05</v>
      </c>
    </row>
    <row r="317" spans="1:6" ht="15" thickBot="1">
      <c r="A317" s="1852" t="s">
        <v>2215</v>
      </c>
      <c r="B317" s="1853" t="s">
        <v>2216</v>
      </c>
      <c r="C317" s="1854">
        <v>0.15</v>
      </c>
      <c r="D317" s="1854">
        <v>0.15</v>
      </c>
      <c r="E317" s="1854">
        <v>0.15</v>
      </c>
      <c r="F317" s="1855">
        <v>0.15</v>
      </c>
    </row>
    <row r="318" spans="1:6" ht="15" thickBot="1">
      <c r="A318" s="1852" t="s">
        <v>2215</v>
      </c>
      <c r="B318" s="1856" t="s">
        <v>2217</v>
      </c>
      <c r="C318" s="1857">
        <v>0.107</v>
      </c>
      <c r="D318" s="1857">
        <v>0.11</v>
      </c>
      <c r="E318" s="1857">
        <v>0.112</v>
      </c>
      <c r="F318" s="1865"/>
    </row>
    <row r="319" spans="1:6" ht="15" thickBot="1">
      <c r="A319" s="1852" t="s">
        <v>2215</v>
      </c>
      <c r="B319" s="1856" t="s">
        <v>2218</v>
      </c>
      <c r="C319" s="1857">
        <v>0.15</v>
      </c>
      <c r="D319" s="1857">
        <v>0.15</v>
      </c>
      <c r="E319" s="1857">
        <v>0.15</v>
      </c>
      <c r="F319" s="1858">
        <v>0.15</v>
      </c>
    </row>
    <row r="320" spans="1:6" ht="15" thickBot="1">
      <c r="A320" s="1852" t="s">
        <v>2215</v>
      </c>
      <c r="B320" s="1856" t="s">
        <v>1104</v>
      </c>
      <c r="C320" s="1857">
        <v>0.15</v>
      </c>
      <c r="D320" s="1857">
        <v>0.15</v>
      </c>
      <c r="E320" s="1857">
        <v>0.15</v>
      </c>
      <c r="F320" s="1865"/>
    </row>
    <row r="321" spans="1:6" ht="15" thickBot="1">
      <c r="A321" s="1852" t="s">
        <v>2215</v>
      </c>
      <c r="B321" s="1856" t="s">
        <v>2219</v>
      </c>
      <c r="C321" s="1857">
        <v>0.15</v>
      </c>
      <c r="D321" s="1857">
        <v>0.15</v>
      </c>
      <c r="E321" s="1857">
        <v>0.15</v>
      </c>
      <c r="F321" s="1865"/>
    </row>
    <row r="322" spans="1:6" ht="15" thickBot="1">
      <c r="A322" s="1852" t="s">
        <v>2215</v>
      </c>
      <c r="B322" s="1856" t="s">
        <v>2220</v>
      </c>
      <c r="C322" s="1857">
        <v>0.15</v>
      </c>
      <c r="D322" s="1857">
        <v>0.15</v>
      </c>
      <c r="E322" s="1857">
        <v>0.15</v>
      </c>
      <c r="F322" s="1858">
        <v>0.15</v>
      </c>
    </row>
    <row r="323" spans="1:6" ht="15" thickBot="1">
      <c r="A323" s="1852" t="s">
        <v>2215</v>
      </c>
      <c r="B323" s="1856" t="s">
        <v>2221</v>
      </c>
      <c r="C323" s="1857">
        <v>0.15</v>
      </c>
      <c r="D323" s="1857">
        <v>0.15</v>
      </c>
      <c r="E323" s="1857">
        <v>0.15</v>
      </c>
      <c r="F323" s="1865"/>
    </row>
    <row r="324" spans="1:6" ht="15" thickBot="1">
      <c r="A324" s="1852" t="s">
        <v>2215</v>
      </c>
      <c r="B324" s="1856" t="s">
        <v>2222</v>
      </c>
      <c r="C324" s="1857">
        <v>0.15</v>
      </c>
      <c r="D324" s="1857">
        <v>0.15</v>
      </c>
      <c r="E324" s="1857">
        <v>0.15</v>
      </c>
      <c r="F324" s="1865"/>
    </row>
    <row r="325" spans="1:6" ht="15" thickBot="1">
      <c r="A325" s="1852" t="s">
        <v>2215</v>
      </c>
      <c r="B325" s="1856" t="s">
        <v>2223</v>
      </c>
      <c r="C325" s="1857">
        <v>0.15</v>
      </c>
      <c r="D325" s="1857">
        <v>0.15</v>
      </c>
      <c r="E325" s="1857">
        <v>0.15</v>
      </c>
      <c r="F325" s="1858">
        <v>0.14699999999999999</v>
      </c>
    </row>
    <row r="326" spans="1:6" ht="15" thickBot="1">
      <c r="A326" s="1852" t="s">
        <v>2215</v>
      </c>
      <c r="B326" s="1856" t="s">
        <v>1173</v>
      </c>
      <c r="C326" s="1857">
        <v>0.15</v>
      </c>
      <c r="D326" s="1857">
        <v>0.15</v>
      </c>
      <c r="E326" s="1857">
        <v>0.15</v>
      </c>
      <c r="F326" s="1865"/>
    </row>
    <row r="327" spans="1:6" ht="15" thickBot="1">
      <c r="A327" s="1852" t="s">
        <v>2215</v>
      </c>
      <c r="B327" s="1856" t="s">
        <v>2224</v>
      </c>
      <c r="C327" s="1857">
        <v>0.15</v>
      </c>
      <c r="D327" s="1857">
        <v>0.15</v>
      </c>
      <c r="E327" s="1857">
        <v>0.15</v>
      </c>
      <c r="F327" s="1858">
        <v>0.15</v>
      </c>
    </row>
    <row r="328" spans="1:6" ht="15" thickBot="1">
      <c r="A328" s="1852" t="s">
        <v>2215</v>
      </c>
      <c r="B328" s="1856" t="s">
        <v>1193</v>
      </c>
      <c r="C328" s="1857">
        <v>0.15</v>
      </c>
      <c r="D328" s="1857">
        <v>0.15</v>
      </c>
      <c r="E328" s="1857">
        <v>0.15</v>
      </c>
      <c r="F328" s="1858">
        <v>0.14099999999999999</v>
      </c>
    </row>
    <row r="329" spans="1:6" ht="15" thickBot="1">
      <c r="A329" s="1852" t="s">
        <v>2215</v>
      </c>
      <c r="B329" s="1856" t="s">
        <v>1203</v>
      </c>
      <c r="C329" s="1857">
        <v>0.15</v>
      </c>
      <c r="D329" s="1857">
        <v>0.15</v>
      </c>
      <c r="E329" s="1857">
        <v>0.15</v>
      </c>
      <c r="F329" s="1858">
        <v>0.15</v>
      </c>
    </row>
    <row r="330" spans="1:6" ht="15" thickBot="1">
      <c r="A330" s="1852" t="s">
        <v>2215</v>
      </c>
      <c r="B330" s="1856" t="s">
        <v>1213</v>
      </c>
      <c r="C330" s="1857">
        <v>0.15</v>
      </c>
      <c r="D330" s="1857">
        <v>0.15</v>
      </c>
      <c r="E330" s="1857">
        <v>0.15</v>
      </c>
      <c r="F330" s="1865"/>
    </row>
    <row r="331" spans="1:6" ht="15" thickBot="1">
      <c r="A331" s="1852" t="s">
        <v>2215</v>
      </c>
      <c r="B331" s="1856" t="s">
        <v>2225</v>
      </c>
      <c r="C331" s="1857">
        <v>0.15</v>
      </c>
      <c r="D331" s="1857">
        <v>0.15</v>
      </c>
      <c r="E331" s="1857">
        <v>0.15</v>
      </c>
      <c r="F331" s="1858">
        <v>0.15</v>
      </c>
    </row>
    <row r="332" spans="1:6" ht="15" thickBot="1">
      <c r="A332" s="1852" t="s">
        <v>2215</v>
      </c>
      <c r="B332" s="1856" t="s">
        <v>1233</v>
      </c>
      <c r="C332" s="1857">
        <v>0.15</v>
      </c>
      <c r="D332" s="1857">
        <v>0.15</v>
      </c>
      <c r="E332" s="1857">
        <v>0.15</v>
      </c>
      <c r="F332" s="1858">
        <v>0.15</v>
      </c>
    </row>
    <row r="333" spans="1:6" ht="15" thickBot="1">
      <c r="A333" s="1852" t="s">
        <v>2215</v>
      </c>
      <c r="B333" s="1856" t="s">
        <v>2226</v>
      </c>
      <c r="C333" s="1857">
        <v>0.15</v>
      </c>
      <c r="D333" s="1857">
        <v>0.15</v>
      </c>
      <c r="E333" s="1857">
        <v>0.15</v>
      </c>
      <c r="F333" s="1858">
        <v>0.14099999999999999</v>
      </c>
    </row>
    <row r="334" spans="1:6" ht="15" thickBot="1">
      <c r="A334" s="1852" t="s">
        <v>2215</v>
      </c>
      <c r="B334" s="1856" t="s">
        <v>1253</v>
      </c>
      <c r="C334" s="1857">
        <v>0.15</v>
      </c>
      <c r="D334" s="1857">
        <v>0.15</v>
      </c>
      <c r="E334" s="1857">
        <v>0.15</v>
      </c>
      <c r="F334" s="1858">
        <v>0.15</v>
      </c>
    </row>
    <row r="335" spans="1:6" ht="15" thickBot="1">
      <c r="A335" s="1852" t="s">
        <v>2215</v>
      </c>
      <c r="B335" s="1856" t="s">
        <v>1263</v>
      </c>
      <c r="C335" s="1857">
        <v>0.15</v>
      </c>
      <c r="D335" s="1857">
        <v>0.15</v>
      </c>
      <c r="E335" s="1857">
        <v>0.15</v>
      </c>
      <c r="F335" s="1865"/>
    </row>
    <row r="336" spans="1:6" ht="15" thickBot="1">
      <c r="A336" s="1852" t="s">
        <v>2215</v>
      </c>
      <c r="B336" s="1856" t="s">
        <v>2227</v>
      </c>
      <c r="C336" s="1857">
        <v>0.15</v>
      </c>
      <c r="D336" s="1857">
        <v>0.15</v>
      </c>
      <c r="E336" s="1857">
        <v>0.15</v>
      </c>
      <c r="F336" s="1858">
        <v>0.11799999999999999</v>
      </c>
    </row>
    <row r="337" spans="1:6" ht="15" thickBot="1">
      <c r="A337" s="1860" t="s">
        <v>2215</v>
      </c>
      <c r="B337" s="1867" t="s">
        <v>1281</v>
      </c>
      <c r="C337" s="1863"/>
      <c r="D337" s="1863"/>
      <c r="E337" s="1863"/>
      <c r="F337" s="1868">
        <v>0.14299999999999999</v>
      </c>
    </row>
    <row r="338" spans="1:6" ht="15" thickBot="1">
      <c r="A338" s="1852" t="s">
        <v>2228</v>
      </c>
      <c r="B338" s="1853" t="s">
        <v>2229</v>
      </c>
      <c r="C338" s="1854">
        <v>0.15</v>
      </c>
      <c r="D338" s="1854">
        <v>0.15</v>
      </c>
      <c r="E338" s="1854">
        <v>0.15</v>
      </c>
      <c r="F338" s="1876"/>
    </row>
    <row r="339" spans="1:6" ht="15" thickBot="1">
      <c r="A339" s="1852" t="s">
        <v>2228</v>
      </c>
      <c r="B339" s="1856" t="s">
        <v>2230</v>
      </c>
      <c r="C339" s="1857">
        <v>0.15</v>
      </c>
      <c r="D339" s="1857">
        <v>0.15</v>
      </c>
      <c r="E339" s="1857">
        <v>0.15</v>
      </c>
      <c r="F339" s="1865"/>
    </row>
    <row r="340" spans="1:6" ht="15" thickBot="1">
      <c r="A340" s="1852" t="s">
        <v>2228</v>
      </c>
      <c r="B340" s="1856" t="s">
        <v>2231</v>
      </c>
      <c r="C340" s="1857">
        <v>0.15</v>
      </c>
      <c r="D340" s="1857">
        <v>0.15</v>
      </c>
      <c r="E340" s="1857">
        <v>0.15</v>
      </c>
      <c r="F340" s="1865"/>
    </row>
    <row r="341" spans="1:6" ht="15" thickBot="1">
      <c r="A341" s="1852" t="s">
        <v>2232</v>
      </c>
      <c r="B341" s="1856" t="s">
        <v>2233</v>
      </c>
      <c r="C341" s="1857">
        <v>0.15</v>
      </c>
      <c r="D341" s="1857">
        <v>0.15</v>
      </c>
      <c r="E341" s="1857">
        <v>0.15</v>
      </c>
      <c r="F341" s="1858">
        <v>0.15</v>
      </c>
    </row>
    <row r="342" spans="1:6" ht="15" thickBot="1">
      <c r="A342" s="1852" t="s">
        <v>2228</v>
      </c>
      <c r="B342" s="1856" t="s">
        <v>2234</v>
      </c>
      <c r="C342" s="1857">
        <v>0.15</v>
      </c>
      <c r="D342" s="1857">
        <v>0.15</v>
      </c>
      <c r="E342" s="1857">
        <v>0.15</v>
      </c>
      <c r="F342" s="1858">
        <v>0.15</v>
      </c>
    </row>
    <row r="343" spans="1:6" ht="15" thickBot="1">
      <c r="A343" s="1852" t="s">
        <v>2228</v>
      </c>
      <c r="B343" s="1856" t="s">
        <v>2235</v>
      </c>
      <c r="C343" s="1857">
        <v>0.15</v>
      </c>
      <c r="D343" s="1857">
        <v>0.15</v>
      </c>
      <c r="E343" s="1857">
        <v>0.15</v>
      </c>
      <c r="F343" s="1858">
        <v>0.15</v>
      </c>
    </row>
    <row r="344" spans="1:6" ht="1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0" t="s">
        <v>2942</v>
      </c>
      <c r="B1" s="3122"/>
      <c r="C1" s="3122"/>
      <c r="D1" s="3122"/>
      <c r="E1" s="3122"/>
      <c r="F1" s="3122"/>
    </row>
    <row r="2" spans="1:6" ht="15.6">
      <c r="A2" s="3123" t="s">
        <v>2936</v>
      </c>
      <c r="B2" s="3124">
        <f ca="1">SUMIF(B7:B14,"&lt;&gt;#ref!",B7:B14)</f>
        <v>4420</v>
      </c>
      <c r="C2" s="3123" t="s">
        <v>2937</v>
      </c>
      <c r="D2" s="3122"/>
      <c r="E2" s="3122"/>
      <c r="F2" s="3122"/>
    </row>
    <row r="3" spans="1:6" ht="15.6">
      <c r="A3" s="3123" t="s">
        <v>2939</v>
      </c>
      <c r="B3" s="3124" t="e">
        <f ca="1">ROUND(B2*10000/E3,0)</f>
        <v>#REF!</v>
      </c>
      <c r="C3" s="3123" t="s">
        <v>2077</v>
      </c>
      <c r="D3" s="3123" t="s">
        <v>2938</v>
      </c>
      <c r="E3" s="3124" t="e">
        <f ca="1">SUM(E7:E14)</f>
        <v>#REF!</v>
      </c>
      <c r="F3" s="3122"/>
    </row>
    <row r="4" spans="1:6" ht="15.6">
      <c r="A4" s="3123" t="s">
        <v>2946</v>
      </c>
      <c r="B4" s="3124" t="e">
        <f ca="1">ROUND(B2*10000/E4,0)</f>
        <v>#REF!</v>
      </c>
      <c r="C4" s="3123" t="s">
        <v>2077</v>
      </c>
      <c r="D4" s="3123" t="s">
        <v>2947</v>
      </c>
      <c r="E4" s="3124" t="e">
        <f ca="1">SUM(F7:F14)</f>
        <v>#REF!</v>
      </c>
      <c r="F4" s="3122"/>
    </row>
    <row r="5" spans="1:6" ht="15.6">
      <c r="A5" s="3125"/>
      <c r="B5" s="1878"/>
      <c r="C5" s="1878"/>
      <c r="D5" s="1878"/>
      <c r="E5" s="1878"/>
      <c r="F5" s="3122"/>
    </row>
    <row r="6" spans="1:6" ht="31.2">
      <c r="A6" s="3126" t="s">
        <v>2943</v>
      </c>
      <c r="B6" s="3123" t="s">
        <v>2940</v>
      </c>
      <c r="C6" s="3124"/>
      <c r="D6" s="1878"/>
      <c r="E6" s="3123" t="s">
        <v>2941</v>
      </c>
      <c r="F6" s="3123" t="s">
        <v>2945</v>
      </c>
    </row>
    <row r="7" spans="1:6" ht="15.6">
      <c r="A7" s="259" t="s">
        <v>2944</v>
      </c>
      <c r="B7" s="3127">
        <f ca="1">SUMIF(INDIRECT("'"&amp;A7&amp;"'"&amp;"!A:A"),"总价",INDIRECT("'"&amp;A7&amp;"'"&amp;"!B:B"))</f>
        <v>4420</v>
      </c>
      <c r="C7" s="3123" t="s">
        <v>2937</v>
      </c>
      <c r="D7" s="1878"/>
      <c r="E7" s="3128">
        <f ca="1">SUMIF(INDIRECT("'"&amp;A7&amp;"'"&amp;"!C:C"),"建筑面积",INDIRECT("'"&amp;A7&amp;"'"&amp;"!D:D"))</f>
        <v>5980</v>
      </c>
      <c r="F7" s="3128">
        <f ca="1">SUMIF(INDIRECT("'"&amp;A7&amp;"'"&amp;"!E:E"),"土地面积",INDIRECT("'"&amp;A7&amp;"'"&amp;"!F:F"))</f>
        <v>2990</v>
      </c>
    </row>
    <row r="8" spans="1:6" ht="15.6">
      <c r="A8" s="259"/>
      <c r="B8" s="3127" t="e">
        <f t="shared" ref="B8:B14" ca="1" si="0">SUMIF(INDIRECT("'"&amp;A8&amp;"'"&amp;"!A:A"),"总价",INDIRECT("'"&amp;A8&amp;"'"&amp;"!B:B"))</f>
        <v>#REF!</v>
      </c>
      <c r="C8" s="3123" t="s">
        <v>2937</v>
      </c>
      <c r="D8" s="1878"/>
      <c r="E8" s="3128" t="e">
        <f t="shared" ref="E8:E14" ca="1" si="1">SUMIF(INDIRECT("'"&amp;A8&amp;"'"&amp;"!C:C"),"建筑面积",INDIRECT("'"&amp;A8&amp;"'"&amp;"!D:D"))</f>
        <v>#REF!</v>
      </c>
      <c r="F8" s="3128" t="e">
        <f t="shared" ref="F8:F14" ca="1" si="2">SUMIF(INDIRECT("'"&amp;A8&amp;"'"&amp;"!E:E"),"土地面积",INDIRECT("'"&amp;A8&amp;"'"&amp;"!F:F"))</f>
        <v>#REF!</v>
      </c>
    </row>
    <row r="9" spans="1:6" ht="15.6">
      <c r="A9" s="259"/>
      <c r="B9" s="3127" t="e">
        <f t="shared" ca="1" si="0"/>
        <v>#REF!</v>
      </c>
      <c r="C9" s="3123" t="s">
        <v>2937</v>
      </c>
      <c r="D9" s="1878"/>
      <c r="E9" s="3128" t="e">
        <f t="shared" ca="1" si="1"/>
        <v>#REF!</v>
      </c>
      <c r="F9" s="3128" t="e">
        <f t="shared" ca="1" si="2"/>
        <v>#REF!</v>
      </c>
    </row>
    <row r="10" spans="1:6" ht="15.6">
      <c r="A10" s="259"/>
      <c r="B10" s="3127" t="e">
        <f t="shared" ca="1" si="0"/>
        <v>#REF!</v>
      </c>
      <c r="C10" s="3123" t="s">
        <v>2937</v>
      </c>
      <c r="D10" s="1878"/>
      <c r="E10" s="3128" t="e">
        <f t="shared" ca="1" si="1"/>
        <v>#REF!</v>
      </c>
      <c r="F10" s="3128" t="e">
        <f t="shared" ca="1" si="2"/>
        <v>#REF!</v>
      </c>
    </row>
    <row r="11" spans="1:6" ht="15.6">
      <c r="A11" s="259"/>
      <c r="B11" s="3127" t="e">
        <f t="shared" ca="1" si="0"/>
        <v>#REF!</v>
      </c>
      <c r="C11" s="3123" t="s">
        <v>2937</v>
      </c>
      <c r="D11" s="1878"/>
      <c r="E11" s="3128" t="e">
        <f t="shared" ca="1" si="1"/>
        <v>#REF!</v>
      </c>
      <c r="F11" s="3128" t="e">
        <f t="shared" ca="1" si="2"/>
        <v>#REF!</v>
      </c>
    </row>
    <row r="12" spans="1:6" ht="15.6">
      <c r="A12" s="259"/>
      <c r="B12" s="3127" t="e">
        <f t="shared" ca="1" si="0"/>
        <v>#REF!</v>
      </c>
      <c r="C12" s="3123" t="s">
        <v>2937</v>
      </c>
      <c r="D12" s="1878"/>
      <c r="E12" s="3128" t="e">
        <f t="shared" ca="1" si="1"/>
        <v>#REF!</v>
      </c>
      <c r="F12" s="3128" t="e">
        <f t="shared" ca="1" si="2"/>
        <v>#REF!</v>
      </c>
    </row>
    <row r="13" spans="1:6" ht="15.6">
      <c r="A13" s="259"/>
      <c r="B13" s="3127" t="e">
        <f t="shared" ca="1" si="0"/>
        <v>#REF!</v>
      </c>
      <c r="C13" s="3123" t="s">
        <v>2937</v>
      </c>
      <c r="D13" s="1878"/>
      <c r="E13" s="3128" t="e">
        <f t="shared" ca="1" si="1"/>
        <v>#REF!</v>
      </c>
      <c r="F13" s="3128" t="e">
        <f t="shared" ca="1" si="2"/>
        <v>#REF!</v>
      </c>
    </row>
    <row r="14" spans="1:6" ht="15.6">
      <c r="A14" s="3121"/>
      <c r="B14" s="3127" t="e">
        <f t="shared" ca="1" si="0"/>
        <v>#REF!</v>
      </c>
      <c r="C14" s="3123" t="s">
        <v>2937</v>
      </c>
      <c r="D14" s="1878"/>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624</v>
      </c>
      <c r="B1" s="737"/>
      <c r="C1" s="772"/>
      <c r="D1" s="2047"/>
      <c r="E1" s="2408" t="s">
        <v>2374</v>
      </c>
      <c r="F1" s="2409">
        <f ca="1">J54</f>
        <v>0</v>
      </c>
      <c r="G1" s="773">
        <f>MATCH(C1,'数据-取费表'!A6:A16,0)+5</f>
        <v>7</v>
      </c>
      <c r="H1" s="1349"/>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50"/>
      <c r="D2" s="2052"/>
      <c r="E2" s="2053"/>
      <c r="F2" s="2053"/>
      <c r="G2" s="1586"/>
      <c r="H2" s="1362"/>
      <c r="I2" s="2054"/>
      <c r="J2" s="2054"/>
      <c r="K2" s="2055"/>
      <c r="L2" s="2054"/>
      <c r="M2" s="2054"/>
    </row>
    <row r="3" spans="1:25" ht="18" customHeight="1">
      <c r="A3" s="1641" t="s">
        <v>1683</v>
      </c>
      <c r="B3" s="1388">
        <f ca="1">ROUND(B2*10000/'数据-汇总表'!E3,0)</f>
        <v>0</v>
      </c>
      <c r="C3" s="1350"/>
      <c r="D3" s="2052"/>
      <c r="E3" s="2053"/>
      <c r="F3" s="2053"/>
      <c r="G3" s="1586"/>
      <c r="H3" s="775" t="s">
        <v>691</v>
      </c>
      <c r="I3" s="2054"/>
      <c r="J3" s="2054"/>
      <c r="K3" s="2055"/>
      <c r="L3" s="2054"/>
      <c r="M3" s="2054"/>
    </row>
    <row r="4" spans="1:25" ht="18" customHeight="1">
      <c r="A4" s="1642" t="s">
        <v>692</v>
      </c>
      <c r="B4" s="1351">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49" t="s">
        <v>2463</v>
      </c>
      <c r="C8" s="1822">
        <f ca="1">ROUND(F8*F10*F9*(1-F11)/10000,0)</f>
        <v>0</v>
      </c>
      <c r="D8" s="1819" t="s">
        <v>2534</v>
      </c>
      <c r="E8" s="61" t="s">
        <v>633</v>
      </c>
      <c r="F8" s="784">
        <f ca="1">INDIRECT("'数据-取费表'!u"&amp;$G$1)</f>
        <v>0</v>
      </c>
      <c r="G8" s="1588"/>
      <c r="H8" s="2525" t="s">
        <v>1821</v>
      </c>
      <c r="I8" s="3449" t="s">
        <v>2463</v>
      </c>
      <c r="J8" s="782">
        <f ca="1">ROUND(M8*M10*M9*(1-M11)/10000,0)</f>
        <v>0</v>
      </c>
      <c r="K8" s="340" t="s">
        <v>2534</v>
      </c>
      <c r="L8" s="783" t="s">
        <v>1735</v>
      </c>
      <c r="M8" s="784">
        <f ca="1">INDIRECT("'数据-取费表'!z"&amp;$G$1)</f>
        <v>0</v>
      </c>
    </row>
    <row r="9" spans="1:25" ht="18" customHeight="1">
      <c r="A9" s="2521"/>
      <c r="B9" s="3450"/>
      <c r="C9" s="1823"/>
      <c r="D9" s="1820"/>
      <c r="E9" s="61" t="s">
        <v>634</v>
      </c>
      <c r="F9" s="784">
        <f ca="1">IF(INDIRECT("'数据-取费表'!ah"&amp;$G$1)="",INDIRECT("'数据-取费表'!k"&amp;$G$1),INDIRECT("'数据-取费表'!ah"&amp;$G$1))</f>
        <v>0</v>
      </c>
      <c r="G9" s="1588"/>
      <c r="H9" s="2510"/>
      <c r="I9" s="3450"/>
      <c r="J9" s="787"/>
      <c r="K9" s="788"/>
      <c r="L9" s="783" t="s">
        <v>1736</v>
      </c>
      <c r="M9" s="784">
        <f ca="1">F9</f>
        <v>0</v>
      </c>
    </row>
    <row r="10" spans="1:25" ht="18" customHeight="1">
      <c r="A10" s="2514"/>
      <c r="B10" s="3451"/>
      <c r="C10" s="1823"/>
      <c r="D10" s="1820"/>
      <c r="E10" s="61" t="s">
        <v>635</v>
      </c>
      <c r="F10" s="784">
        <f ca="1">INDIRECT("'数据-取费表'!ai"&amp;$G$1)</f>
        <v>0</v>
      </c>
      <c r="G10" s="1588"/>
      <c r="H10" s="2510"/>
      <c r="I10" s="3451"/>
      <c r="J10" s="787"/>
      <c r="K10" s="788"/>
      <c r="L10" s="783" t="s">
        <v>1737</v>
      </c>
      <c r="M10" s="784">
        <f ca="1">INDIRECT("'数据-取费表'!ai"&amp;$G$1)</f>
        <v>0</v>
      </c>
    </row>
    <row r="11" spans="1:25" ht="18" customHeight="1">
      <c r="A11" s="785"/>
      <c r="B11" s="3452"/>
      <c r="C11" s="1823"/>
      <c r="D11" s="1820"/>
      <c r="E11" s="61" t="s">
        <v>636</v>
      </c>
      <c r="F11" s="793">
        <f ca="1">INDIRECT("'数据-取费表'!w"&amp;$G$1)</f>
        <v>0</v>
      </c>
      <c r="G11" s="1588"/>
      <c r="H11" s="2526"/>
      <c r="I11" s="3451"/>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2967</v>
      </c>
      <c r="E12" s="2519" t="s">
        <v>2464</v>
      </c>
      <c r="F12" s="2642"/>
      <c r="G12" s="1588"/>
      <c r="H12" s="2582" t="s">
        <v>1822</v>
      </c>
      <c r="I12" s="2587" t="s">
        <v>2459</v>
      </c>
      <c r="J12" s="782">
        <f ca="1">ROUND(IF(M12="押一",J8/12*M13,IF(M12="押二",J8/12*2*M13,IF(M12="押三",J8/12*3*M13,J13*M13))),0)</f>
        <v>0</v>
      </c>
      <c r="K12" s="2522" t="s">
        <v>2967</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2824</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0.03</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200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5.5000000000000007E-2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0.02</v>
      </c>
      <c r="G22" s="1589"/>
      <c r="H22" s="1829" t="s">
        <v>1847</v>
      </c>
      <c r="I22" s="1819" t="s">
        <v>664</v>
      </c>
      <c r="J22" s="54">
        <f ca="1">ROUND(M22*M23/10000,0)</f>
        <v>0</v>
      </c>
      <c r="K22" s="813" t="s">
        <v>665</v>
      </c>
      <c r="L22" s="783" t="s">
        <v>666</v>
      </c>
      <c r="M22" s="639">
        <f>'数据-取费表'!B52</f>
        <v>1.5</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0.02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2821</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5.2400000000000002E-2</v>
      </c>
      <c r="D30" s="811" t="s">
        <v>705</v>
      </c>
      <c r="E30" s="783" t="s">
        <v>645</v>
      </c>
      <c r="F30" s="808">
        <f>'数据-取费表'!B41</f>
        <v>5.5000000000000007E-2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2822</v>
      </c>
      <c r="C31" s="2565">
        <f ca="1">ROUND((C21+C22+C25+C28)/(1-F23-C26-C29-C30),0)</f>
        <v>0</v>
      </c>
      <c r="D31" s="2566"/>
      <c r="E31" s="2567"/>
      <c r="F31" s="2568"/>
      <c r="G31" s="1589"/>
      <c r="H31" s="822" t="s">
        <v>1869</v>
      </c>
      <c r="I31" s="3033" t="s">
        <v>2823</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5.5000000000000007E-2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1.5</v>
      </c>
      <c r="G36" s="2059"/>
      <c r="H36" s="2062"/>
      <c r="I36" s="3448"/>
      <c r="J36" s="2076"/>
      <c r="K36" s="2077"/>
      <c r="L36" s="2076"/>
      <c r="M36" s="2076"/>
    </row>
    <row r="37" spans="1:18" ht="18" customHeight="1">
      <c r="A37" s="814"/>
      <c r="B37" s="792"/>
      <c r="C37" s="69"/>
      <c r="D37" s="815"/>
      <c r="E37" s="783" t="s">
        <v>670</v>
      </c>
      <c r="F37" s="784">
        <f ca="1">INDIRECT("'数据-取费表'!r"&amp;$G$1)</f>
        <v>0</v>
      </c>
      <c r="G37" s="2059"/>
      <c r="H37" s="2062"/>
      <c r="I37" s="3448"/>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2"/>
      <c r="D41" s="1353"/>
      <c r="E41" s="1353"/>
      <c r="F41" s="1354"/>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5" t="s">
        <v>708</v>
      </c>
      <c r="E43" s="3141" t="s">
        <v>2955</v>
      </c>
      <c r="F43" s="3142">
        <f ca="1">INDIRECT("'数据-取费表'!j"&amp;$G$1)</f>
        <v>0</v>
      </c>
      <c r="G43" s="2059"/>
      <c r="H43" s="2059"/>
      <c r="I43" s="2059"/>
      <c r="J43" s="2059"/>
      <c r="K43" s="2080"/>
      <c r="L43" s="2059"/>
      <c r="M43" s="2059"/>
    </row>
    <row r="44" spans="1:18" ht="18" customHeight="1">
      <c r="A44" s="802" t="s">
        <v>1875</v>
      </c>
      <c r="B44" s="834" t="s">
        <v>709</v>
      </c>
      <c r="C44" s="1356">
        <f ca="1">C42-C43</f>
        <v>0</v>
      </c>
      <c r="D44" s="462" t="s">
        <v>710</v>
      </c>
      <c r="E44" s="463"/>
      <c r="F44" s="464"/>
      <c r="G44" s="2059"/>
      <c r="H44" s="2059"/>
      <c r="I44" s="2059"/>
      <c r="J44" s="2059"/>
      <c r="K44" s="2080"/>
      <c r="L44" s="2059"/>
      <c r="M44" s="2059"/>
    </row>
    <row r="45" spans="1:18" ht="18" customHeight="1">
      <c r="A45" s="802" t="s">
        <v>1876</v>
      </c>
      <c r="B45" s="1355" t="s">
        <v>711</v>
      </c>
      <c r="C45" s="3054">
        <f ca="1">ROUND(-PV(F45,F46,C44,0),0)</f>
        <v>0</v>
      </c>
      <c r="D45" s="1357" t="s">
        <v>712</v>
      </c>
      <c r="E45" s="805" t="s">
        <v>713</v>
      </c>
      <c r="F45" s="829">
        <f ca="1">INDIRECT("'数据-取费表'!h"&amp;$G$1)</f>
        <v>0</v>
      </c>
      <c r="G45" s="2059"/>
      <c r="H45" s="2059"/>
      <c r="I45" s="2059"/>
      <c r="J45" s="2059"/>
      <c r="K45" s="2080"/>
      <c r="L45" s="2059"/>
      <c r="M45" s="2059"/>
    </row>
    <row r="46" spans="1:18" ht="18" customHeight="1" thickBot="1">
      <c r="A46" s="830"/>
      <c r="B46" s="1358"/>
      <c r="C46" s="1359"/>
      <c r="D46" s="1360"/>
      <c r="E46" s="3143" t="s">
        <v>2958</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38"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453"/>
      <c r="L54" s="3454"/>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15" t="s">
        <v>2355</v>
      </c>
      <c r="J56" s="3139" t="e">
        <f ca="1">ROUND(IF(J48="钢混",J58/J51,1-(1-2%)*(J51-J58)/J51),3)</f>
        <v>#VALUE!</v>
      </c>
      <c r="K56" s="2398" t="s">
        <v>2356</v>
      </c>
      <c r="L56" s="2399"/>
      <c r="O56" s="2425" t="s">
        <v>2411</v>
      </c>
      <c r="P56" s="1588"/>
      <c r="Q56" s="1600"/>
      <c r="R56" s="1588"/>
    </row>
    <row r="57" spans="1:18" s="2056" customFormat="1" ht="47.4" thickBot="1">
      <c r="A57" s="2093"/>
      <c r="B57" s="2094"/>
      <c r="C57" s="2094"/>
      <c r="I57" s="2400" t="s">
        <v>2357</v>
      </c>
      <c r="J57" s="3138" t="s">
        <v>1675</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0"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17" t="s">
        <v>2934</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18">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19">
        <v>0</v>
      </c>
      <c r="O65" s="2425" t="s">
        <v>2415</v>
      </c>
      <c r="P65" s="1588"/>
      <c r="Q65" s="1600"/>
      <c r="R65" s="1588"/>
    </row>
    <row r="66" spans="1:18" s="2056" customFormat="1" ht="16.2" thickBot="1">
      <c r="A66" s="2093"/>
      <c r="B66" s="2094"/>
      <c r="C66" s="2094"/>
      <c r="I66" s="2406" t="s">
        <v>2372</v>
      </c>
      <c r="J66" s="2407">
        <v>40</v>
      </c>
      <c r="K66" s="2407">
        <v>30</v>
      </c>
      <c r="L66" s="2407">
        <v>50</v>
      </c>
      <c r="M66" s="3118">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8" priority="6">
      <formula>$F$12="自定义"</formula>
    </cfRule>
  </conditionalFormatting>
  <conditionalFormatting sqref="J13">
    <cfRule type="expression" dxfId="127" priority="5">
      <formula>$M$10="自定义"</formula>
    </cfRule>
  </conditionalFormatting>
  <conditionalFormatting sqref="K56">
    <cfRule type="expression" dxfId="126" priority="3">
      <formula>$L$48&gt;$J$51</formula>
    </cfRule>
  </conditionalFormatting>
  <conditionalFormatting sqref="I56">
    <cfRule type="expression" dxfId="125" priority="4">
      <formula>$J$51&gt;$L$48</formula>
    </cfRule>
  </conditionalFormatting>
  <conditionalFormatting sqref="I61">
    <cfRule type="expression" dxfId="124" priority="2">
      <formula>$J$51&gt;$L$48</formula>
    </cfRule>
  </conditionalFormatting>
  <conditionalFormatting sqref="K61">
    <cfRule type="expression" dxfId="12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K43" sqref="K43"/>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3058</v>
      </c>
      <c r="D1" s="3144" t="s">
        <v>3062</v>
      </c>
      <c r="E1" s="2408" t="s">
        <v>2374</v>
      </c>
      <c r="F1" s="2409">
        <f>J53</f>
        <v>60</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t="e">
        <f ca="1">C40+J29+L46</f>
        <v>#N/A</v>
      </c>
      <c r="C2" s="2054"/>
      <c r="D2" s="2052"/>
      <c r="E2" s="2053"/>
      <c r="F2" s="2053"/>
      <c r="G2" s="1586"/>
      <c r="H2" s="2054"/>
      <c r="I2" s="2054"/>
      <c r="J2" s="2054"/>
      <c r="K2" s="2055"/>
      <c r="L2" s="2054"/>
      <c r="M2" s="2054"/>
    </row>
    <row r="3" spans="1:33" ht="18" customHeight="1" thickBot="1">
      <c r="A3" s="832" t="s">
        <v>1724</v>
      </c>
      <c r="B3" s="833">
        <f ca="1">IF(ISERROR(B2*10000/F43),0,ROUND(B2*10000/F43,0))</f>
        <v>0</v>
      </c>
      <c r="C3" s="2054"/>
      <c r="D3" s="2052"/>
      <c r="E3" s="2053"/>
      <c r="F3" s="2053"/>
      <c r="G3" s="1586"/>
      <c r="H3" s="775" t="s">
        <v>691</v>
      </c>
      <c r="I3" s="1362"/>
      <c r="J3" s="1362"/>
      <c r="K3" s="1587"/>
      <c r="L3" s="1362"/>
      <c r="M3" s="1362"/>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t="e">
        <f ca="1">C6+C10+C12</f>
        <v>#N/A</v>
      </c>
      <c r="D5" s="2517" t="s">
        <v>2461</v>
      </c>
      <c r="E5" s="2511"/>
      <c r="F5" s="2512"/>
      <c r="G5" s="1588"/>
      <c r="H5" s="780">
        <v>1</v>
      </c>
      <c r="I5" s="781" t="s">
        <v>2458</v>
      </c>
      <c r="J5" s="55" t="e">
        <f ca="1">J6+J10+J12</f>
        <v>#N/A</v>
      </c>
      <c r="K5" s="2517" t="s">
        <v>2461</v>
      </c>
      <c r="L5" s="2511"/>
      <c r="M5" s="2512"/>
    </row>
    <row r="6" spans="1:33" ht="18" customHeight="1">
      <c r="A6" s="1827" t="s">
        <v>1821</v>
      </c>
      <c r="B6" s="3449" t="s">
        <v>2463</v>
      </c>
      <c r="C6" s="782" t="e">
        <f ca="1">ROUND(F6*F8*F7*(1-F9)/10000,0)</f>
        <v>#N/A</v>
      </c>
      <c r="D6" s="2518" t="s">
        <v>2462</v>
      </c>
      <c r="E6" s="783" t="s">
        <v>1735</v>
      </c>
      <c r="F6" s="784" t="e">
        <f ca="1">INDIRECT("'数据-取费表'!u"&amp;$G$1)</f>
        <v>#N/A</v>
      </c>
      <c r="G6" s="1588"/>
      <c r="H6" s="2525" t="s">
        <v>2468</v>
      </c>
      <c r="I6" s="3449" t="s">
        <v>2463</v>
      </c>
      <c r="J6" s="782" t="e">
        <f ca="1">ROUND(M6*M8*M7*(1-M9)/10000,0)</f>
        <v>#N/A</v>
      </c>
      <c r="K6" s="340" t="s">
        <v>1734</v>
      </c>
      <c r="L6" s="783" t="s">
        <v>1735</v>
      </c>
      <c r="M6" s="784" t="e">
        <f ca="1">INDIRECT("'数据-取费表'!z"&amp;$G$1)</f>
        <v>#N/A</v>
      </c>
    </row>
    <row r="7" spans="1:33" ht="18" customHeight="1">
      <c r="A7" s="2521"/>
      <c r="B7" s="3450"/>
      <c r="C7" s="787"/>
      <c r="D7" s="788"/>
      <c r="E7" s="783" t="s">
        <v>1736</v>
      </c>
      <c r="F7" s="784" t="e">
        <f ca="1">IF(INDIRECT("'数据-取费表'!ah"&amp;$G$1)="",INDIRECT("'数据-取费表'!k"&amp;$G$1),INDIRECT("'数据-取费表'!ah"&amp;$G$1))</f>
        <v>#N/A</v>
      </c>
      <c r="G7" s="1588"/>
      <c r="H7" s="2510"/>
      <c r="I7" s="3450"/>
      <c r="J7" s="787"/>
      <c r="K7" s="788"/>
      <c r="L7" s="783" t="s">
        <v>1736</v>
      </c>
      <c r="M7" s="784" t="e">
        <f ca="1">F7</f>
        <v>#N/A</v>
      </c>
    </row>
    <row r="8" spans="1:33" ht="18" customHeight="1">
      <c r="A8" s="2514"/>
      <c r="B8" s="3451"/>
      <c r="C8" s="787"/>
      <c r="D8" s="788"/>
      <c r="E8" s="783" t="s">
        <v>1737</v>
      </c>
      <c r="F8" s="784" t="e">
        <f ca="1">INDIRECT("'数据-取费表'!ai"&amp;$G$1)</f>
        <v>#N/A</v>
      </c>
      <c r="G8" s="1588"/>
      <c r="H8" s="2510"/>
      <c r="I8" s="3451"/>
      <c r="J8" s="787"/>
      <c r="K8" s="788"/>
      <c r="L8" s="783" t="s">
        <v>1737</v>
      </c>
      <c r="M8" s="784" t="e">
        <f ca="1">INDIRECT("'数据-取费表'!ai"&amp;$G$1)</f>
        <v>#N/A</v>
      </c>
    </row>
    <row r="9" spans="1:33" ht="18" customHeight="1">
      <c r="A9" s="785"/>
      <c r="B9" s="3452"/>
      <c r="C9" s="787"/>
      <c r="D9" s="788"/>
      <c r="E9" s="783" t="s">
        <v>1738</v>
      </c>
      <c r="F9" s="793" t="e">
        <f ca="1">INDIRECT("'数据-取费表'!w"&amp;$G$1)</f>
        <v>#N/A</v>
      </c>
      <c r="G9" s="1588"/>
      <c r="H9" s="2526"/>
      <c r="I9" s="3451"/>
      <c r="J9" s="787"/>
      <c r="K9" s="788"/>
      <c r="L9" s="794" t="s">
        <v>1738</v>
      </c>
      <c r="M9" s="795" t="e">
        <f ca="1">INDIRECT("'数据-取费表'!ab"&amp;$G$1)</f>
        <v>#N/A</v>
      </c>
    </row>
    <row r="10" spans="1:33" ht="18" customHeight="1">
      <c r="A10" s="1827" t="s">
        <v>2466</v>
      </c>
      <c r="B10" s="2515" t="s">
        <v>2459</v>
      </c>
      <c r="C10" s="798" t="e">
        <f ca="1">ROUND(IF(F10="押一",C6/12*F11,IF(F10="押二",C6/12*2*F11,IF(F10="押三",C6/12*3*F11,C11*F11))),0)</f>
        <v>#N/A</v>
      </c>
      <c r="D10" s="2522" t="s">
        <v>2967</v>
      </c>
      <c r="E10" s="2519" t="s">
        <v>2464</v>
      </c>
      <c r="F10" s="2642" t="s">
        <v>3063</v>
      </c>
      <c r="G10" s="1588"/>
      <c r="H10" s="2582" t="s">
        <v>2469</v>
      </c>
      <c r="I10" s="2587" t="s">
        <v>2459</v>
      </c>
      <c r="J10" s="782">
        <f ca="1">ROUND(IF(M10="押一",J6/12*M11,IF(M10="押二",J6/12*2*M11,IF(M10="押三",J6/12*3*M11,J11*M11))),0)</f>
        <v>0</v>
      </c>
      <c r="K10" s="2522" t="s">
        <v>2967</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t="e">
        <f ca="1">ROUND(C29*F13,0)</f>
        <v>#N/A</v>
      </c>
      <c r="D13" s="1831" t="s">
        <v>2296</v>
      </c>
      <c r="E13" s="1831" t="s">
        <v>1741</v>
      </c>
      <c r="F13" s="2557" t="e">
        <f ca="1">INDIRECT("'数据-取费表'!y"&amp;$G$1)</f>
        <v>#N/A</v>
      </c>
      <c r="G13" s="1588"/>
      <c r="H13" s="1826">
        <v>2</v>
      </c>
      <c r="I13" s="1824" t="s">
        <v>1739</v>
      </c>
      <c r="J13" s="1816" t="e">
        <f ca="1">ROUND(J14*J15,0)</f>
        <v>#N/A</v>
      </c>
      <c r="K13" s="1818" t="s">
        <v>1740</v>
      </c>
      <c r="L13" s="2573"/>
      <c r="M13" s="2574"/>
    </row>
    <row r="14" spans="1:33" ht="18" customHeight="1">
      <c r="A14" s="1644" t="s">
        <v>1881</v>
      </c>
      <c r="B14" s="783" t="s">
        <v>641</v>
      </c>
      <c r="C14" s="803" t="e">
        <f ca="1">INDIRECT("'数据-取费表'!m"&amp;$G$1)+INDIRECT("'数据-取费表'!t"&amp;$G$1)</f>
        <v>#N/A</v>
      </c>
      <c r="D14" s="1976" t="s">
        <v>1742</v>
      </c>
      <c r="E14" s="1977"/>
      <c r="F14" s="804"/>
      <c r="G14" s="1588"/>
      <c r="H14" s="1645" t="s">
        <v>1827</v>
      </c>
      <c r="I14" s="2228" t="s">
        <v>2825</v>
      </c>
      <c r="J14" s="53" t="e">
        <f ca="1">C29</f>
        <v>#N/A</v>
      </c>
      <c r="K14" s="26"/>
      <c r="L14" s="800"/>
      <c r="M14" s="801"/>
    </row>
    <row r="15" spans="1:33" s="2061" customFormat="1" ht="18" customHeight="1" thickBot="1">
      <c r="A15" s="1644" t="s">
        <v>1882</v>
      </c>
      <c r="B15" s="783" t="s">
        <v>643</v>
      </c>
      <c r="C15" s="53" t="e">
        <f ca="1">ROUND(C14*F15,0)</f>
        <v>#N/A</v>
      </c>
      <c r="D15" s="805" t="s">
        <v>1743</v>
      </c>
      <c r="E15" s="805" t="s">
        <v>1744</v>
      </c>
      <c r="F15" s="806">
        <f>'数据-取费表'!B33</f>
        <v>0.03</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t="e">
        <f ca="1">ROUND(INDIRECT("'数据-取费表'!m"&amp;$G$1)*F16,0)</f>
        <v>#N/A</v>
      </c>
      <c r="D16" s="783" t="s">
        <v>1743</v>
      </c>
      <c r="E16" s="783" t="s">
        <v>1744</v>
      </c>
      <c r="F16" s="808" t="e">
        <f ca="1">IF(INDIRECT("'数据-取费表'!c"&amp;$G$1)="住宅",'数据-取费表'!B34,0)</f>
        <v>#N/A</v>
      </c>
      <c r="G16" s="1588"/>
      <c r="H16" s="1826" t="s">
        <v>1745</v>
      </c>
      <c r="I16" s="1824" t="s">
        <v>1746</v>
      </c>
      <c r="J16" s="791" t="e">
        <f ca="1">ROUND(J17+J22+J23+J24,0)</f>
        <v>#N/A</v>
      </c>
      <c r="K16" s="1818" t="s">
        <v>1747</v>
      </c>
      <c r="L16" s="2507"/>
      <c r="M16" s="2512"/>
    </row>
    <row r="17" spans="1:33" s="2061" customFormat="1" ht="18" customHeight="1">
      <c r="A17" s="1644" t="s">
        <v>1884</v>
      </c>
      <c r="B17" s="783" t="s">
        <v>649</v>
      </c>
      <c r="C17" s="53" t="e">
        <f ca="1">ROUND(F17*(F43+INDIRECT("'数据-取费表'!S"&amp;$G$1))/10000,0)</f>
        <v>#N/A</v>
      </c>
      <c r="D17" s="783" t="s">
        <v>1748</v>
      </c>
      <c r="E17" s="783" t="s">
        <v>1749</v>
      </c>
      <c r="F17" s="56">
        <f>'数据-取费表'!B35</f>
        <v>200</v>
      </c>
      <c r="G17" s="1589"/>
      <c r="H17" s="1645" t="s">
        <v>1827</v>
      </c>
      <c r="I17" s="783" t="s">
        <v>652</v>
      </c>
      <c r="J17" s="53" t="e">
        <f ca="1">ROUND(IF(项目基本情况!B11="自然人",J5*M17,J18+J19+J20),0)</f>
        <v>#N/A</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1743</v>
      </c>
      <c r="E18" s="783" t="s">
        <v>1744</v>
      </c>
      <c r="F18" s="808">
        <f>'数据-取费表'!B36</f>
        <v>1.4999999999999999E-2</v>
      </c>
      <c r="G18" s="1589"/>
      <c r="H18" s="1644" t="s">
        <v>1881</v>
      </c>
      <c r="I18" s="783" t="s">
        <v>1752</v>
      </c>
      <c r="J18" s="53" t="e">
        <f ca="1">ROUND(J5*M18/1.05,1)</f>
        <v>#N/A</v>
      </c>
      <c r="K18" s="2505" t="s">
        <v>1753</v>
      </c>
      <c r="L18" s="783" t="s">
        <v>1744</v>
      </c>
      <c r="M18" s="808">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t="e">
        <f ca="1">SUM(C14:C18)</f>
        <v>#N/A</v>
      </c>
      <c r="D19" s="260" t="s">
        <v>1754</v>
      </c>
      <c r="E19" s="1979"/>
      <c r="F19" s="56"/>
      <c r="G19" s="1588"/>
      <c r="H19" s="1644" t="s">
        <v>1882</v>
      </c>
      <c r="I19" s="783" t="s">
        <v>1755</v>
      </c>
      <c r="J19" s="53" t="e">
        <f ca="1">IF(K19="按租金收入计税",ROUND(J5*M19,1),ROUND(C29*F33*0.7,1))</f>
        <v>#N/A</v>
      </c>
      <c r="K19" s="810" t="s">
        <v>661</v>
      </c>
      <c r="L19" s="783" t="s">
        <v>1744</v>
      </c>
      <c r="M19" s="808">
        <f>IF(K19="按租金收入计税",'数据-取费表'!B51,'数据-取费表'!B50)</f>
        <v>1.2E-2</v>
      </c>
    </row>
    <row r="20" spans="1:33" s="2061" customFormat="1" ht="18" customHeight="1">
      <c r="A20" s="1645" t="s">
        <v>1886</v>
      </c>
      <c r="B20" s="783" t="s">
        <v>662</v>
      </c>
      <c r="C20" s="53" t="e">
        <f ca="1">ROUND(C19*F20,0)</f>
        <v>#N/A</v>
      </c>
      <c r="D20" s="811" t="s">
        <v>1756</v>
      </c>
      <c r="E20" s="783" t="s">
        <v>1744</v>
      </c>
      <c r="F20" s="808">
        <f>'数据-取费表'!B37</f>
        <v>0.02</v>
      </c>
      <c r="G20" s="1589"/>
      <c r="H20" s="1647" t="s">
        <v>1877</v>
      </c>
      <c r="I20" s="340" t="s">
        <v>1757</v>
      </c>
      <c r="J20" s="54" t="e">
        <f ca="1">ROUND(M20*M21/10000,0)</f>
        <v>#N/A</v>
      </c>
      <c r="K20" s="813" t="s">
        <v>1758</v>
      </c>
      <c r="L20" s="783" t="s">
        <v>1759</v>
      </c>
      <c r="M20" s="639">
        <f>'数据-取费表'!B52</f>
        <v>1.5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0.02</v>
      </c>
      <c r="G21" s="1589"/>
      <c r="H21" s="2527"/>
      <c r="I21" s="792"/>
      <c r="J21" s="69"/>
      <c r="K21" s="815"/>
      <c r="L21" s="783" t="s">
        <v>1763</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t="e">
        <f ca="1">ROUND(J14*M22,0)</f>
        <v>#N/A</v>
      </c>
      <c r="K22" s="2505" t="s">
        <v>1766</v>
      </c>
      <c r="L22" s="783" t="s">
        <v>1744</v>
      </c>
      <c r="M22" s="816" t="e">
        <f ca="1">INDIRECT("'数据-取费表'!Ak"&amp;$G$1)</f>
        <v>#N/A</v>
      </c>
    </row>
    <row r="23" spans="1:33" s="2061" customFormat="1" ht="18" customHeight="1">
      <c r="A23" s="1644" t="s">
        <v>1828</v>
      </c>
      <c r="B23" s="783" t="s">
        <v>2535</v>
      </c>
      <c r="C23" s="53" t="e">
        <f ca="1">ROUND(IF('数据-取费表'!B22&lt;=1,(C19+C20)*F24*F23/2,(C19+C20)*(POWER((1+F24),F23/2)-1)),0)</f>
        <v>#N/A</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t="e">
        <f ca="1">ROUND(J13*M23,0)</f>
        <v>#N/A</v>
      </c>
      <c r="K23" s="2505" t="s">
        <v>1768</v>
      </c>
      <c r="L23" s="783" t="s">
        <v>1744</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t="e">
        <f ca="1">ROUND(J5*M24,0)</f>
        <v>#N/A</v>
      </c>
      <c r="K24" s="2566" t="s">
        <v>1771</v>
      </c>
      <c r="L24" s="2567" t="s">
        <v>1744</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1775</v>
      </c>
      <c r="E26" s="794" t="s">
        <v>1776</v>
      </c>
      <c r="F26" s="793" t="e">
        <f ca="1">INDIRECT("'数据-取费表'!q"&amp;$G$1)</f>
        <v>#N/A</v>
      </c>
      <c r="G26" s="1588"/>
      <c r="H26" s="2523" t="s">
        <v>1777</v>
      </c>
      <c r="I26" s="2229" t="s">
        <v>2826</v>
      </c>
      <c r="J26" s="782" t="e">
        <f ca="1">IF(J5&lt;&gt;0,ROUND(J25*(1-((1+M28)/(1+M26))^M27)/(M26-M28),0),0)</f>
        <v>#N/A</v>
      </c>
      <c r="K26" s="813" t="s">
        <v>1778</v>
      </c>
      <c r="L26" s="783" t="s">
        <v>2419</v>
      </c>
      <c r="M26" s="793" t="e">
        <f ca="1">INDIRECT("'数据-取费表'!I"&amp;$G$1)</f>
        <v>#N/A</v>
      </c>
    </row>
    <row r="27" spans="1:33" ht="18" customHeight="1">
      <c r="A27" s="1644" t="s">
        <v>1829</v>
      </c>
      <c r="B27" s="783" t="s">
        <v>682</v>
      </c>
      <c r="C27" s="53" t="e">
        <f ca="1">ROUND(F21*F26,4)</f>
        <v>#N/A</v>
      </c>
      <c r="D27" s="811" t="s">
        <v>1779</v>
      </c>
      <c r="E27" s="805"/>
      <c r="F27" s="806"/>
      <c r="G27" s="1588"/>
      <c r="H27" s="2524"/>
      <c r="I27" s="786"/>
      <c r="J27" s="787"/>
      <c r="K27" s="820" t="s">
        <v>1780</v>
      </c>
      <c r="L27" s="783" t="s">
        <v>1781</v>
      </c>
      <c r="M27" s="821" t="e">
        <f ca="1">INDIRECT("'数据-取费表'!ag"&amp;$G$1)</f>
        <v>#N/A</v>
      </c>
    </row>
    <row r="28" spans="1:33" s="2061" customFormat="1" ht="18" customHeight="1">
      <c r="A28" s="1646" t="s">
        <v>1838</v>
      </c>
      <c r="B28" s="783" t="s">
        <v>683</v>
      </c>
      <c r="C28" s="53">
        <f>ROUND(F28/(1+'数据-取费表'!C42),4)</f>
        <v>5.2400000000000002E-2</v>
      </c>
      <c r="D28" s="811" t="s">
        <v>2298</v>
      </c>
      <c r="E28" s="783" t="s">
        <v>1782</v>
      </c>
      <c r="F28" s="808">
        <f>'数据-取费表'!B41</f>
        <v>5.5000000000000007E-2</v>
      </c>
      <c r="G28" s="1589"/>
      <c r="H28" s="1826"/>
      <c r="I28" s="790"/>
      <c r="J28" s="791"/>
      <c r="K28" s="815"/>
      <c r="L28" s="783" t="s">
        <v>1783</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t="e">
        <f ca="1">ROUND(C31+C36+C37+C38,0)</f>
        <v>#N/A</v>
      </c>
      <c r="D30" s="1818" t="s">
        <v>1788</v>
      </c>
      <c r="E30" s="2507"/>
      <c r="F30" s="2512"/>
      <c r="G30" s="2059"/>
      <c r="H30" s="2062"/>
      <c r="I30" s="2063"/>
      <c r="J30" s="2064"/>
      <c r="K30" s="2065"/>
      <c r="L30" s="2066"/>
      <c r="M30" s="2067"/>
    </row>
    <row r="31" spans="1:33" ht="18" customHeight="1">
      <c r="A31" s="1645" t="s">
        <v>1827</v>
      </c>
      <c r="B31" s="783" t="s">
        <v>652</v>
      </c>
      <c r="C31" s="53" t="e">
        <f ca="1">ROUND(IF(项目基本情况!B11="自然人",C5*F31,C32+C33+C34),1)</f>
        <v>#N/A</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t="e">
        <f ca="1">ROUND(C5*F32/1.05,1)</f>
        <v>#N/A</v>
      </c>
      <c r="D32" s="1974" t="s">
        <v>1792</v>
      </c>
      <c r="E32" s="783" t="s">
        <v>1793</v>
      </c>
      <c r="F32" s="808">
        <f>'数据-取费表'!B41</f>
        <v>5.5000000000000007E-2</v>
      </c>
      <c r="G32" s="2059"/>
      <c r="H32" s="2068"/>
      <c r="I32" s="2069"/>
      <c r="J32" s="2070"/>
      <c r="K32" s="2071"/>
      <c r="L32" s="2072"/>
      <c r="M32" s="2073"/>
    </row>
    <row r="33" spans="1:18" ht="18" customHeight="1">
      <c r="A33" s="1644" t="s">
        <v>1829</v>
      </c>
      <c r="B33" s="783" t="s">
        <v>1794</v>
      </c>
      <c r="C33" s="53" t="e">
        <f ca="1">IF(D33="按租金收入计税",ROUND(C5*F33,1),IF(D33="按房产原值计税",ROUND(C29*F33*0.7,1),INDIRECT("'数据-取费表'!Aj"&amp;$G$1)))</f>
        <v>#N/A</v>
      </c>
      <c r="D33" s="3201" t="s">
        <v>3090</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t="e">
        <f ca="1">ROUND(F34*F35/10000,1)</f>
        <v>#N/A</v>
      </c>
      <c r="D34" s="813" t="s">
        <v>1796</v>
      </c>
      <c r="E34" s="783" t="s">
        <v>1797</v>
      </c>
      <c r="F34" s="639">
        <f>'数据-取费表'!B52</f>
        <v>1.5</v>
      </c>
      <c r="G34" s="2059"/>
      <c r="H34" s="2062"/>
      <c r="I34" s="834" t="s">
        <v>1810</v>
      </c>
      <c r="J34" s="835"/>
      <c r="K34" s="2077"/>
      <c r="L34" s="2076"/>
      <c r="M34" s="2076"/>
    </row>
    <row r="35" spans="1:18" ht="18" customHeight="1">
      <c r="A35" s="814"/>
      <c r="B35" s="792"/>
      <c r="C35" s="69"/>
      <c r="D35" s="815"/>
      <c r="E35" s="783" t="s">
        <v>1798</v>
      </c>
      <c r="F35" s="784" t="e">
        <f ca="1">INDIRECT("'数据-取费表'!r"&amp;$G$1)</f>
        <v>#N/A</v>
      </c>
      <c r="G35" s="2059"/>
      <c r="H35" s="2062"/>
      <c r="I35" s="836" t="s">
        <v>1811</v>
      </c>
      <c r="J35" s="837" t="e">
        <f ca="1">ROUND(C13*J36,0)</f>
        <v>#N/A</v>
      </c>
      <c r="K35" s="2075"/>
      <c r="L35" s="2074"/>
      <c r="M35" s="2074"/>
    </row>
    <row r="36" spans="1:18" ht="18" customHeight="1">
      <c r="A36" s="1645" t="s">
        <v>1886</v>
      </c>
      <c r="B36" s="783" t="s">
        <v>1799</v>
      </c>
      <c r="C36" s="53" t="e">
        <f ca="1">ROUND(C29*F36,1)</f>
        <v>#N/A</v>
      </c>
      <c r="D36" s="1974" t="s">
        <v>1800</v>
      </c>
      <c r="E36" s="783" t="s">
        <v>1793</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1974" t="s">
        <v>1801</v>
      </c>
      <c r="E37" s="783" t="s">
        <v>1793</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1802</v>
      </c>
      <c r="E38" s="2567" t="s">
        <v>1793</v>
      </c>
      <c r="F38" s="2563" t="e">
        <f ca="1">INDIRECT("'数据-取费表'!Am"&amp;$G$1)</f>
        <v>#N/A</v>
      </c>
      <c r="G38" s="2059"/>
      <c r="H38" s="2074"/>
      <c r="I38" s="842" t="s">
        <v>1814</v>
      </c>
      <c r="J38" s="843"/>
      <c r="K38" s="2080"/>
      <c r="L38" s="2074"/>
      <c r="M38" s="2074"/>
    </row>
    <row r="39" spans="1:18" ht="24.6" customHeight="1" thickTop="1">
      <c r="A39" s="1826" t="s">
        <v>1891</v>
      </c>
      <c r="B39" s="3031" t="s">
        <v>2821</v>
      </c>
      <c r="C39" s="791" t="e">
        <f ca="1">C5-C30</f>
        <v>#N/A</v>
      </c>
      <c r="D39" s="2569" t="s">
        <v>1803</v>
      </c>
      <c r="E39" s="2570"/>
      <c r="F39" s="2571"/>
      <c r="G39" s="2059"/>
      <c r="H39" s="2074"/>
      <c r="I39" s="836" t="s">
        <v>1815</v>
      </c>
      <c r="J39" s="844" t="e">
        <f ca="1">ROUND(J35/C39,3)</f>
        <v>#N/A</v>
      </c>
      <c r="K39" s="2080"/>
      <c r="L39" s="2074"/>
      <c r="M39" s="2074"/>
    </row>
    <row r="40" spans="1:18" ht="18" customHeight="1">
      <c r="A40" s="780" t="s">
        <v>1892</v>
      </c>
      <c r="B40" s="2229" t="s">
        <v>2300</v>
      </c>
      <c r="C40" s="782" t="e">
        <f ca="1">ROUND(C39*(1-((1+F42)/(1+F40))^F41)/(F40-F42),0)</f>
        <v>#N/A</v>
      </c>
      <c r="D40" s="813" t="s">
        <v>1804</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2957</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1806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3061</v>
      </c>
      <c r="K47" s="2385" t="s">
        <v>2349</v>
      </c>
      <c r="L47" s="2386" t="e">
        <f ca="1">INDIRECT("'数据-取费表'!d"&amp;$G$1)</f>
        <v>#N/A</v>
      </c>
      <c r="M47" s="1600" t="str">
        <f>IF(ISNUMBER(FIND("住宅",C1)),"住宅","非住宅")</f>
        <v>住宅</v>
      </c>
      <c r="O47" s="2416" t="s">
        <v>2375</v>
      </c>
      <c r="P47" s="2417" t="s">
        <v>2376</v>
      </c>
      <c r="Q47" s="2418" t="s">
        <v>2377</v>
      </c>
      <c r="R47" s="2417" t="s">
        <v>2378</v>
      </c>
    </row>
    <row r="48" spans="1:18" s="2056" customFormat="1" ht="18" customHeight="1" thickBot="1">
      <c r="A48" s="2663" t="s">
        <v>2537</v>
      </c>
      <c r="B48" s="2664" t="s">
        <v>2538</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1736</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1737</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2536</v>
      </c>
      <c r="B52" s="2515" t="s">
        <v>2459</v>
      </c>
      <c r="C52" s="798">
        <f ca="1">ROUND(IF(F52="押一",C48/12*F11,IF(F52="押二",C48/12*2*F11,IF(F52="押三",C48/12*3*F11,C53*F11))),0)</f>
        <v>0</v>
      </c>
      <c r="D52" s="2522" t="s">
        <v>2968</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IF(M47="住宅",J51,IF(D1="——",MIN(J51,L48),IF(D1="土地（套用方法）",MIN(J51,L48-'数据-取费表'!B20))))</f>
        <v>60</v>
      </c>
      <c r="K53" s="3455" t="s">
        <v>2959</v>
      </c>
      <c r="L53" s="3456"/>
      <c r="O53" s="2422" t="s">
        <v>2388</v>
      </c>
      <c r="P53" s="2420" t="s">
        <v>2389</v>
      </c>
      <c r="Q53" s="2421">
        <f>J53</f>
        <v>60</v>
      </c>
      <c r="R53" s="2420" t="s">
        <v>2390</v>
      </c>
    </row>
    <row r="54" spans="1:18" s="2056" customFormat="1" ht="18" customHeight="1" thickBot="1">
      <c r="A54" s="2558" t="s">
        <v>2467</v>
      </c>
      <c r="B54" s="2559" t="s">
        <v>2460</v>
      </c>
      <c r="C54" s="2560"/>
      <c r="D54" s="2522"/>
      <c r="E54" s="2519"/>
      <c r="F54" s="799"/>
      <c r="I54" s="20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5" t="s">
        <v>2355</v>
      </c>
      <c r="J55" s="3114" t="e">
        <f ca="1">ROUND(IF(J47="钢混",J57/J50,1-(1-2%)*(J50-J57)/J50),3)</f>
        <v>#N/A</v>
      </c>
      <c r="K55" s="2398" t="s">
        <v>2356</v>
      </c>
      <c r="L55" s="2399"/>
      <c r="O55" s="2425" t="s">
        <v>2411</v>
      </c>
      <c r="P55" s="1588"/>
      <c r="Q55" s="1600"/>
      <c r="R55" s="1588"/>
    </row>
    <row r="56" spans="1:18" s="2056" customFormat="1" ht="42.75" customHeight="1" thickBot="1">
      <c r="A56" s="1646"/>
      <c r="B56" s="2228" t="s">
        <v>2301</v>
      </c>
      <c r="C56" s="53" t="e">
        <f ca="1">C29</f>
        <v>#N/A</v>
      </c>
      <c r="D56" s="2660"/>
      <c r="E56" s="783"/>
      <c r="F56" s="808"/>
      <c r="I56" s="2400" t="s">
        <v>2357</v>
      </c>
      <c r="J56" s="3138"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1747</v>
      </c>
      <c r="E57" s="2661"/>
      <c r="F57" s="56"/>
      <c r="I57" s="2401" t="s">
        <v>2358</v>
      </c>
      <c r="J57" s="2403" t="e">
        <f ca="1">IF(OR(M47="住宅",J51&lt;L48,J56="是"),"——",J51-L48)</f>
        <v>#N/A</v>
      </c>
      <c r="K57" s="2380" t="s">
        <v>2363</v>
      </c>
      <c r="L57" s="2389" t="e">
        <f ca="1">IF(L48&lt;J51,"——",IF(L55="比较法",L49,IF(L55="基准地价",L50,L51)))</f>
        <v>#N/A</v>
      </c>
      <c r="O57" s="2419" t="s">
        <v>2379</v>
      </c>
      <c r="P57" s="2420" t="s">
        <v>2409</v>
      </c>
      <c r="Q57" s="2421" t="e">
        <f ca="1">C40+J29</f>
        <v>#N/A</v>
      </c>
      <c r="R57" s="2420" t="s">
        <v>2380</v>
      </c>
    </row>
    <row r="58" spans="1:18" s="2056" customFormat="1" ht="28.5" customHeight="1" thickBot="1">
      <c r="A58" s="1645" t="s">
        <v>1821</v>
      </c>
      <c r="B58" s="783" t="s">
        <v>652</v>
      </c>
      <c r="C58" s="53" t="e">
        <f ca="1">ROUND(IF(项目基本情况!B11="自然人",C47*F58,C59+C60+C61),1)</f>
        <v>#N/A</v>
      </c>
      <c r="D58" s="2659" t="s">
        <v>653</v>
      </c>
      <c r="E58" s="2660" t="s">
        <v>686</v>
      </c>
      <c r="F58" s="809" t="str">
        <f ca="1">IF(项目基本情况!B11="企业","",IF(INDIRECT("'数据-取费表'!c"&amp;$G$1)="住宅",5%,IF(F48*F49*F50/12/(1+'数据-取费表'!C42)&gt;20000,12%,7%)))</f>
        <v/>
      </c>
      <c r="I58" s="2401" t="s">
        <v>2359</v>
      </c>
      <c r="J58" s="3116"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2660" t="s">
        <v>1753</v>
      </c>
      <c r="E59" s="783" t="s">
        <v>1744</v>
      </c>
      <c r="F59" s="808">
        <f t="shared" ref="F59:F65" si="0">F32</f>
        <v>5.5000000000000007E-2</v>
      </c>
      <c r="I59" s="2401" t="s">
        <v>2360</v>
      </c>
      <c r="J59" s="2403"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1755</v>
      </c>
      <c r="C60" s="53" t="e">
        <f ca="1">IF(D60="按租金收入计税",ROUND(C47*F60,1),IF(D60="按房产原值计税",ROUND(C56*F60*0.7,1),INDIRECT("'数据-取费表'!Aj"&amp;$G$1)))</f>
        <v>#N/A</v>
      </c>
      <c r="D60" s="2660" t="str">
        <f>D33</f>
        <v>按租金收入计税</v>
      </c>
      <c r="E60" s="783" t="s">
        <v>1744</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1.5</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17" t="s">
        <v>2934</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2660" t="s">
        <v>1800</v>
      </c>
      <c r="E63" s="783" t="s">
        <v>1744</v>
      </c>
      <c r="F63" s="816" t="e">
        <f t="shared" ca="1" si="0"/>
        <v>#N/A</v>
      </c>
      <c r="I63" s="2406" t="s">
        <v>2370</v>
      </c>
      <c r="J63" s="2407">
        <v>70</v>
      </c>
      <c r="K63" s="2407">
        <v>50</v>
      </c>
      <c r="L63" s="2407">
        <v>80</v>
      </c>
      <c r="M63" s="3118">
        <v>0.02</v>
      </c>
      <c r="O63" s="2419" t="s">
        <v>2391</v>
      </c>
      <c r="P63" s="2420" t="s">
        <v>2408</v>
      </c>
      <c r="Q63" s="2421" t="e">
        <f ca="1">Q57+Q58</f>
        <v>#N/A</v>
      </c>
      <c r="R63" s="2424" t="s">
        <v>2392</v>
      </c>
    </row>
    <row r="64" spans="1:18" s="2056" customFormat="1" ht="16.2" thickBot="1">
      <c r="A64" s="1645" t="s">
        <v>1887</v>
      </c>
      <c r="B64" s="783" t="s">
        <v>675</v>
      </c>
      <c r="C64" s="53" t="e">
        <f ca="1">ROUND(C55*F64,1)</f>
        <v>#N/A</v>
      </c>
      <c r="D64" s="2660" t="s">
        <v>676</v>
      </c>
      <c r="E64" s="783" t="s">
        <v>1744</v>
      </c>
      <c r="F64" s="817" t="e">
        <f t="shared" ca="1" si="0"/>
        <v>#N/A</v>
      </c>
      <c r="I64" s="2406" t="s">
        <v>2371</v>
      </c>
      <c r="J64" s="2407">
        <v>50</v>
      </c>
      <c r="K64" s="2407">
        <v>35</v>
      </c>
      <c r="L64" s="2407">
        <v>60</v>
      </c>
      <c r="M64" s="3119">
        <v>0</v>
      </c>
      <c r="O64" s="2425" t="s">
        <v>2415</v>
      </c>
      <c r="P64" s="1588"/>
      <c r="Q64" s="1600"/>
      <c r="R64" s="1588"/>
    </row>
    <row r="65" spans="1:18" s="2056" customFormat="1" ht="16.2" thickBot="1">
      <c r="A65" s="1645" t="s">
        <v>1888</v>
      </c>
      <c r="B65" s="783" t="s">
        <v>662</v>
      </c>
      <c r="C65" s="53" t="e">
        <f ca="1">ROUND(C47*F65,1)</f>
        <v>#N/A</v>
      </c>
      <c r="D65" s="2660" t="s">
        <v>679</v>
      </c>
      <c r="E65" s="783" t="s">
        <v>1744</v>
      </c>
      <c r="F65" s="793" t="e">
        <f t="shared" ca="1" si="0"/>
        <v>#N/A</v>
      </c>
      <c r="I65" s="2406" t="s">
        <v>2372</v>
      </c>
      <c r="J65" s="2407">
        <v>40</v>
      </c>
      <c r="K65" s="2407">
        <v>30</v>
      </c>
      <c r="L65" s="2407">
        <v>50</v>
      </c>
      <c r="M65" s="3118">
        <v>0.02</v>
      </c>
      <c r="O65" s="2416" t="s">
        <v>2375</v>
      </c>
      <c r="P65" s="2417" t="s">
        <v>2376</v>
      </c>
      <c r="Q65" s="2418" t="s">
        <v>2377</v>
      </c>
      <c r="R65" s="2417" t="s">
        <v>2378</v>
      </c>
    </row>
    <row r="66" spans="1:18" s="2056" customFormat="1" ht="24.6" thickBot="1">
      <c r="A66" s="796" t="s">
        <v>1773</v>
      </c>
      <c r="B66" s="3032" t="s">
        <v>2821</v>
      </c>
      <c r="C66" s="798" t="e">
        <f ca="1">C47-C57</f>
        <v>#N/A</v>
      </c>
      <c r="D66" s="2659" t="s">
        <v>696</v>
      </c>
      <c r="E66" s="2658"/>
      <c r="F66" s="819"/>
      <c r="K66" s="2083"/>
      <c r="O66" s="2419" t="s">
        <v>2379</v>
      </c>
      <c r="P66" s="2420" t="s">
        <v>2409</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1781</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2" priority="7">
      <formula>$L$48&gt;$J$51</formula>
    </cfRule>
  </conditionalFormatting>
  <conditionalFormatting sqref="I55">
    <cfRule type="expression" dxfId="121" priority="8">
      <formula>$J$51&gt;$L$48</formula>
    </cfRule>
  </conditionalFormatting>
  <conditionalFormatting sqref="I60">
    <cfRule type="expression" dxfId="120" priority="6">
      <formula>$J$51&gt;$L$48</formula>
    </cfRule>
  </conditionalFormatting>
  <conditionalFormatting sqref="K60">
    <cfRule type="expression" dxfId="119" priority="5">
      <formula>$L$48&gt;$J$51</formula>
    </cfRule>
  </conditionalFormatting>
  <conditionalFormatting sqref="C11">
    <cfRule type="expression" dxfId="118" priority="4">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受贵公司委托，我公司对北京市北京市大兴区旧宫镇旧忠路19号出让国有建设用地使用权抵押价格进行了预评估。</v>
      </c>
    </row>
    <row r="5" spans="1:4" ht="17.399999999999999">
      <c r="A5" s="1791" t="s">
        <v>1902</v>
      </c>
    </row>
    <row r="6" spans="1:4" ht="69.599999999999994">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北京市北京市大兴区旧宫镇旧忠路19号出让国有建设用地使用权。根据《国有土地使用证》[]，估价对象（分摊）出让国有建设用地使用权面积为2990平方米。根据《建设工程规划许可证》[]、《出让合同》[]，估价对象规划建筑面积为8970平方米。</v>
      </c>
    </row>
    <row r="7" spans="1:4" ht="52.2">
      <c r="A7" s="1792" t="s">
        <v>2747</v>
      </c>
    </row>
    <row r="8" spans="1:4" ht="17.399999999999999">
      <c r="A8" s="1791" t="s">
        <v>1903</v>
      </c>
    </row>
    <row r="9" spans="1:4" ht="69.599999999999994">
      <c r="A9" s="1793" t="str">
        <f>IF(项目基本情况!B8="抵押",IF(项目基本情况!B5=项目基本情况!B6,定义!C51,定义!B51),定义!D51)</f>
        <v>0拟使用北京市北京市大兴区旧宫镇旧忠路19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2018年8月28日（评估专业人员勘察现场之日）</v>
      </c>
    </row>
    <row r="12" spans="1:4" ht="17.399999999999999">
      <c r="A12" s="1794" t="s">
        <v>2024</v>
      </c>
    </row>
    <row r="13" spans="1:4" ht="17.399999999999999">
      <c r="A13" s="1788" t="s">
        <v>2933</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根据《国有土地使用证》[]，估价对象（分摊）出让国有建设用地使用权面积为2990平方米。根据《建设工程规划许可证》[]、《出让合同》[]，估价对象规划建筑面积为8970平方米。</v>
      </c>
    </row>
    <row r="21" spans="1:1" ht="17.399999999999999">
      <c r="A21" s="1788" t="s">
        <v>2073</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本次估价对象为出让国有建设用地使用权，《国有土地使用证》[]证载土地终止日期为办公2052年4月22日。截至估价期日，出让国有建设用地使用权剩余土地使用年限为。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8月28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Normal="100" workbookViewId="0">
      <selection activeCell="F42" sqref="F42"/>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1674</v>
      </c>
      <c r="D1" s="3144" t="s">
        <v>3062</v>
      </c>
      <c r="E1" s="2408" t="s">
        <v>866</v>
      </c>
      <c r="F1" s="2409">
        <f ca="1">J53</f>
        <v>31.67</v>
      </c>
      <c r="G1" s="773">
        <f>MATCH(C1,'数据-取费表'!A6:A16,0)+5</f>
        <v>6</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17835</v>
      </c>
      <c r="C2" s="2054"/>
      <c r="D2" s="2052"/>
      <c r="E2" s="2053"/>
      <c r="F2" s="2053"/>
      <c r="G2" s="1586"/>
      <c r="H2" s="2054"/>
      <c r="I2" s="2054"/>
      <c r="J2" s="2054"/>
      <c r="K2" s="2055"/>
      <c r="L2" s="2054"/>
      <c r="M2" s="2054"/>
    </row>
    <row r="3" spans="1:33" ht="18" customHeight="1" thickBot="1">
      <c r="A3" s="832" t="s">
        <v>515</v>
      </c>
      <c r="B3" s="833">
        <f ca="1">IF(ISERROR(B2*10000/F43),0,ROUND(B2*10000/F43,0))</f>
        <v>19883</v>
      </c>
      <c r="C3" s="2054"/>
      <c r="D3" s="2052"/>
      <c r="E3" s="2053"/>
      <c r="F3" s="2053"/>
      <c r="G3" s="1586"/>
      <c r="H3" s="775" t="s">
        <v>691</v>
      </c>
      <c r="I3" s="1362"/>
      <c r="J3" s="1362"/>
      <c r="K3" s="1587"/>
      <c r="L3" s="1362"/>
      <c r="M3" s="1362"/>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1032</v>
      </c>
      <c r="D5" s="2517" t="s">
        <v>2461</v>
      </c>
      <c r="E5" s="2511"/>
      <c r="F5" s="2512"/>
      <c r="G5" s="1588"/>
      <c r="H5" s="780">
        <v>1</v>
      </c>
      <c r="I5" s="781" t="s">
        <v>2458</v>
      </c>
      <c r="J5" s="55">
        <f ca="1">J6+J10+J12</f>
        <v>0</v>
      </c>
      <c r="K5" s="2517" t="s">
        <v>2461</v>
      </c>
      <c r="L5" s="2511"/>
      <c r="M5" s="2512"/>
    </row>
    <row r="6" spans="1:33" ht="18" customHeight="1">
      <c r="A6" s="1827" t="s">
        <v>1821</v>
      </c>
      <c r="B6" s="3449" t="s">
        <v>2463</v>
      </c>
      <c r="C6" s="782">
        <f ca="1">ROUND(F6*F8*F7*(1-F9)/10000,0)</f>
        <v>1031</v>
      </c>
      <c r="D6" s="2518" t="s">
        <v>2462</v>
      </c>
      <c r="E6" s="783" t="s">
        <v>1735</v>
      </c>
      <c r="F6" s="784">
        <f ca="1">INDIRECT("'数据-取费表'!u"&amp;$G$1)</f>
        <v>3.5</v>
      </c>
      <c r="G6" s="1588"/>
      <c r="H6" s="2525" t="s">
        <v>1821</v>
      </c>
      <c r="I6" s="3449" t="s">
        <v>2463</v>
      </c>
      <c r="J6" s="782">
        <f ca="1">ROUND(M6*M8*M7*(1-M9)/10000,0)</f>
        <v>0</v>
      </c>
      <c r="K6" s="340" t="s">
        <v>632</v>
      </c>
      <c r="L6" s="783" t="s">
        <v>1735</v>
      </c>
      <c r="M6" s="784">
        <f ca="1">INDIRECT("'数据-取费表'!z"&amp;$G$1)</f>
        <v>0</v>
      </c>
    </row>
    <row r="7" spans="1:33" ht="18" customHeight="1">
      <c r="A7" s="2521"/>
      <c r="B7" s="3450"/>
      <c r="C7" s="787"/>
      <c r="D7" s="788"/>
      <c r="E7" s="783" t="s">
        <v>634</v>
      </c>
      <c r="F7" s="784">
        <f ca="1">IF(INDIRECT("'数据-取费表'!ah"&amp;$G$1)="",INDIRECT("'数据-取费表'!k"&amp;$G$1),INDIRECT("'数据-取费表'!ah"&amp;$G$1))</f>
        <v>8970</v>
      </c>
      <c r="G7" s="1588"/>
      <c r="H7" s="2510"/>
      <c r="I7" s="3450"/>
      <c r="J7" s="787"/>
      <c r="K7" s="788"/>
      <c r="L7" s="783" t="s">
        <v>634</v>
      </c>
      <c r="M7" s="784">
        <f ca="1">F7</f>
        <v>8970</v>
      </c>
    </row>
    <row r="8" spans="1:33" ht="18" customHeight="1">
      <c r="A8" s="2514"/>
      <c r="B8" s="3451"/>
      <c r="C8" s="787"/>
      <c r="D8" s="788"/>
      <c r="E8" s="783" t="s">
        <v>635</v>
      </c>
      <c r="F8" s="784">
        <f ca="1">INDIRECT("'数据-取费表'!ai"&amp;$G$1)</f>
        <v>365</v>
      </c>
      <c r="G8" s="1588"/>
      <c r="H8" s="2510"/>
      <c r="I8" s="3451"/>
      <c r="J8" s="787"/>
      <c r="K8" s="788"/>
      <c r="L8" s="783" t="s">
        <v>635</v>
      </c>
      <c r="M8" s="784">
        <f ca="1">INDIRECT("'数据-取费表'!ai"&amp;$G$1)</f>
        <v>365</v>
      </c>
    </row>
    <row r="9" spans="1:33" ht="18" customHeight="1">
      <c r="A9" s="785"/>
      <c r="B9" s="3452"/>
      <c r="C9" s="787"/>
      <c r="D9" s="788"/>
      <c r="E9" s="783" t="s">
        <v>636</v>
      </c>
      <c r="F9" s="793">
        <f ca="1">INDIRECT("'数据-取费表'!w"&amp;$G$1)</f>
        <v>0.1</v>
      </c>
      <c r="G9" s="1588"/>
      <c r="H9" s="2526"/>
      <c r="I9" s="3451"/>
      <c r="J9" s="787"/>
      <c r="K9" s="788"/>
      <c r="L9" s="794" t="s">
        <v>636</v>
      </c>
      <c r="M9" s="795">
        <f ca="1">INDIRECT("'数据-取费表'!ab"&amp;$G$1)</f>
        <v>0</v>
      </c>
    </row>
    <row r="10" spans="1:33" ht="18" customHeight="1">
      <c r="A10" s="1827" t="s">
        <v>1822</v>
      </c>
      <c r="B10" s="2515" t="s">
        <v>2459</v>
      </c>
      <c r="C10" s="798">
        <f ca="1">ROUND(IF(F10="押一",C6/12*F11,IF(F10="押二",C6/12*2*F11,IF(F10="押三",C6/12*3*F11,C11*F11))),0)</f>
        <v>1</v>
      </c>
      <c r="D10" s="2522" t="s">
        <v>2967</v>
      </c>
      <c r="E10" s="2519" t="s">
        <v>2464</v>
      </c>
      <c r="F10" s="2642" t="s">
        <v>3063</v>
      </c>
      <c r="G10" s="1588"/>
      <c r="H10" s="2582" t="s">
        <v>1822</v>
      </c>
      <c r="I10" s="2587" t="s">
        <v>2459</v>
      </c>
      <c r="J10" s="782">
        <f ca="1">ROUND(IF(M10="押一",J6/12*M11,IF(M10="押二",J6/12*2*M11,IF(M10="押三",J6/12*3*M11,J11*M11))),0)</f>
        <v>0</v>
      </c>
      <c r="K10" s="2522" t="s">
        <v>2967</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3708</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2512</v>
      </c>
      <c r="D14" s="3171" t="s">
        <v>1742</v>
      </c>
      <c r="E14" s="3170"/>
      <c r="F14" s="804"/>
      <c r="G14" s="1588"/>
      <c r="H14" s="1645" t="s">
        <v>1821</v>
      </c>
      <c r="I14" s="2228" t="s">
        <v>2824</v>
      </c>
      <c r="J14" s="53">
        <f ca="1">C29</f>
        <v>3708</v>
      </c>
      <c r="K14" s="26"/>
      <c r="L14" s="800"/>
      <c r="M14" s="801"/>
    </row>
    <row r="15" spans="1:33" s="2061" customFormat="1" ht="18" customHeight="1" thickBot="1">
      <c r="A15" s="1644" t="s">
        <v>1829</v>
      </c>
      <c r="B15" s="783" t="s">
        <v>643</v>
      </c>
      <c r="C15" s="53">
        <f ca="1">ROUND(C14*F15,0)</f>
        <v>75</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368</v>
      </c>
      <c r="K16" s="1818" t="s">
        <v>648</v>
      </c>
      <c r="L16" s="3173"/>
      <c r="M16" s="2512"/>
    </row>
    <row r="17" spans="1:33" s="2061" customFormat="1" ht="18" customHeight="1">
      <c r="A17" s="1644" t="s">
        <v>1884</v>
      </c>
      <c r="B17" s="783" t="s">
        <v>649</v>
      </c>
      <c r="C17" s="53">
        <f ca="1">ROUND(F17*(F43+INDIRECT("'数据-取费表'!S"&amp;$G$1))/10000,0)</f>
        <v>179</v>
      </c>
      <c r="D17" s="783" t="s">
        <v>650</v>
      </c>
      <c r="E17" s="783" t="s">
        <v>651</v>
      </c>
      <c r="F17" s="56">
        <f>'数据-取费表'!B35</f>
        <v>200</v>
      </c>
      <c r="G17" s="1589"/>
      <c r="H17" s="1645" t="s">
        <v>1821</v>
      </c>
      <c r="I17" s="783" t="s">
        <v>652</v>
      </c>
      <c r="J17" s="53">
        <f ca="1">ROUND(IF(项目基本情况!B11="自然人",J5*M17,J18+J19+J20),0)</f>
        <v>312</v>
      </c>
      <c r="K17" s="3171" t="s">
        <v>653</v>
      </c>
      <c r="L17" s="3172"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38</v>
      </c>
      <c r="D18" s="783" t="s">
        <v>644</v>
      </c>
      <c r="E18" s="783" t="s">
        <v>645</v>
      </c>
      <c r="F18" s="808">
        <f>'数据-取费表'!B36</f>
        <v>1.4999999999999999E-2</v>
      </c>
      <c r="G18" s="1589"/>
      <c r="H18" s="1644" t="s">
        <v>1828</v>
      </c>
      <c r="I18" s="783" t="s">
        <v>656</v>
      </c>
      <c r="J18" s="53">
        <f ca="1">ROUND(J5*M18/1.05,1)</f>
        <v>0</v>
      </c>
      <c r="K18" s="3172" t="s">
        <v>657</v>
      </c>
      <c r="L18" s="783" t="s">
        <v>645</v>
      </c>
      <c r="M18" s="808">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2804</v>
      </c>
      <c r="D19" s="260" t="s">
        <v>1754</v>
      </c>
      <c r="E19" s="3174"/>
      <c r="F19" s="56"/>
      <c r="G19" s="1588"/>
      <c r="H19" s="1644" t="s">
        <v>1829</v>
      </c>
      <c r="I19" s="783" t="s">
        <v>660</v>
      </c>
      <c r="J19" s="53">
        <f ca="1">IF(K19="按租金收入计税",ROUND(J5*M19,1),ROUND(C29*F33*0.7,1))</f>
        <v>311.5</v>
      </c>
      <c r="K19" s="810" t="s">
        <v>661</v>
      </c>
      <c r="L19" s="783" t="s">
        <v>645</v>
      </c>
      <c r="M19" s="808">
        <f>IF(K19="按租金收入计税",'数据-取费表'!B51,'数据-取费表'!B50)</f>
        <v>1.2E-2</v>
      </c>
    </row>
    <row r="20" spans="1:33" s="2061" customFormat="1" ht="18" customHeight="1">
      <c r="A20" s="1645" t="s">
        <v>1886</v>
      </c>
      <c r="B20" s="783" t="s">
        <v>662</v>
      </c>
      <c r="C20" s="53">
        <f ca="1">ROUND(C19*F20,0)</f>
        <v>56</v>
      </c>
      <c r="D20" s="811" t="s">
        <v>663</v>
      </c>
      <c r="E20" s="783" t="s">
        <v>645</v>
      </c>
      <c r="F20" s="808">
        <f>'数据-取费表'!B37</f>
        <v>0.02</v>
      </c>
      <c r="G20" s="1589"/>
      <c r="H20" s="1647" t="s">
        <v>1830</v>
      </c>
      <c r="I20" s="340" t="s">
        <v>664</v>
      </c>
      <c r="J20" s="54">
        <f ca="1">ROUND(M20*M21/10000,0)</f>
        <v>0</v>
      </c>
      <c r="K20" s="813" t="s">
        <v>1758</v>
      </c>
      <c r="L20" s="783" t="s">
        <v>666</v>
      </c>
      <c r="M20" s="639">
        <f>'数据-取费表'!B52</f>
        <v>1.5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2990</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4"/>
      <c r="F22" s="56"/>
      <c r="G22" s="1588"/>
      <c r="H22" s="1645" t="s">
        <v>1886</v>
      </c>
      <c r="I22" s="783" t="s">
        <v>672</v>
      </c>
      <c r="J22" s="53">
        <f ca="1">ROUND(J14*M22,0)</f>
        <v>56</v>
      </c>
      <c r="K22" s="3172"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136</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2"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4"/>
      <c r="F25" s="56"/>
      <c r="G25" s="1588"/>
      <c r="H25" s="1826" t="s">
        <v>1773</v>
      </c>
      <c r="I25" s="3031" t="s">
        <v>2821</v>
      </c>
      <c r="J25" s="791">
        <f ca="1">J5-J16</f>
        <v>-368</v>
      </c>
      <c r="K25" s="2569" t="s">
        <v>1774</v>
      </c>
      <c r="L25" s="2570"/>
      <c r="M25" s="2571"/>
    </row>
    <row r="26" spans="1:33" ht="18" customHeight="1">
      <c r="A26" s="1644" t="s">
        <v>1828</v>
      </c>
      <c r="B26" s="783" t="s">
        <v>2438</v>
      </c>
      <c r="C26" s="53">
        <f ca="1">ROUND((C19+C20)*F26,0)</f>
        <v>429</v>
      </c>
      <c r="D26" s="811" t="s">
        <v>697</v>
      </c>
      <c r="E26" s="794" t="s">
        <v>698</v>
      </c>
      <c r="F26" s="793">
        <f ca="1">INDIRECT("'数据-取费表'!q"&amp;$G$1)</f>
        <v>0.15</v>
      </c>
      <c r="G26" s="1588"/>
      <c r="H26" s="2523" t="s">
        <v>1777</v>
      </c>
      <c r="I26" s="2229" t="s">
        <v>2826</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3.0000000000000001E-3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5.2400000000000002E-2</v>
      </c>
      <c r="D28" s="811" t="s">
        <v>2298</v>
      </c>
      <c r="E28" s="783" t="s">
        <v>645</v>
      </c>
      <c r="F28" s="808">
        <f>'数据-取费表'!B41</f>
        <v>5.5000000000000007E-2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3708</v>
      </c>
      <c r="D29" s="2566"/>
      <c r="E29" s="2567"/>
      <c r="F29" s="2568"/>
      <c r="G29" s="1589"/>
      <c r="H29" s="822" t="s">
        <v>1784</v>
      </c>
      <c r="I29" s="823" t="s">
        <v>1785</v>
      </c>
      <c r="J29" s="824">
        <f ca="1">ROUND(J26/(1+F40)^F41,0)</f>
        <v>0</v>
      </c>
      <c r="K29" s="825" t="s">
        <v>1786</v>
      </c>
      <c r="L29" s="826"/>
      <c r="M29" s="827">
        <f ca="1">INDIRECT("'数据-取费表'!k"&amp;$G$1)</f>
        <v>8970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250</v>
      </c>
      <c r="D30" s="1818" t="s">
        <v>648</v>
      </c>
      <c r="E30" s="3173"/>
      <c r="F30" s="2512"/>
      <c r="G30" s="2059"/>
      <c r="H30" s="2062"/>
      <c r="I30" s="2063"/>
      <c r="J30" s="2064"/>
      <c r="K30" s="2065"/>
      <c r="L30" s="2066"/>
      <c r="M30" s="2067"/>
    </row>
    <row r="31" spans="1:33" ht="18" customHeight="1">
      <c r="A31" s="1645" t="s">
        <v>1821</v>
      </c>
      <c r="B31" s="783" t="s">
        <v>652</v>
      </c>
      <c r="C31" s="53">
        <f ca="1">ROUND(IF(项目基本情况!B11="自然人",C5*F31,C32+C33+C34),1)</f>
        <v>178.3</v>
      </c>
      <c r="D31" s="3171" t="s">
        <v>653</v>
      </c>
      <c r="E31" s="3172"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54.1</v>
      </c>
      <c r="D32" s="3172" t="s">
        <v>657</v>
      </c>
      <c r="E32" s="783" t="s">
        <v>645</v>
      </c>
      <c r="F32" s="808">
        <f>'数据-取费表'!B41</f>
        <v>5.5000000000000007E-2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123.8</v>
      </c>
      <c r="D33" s="3213" t="s">
        <v>3090</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0.4</v>
      </c>
      <c r="D34" s="813" t="s">
        <v>1758</v>
      </c>
      <c r="E34" s="783" t="s">
        <v>666</v>
      </c>
      <c r="F34" s="639">
        <f>'数据-取费表'!B52</f>
        <v>1.5</v>
      </c>
      <c r="G34" s="2059"/>
      <c r="H34" s="2062"/>
      <c r="I34" s="834" t="s">
        <v>1810</v>
      </c>
      <c r="J34" s="835"/>
      <c r="K34" s="2077"/>
      <c r="L34" s="2076"/>
      <c r="M34" s="2076"/>
    </row>
    <row r="35" spans="1:18" ht="18" customHeight="1">
      <c r="A35" s="814"/>
      <c r="B35" s="792"/>
      <c r="C35" s="69"/>
      <c r="D35" s="815"/>
      <c r="E35" s="783" t="s">
        <v>670</v>
      </c>
      <c r="F35" s="784">
        <f ca="1">INDIRECT("'数据-取费表'!r"&amp;$G$1)</f>
        <v>2990</v>
      </c>
      <c r="G35" s="2059"/>
      <c r="H35" s="2062"/>
      <c r="I35" s="836" t="s">
        <v>1811</v>
      </c>
      <c r="J35" s="837">
        <f ca="1">ROUND(C13*J36,0)</f>
        <v>297</v>
      </c>
      <c r="K35" s="2075"/>
      <c r="L35" s="2074"/>
      <c r="M35" s="2074"/>
    </row>
    <row r="36" spans="1:18" ht="18" customHeight="1">
      <c r="A36" s="1645" t="s">
        <v>1886</v>
      </c>
      <c r="B36" s="783" t="s">
        <v>672</v>
      </c>
      <c r="C36" s="53">
        <f ca="1">ROUND(C29*F36,1)</f>
        <v>55.6</v>
      </c>
      <c r="D36" s="3172"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5.6</v>
      </c>
      <c r="D37" s="3172"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10.3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2821</v>
      </c>
      <c r="C39" s="791">
        <f ca="1">C5-C30</f>
        <v>782</v>
      </c>
      <c r="D39" s="2569" t="s">
        <v>1774</v>
      </c>
      <c r="E39" s="2570"/>
      <c r="F39" s="2571"/>
      <c r="G39" s="2059"/>
      <c r="H39" s="2074"/>
      <c r="I39" s="836" t="s">
        <v>1815</v>
      </c>
      <c r="J39" s="844">
        <f ca="1">ROUND(J35/C39,3)</f>
        <v>0.38</v>
      </c>
      <c r="K39" s="2080"/>
      <c r="L39" s="2074"/>
      <c r="M39" s="2074"/>
    </row>
    <row r="40" spans="1:18" ht="18" customHeight="1">
      <c r="A40" s="780" t="s">
        <v>1777</v>
      </c>
      <c r="B40" s="2229" t="s">
        <v>2300</v>
      </c>
      <c r="C40" s="782">
        <f ca="1">ROUND(C39*(1-((1+F42)/(1+F40))^F41)/(F40-F42),0)</f>
        <v>17835</v>
      </c>
      <c r="D40" s="813" t="s">
        <v>700</v>
      </c>
      <c r="E40" s="783" t="s">
        <v>2419</v>
      </c>
      <c r="F40" s="793">
        <f ca="1">INDIRECT("'数据-取费表'!I"&amp;$G$1)</f>
        <v>0.05</v>
      </c>
      <c r="G40" s="2059"/>
      <c r="H40" s="2059"/>
      <c r="I40" s="836" t="s">
        <v>1816</v>
      </c>
      <c r="J40" s="844">
        <f ca="1">1-J39</f>
        <v>0.62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31.67</v>
      </c>
      <c r="G41" s="2059"/>
      <c r="H41" s="1985"/>
      <c r="I41" s="842" t="s">
        <v>1817</v>
      </c>
      <c r="J41" s="845"/>
      <c r="K41" s="2079"/>
      <c r="L41" s="1985"/>
      <c r="M41" s="1985"/>
    </row>
    <row r="42" spans="1:18" ht="18" customHeight="1">
      <c r="A42" s="789"/>
      <c r="B42" s="790"/>
      <c r="C42" s="791"/>
      <c r="D42" s="815"/>
      <c r="E42" s="783" t="s">
        <v>706</v>
      </c>
      <c r="F42" s="793">
        <f ca="1">INDIRECT("'数据-取费表'!v"&amp;$G$1)</f>
        <v>0.03</v>
      </c>
      <c r="G42" s="2059"/>
      <c r="H42" s="1985"/>
      <c r="I42" s="846" t="s">
        <v>1818</v>
      </c>
      <c r="J42" s="844">
        <f ca="1">ROUND(C13/C40,3)</f>
        <v>0.20799999999999999</v>
      </c>
      <c r="K42" s="2079"/>
      <c r="L42" s="1985"/>
      <c r="M42" s="1985"/>
    </row>
    <row r="43" spans="1:18" ht="18" customHeight="1" thickBot="1">
      <c r="A43" s="822" t="s">
        <v>1784</v>
      </c>
      <c r="B43" s="823" t="s">
        <v>1807</v>
      </c>
      <c r="C43" s="824">
        <f ca="1">ROUND(C40*10000/F43,0)</f>
        <v>19883</v>
      </c>
      <c r="D43" s="825" t="s">
        <v>1808</v>
      </c>
      <c r="E43" s="826" t="s">
        <v>1809</v>
      </c>
      <c r="F43" s="827">
        <f ca="1">INDIRECT("'数据-取费表'!k"&amp;$G$1)</f>
        <v>8970</v>
      </c>
      <c r="G43" s="2059"/>
      <c r="H43" s="1985"/>
      <c r="I43" s="846" t="s">
        <v>1819</v>
      </c>
      <c r="J43" s="847">
        <f ca="1">1-J42</f>
        <v>0.79200000000000004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-18811</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3061</v>
      </c>
      <c r="K47" s="2385" t="s">
        <v>2349</v>
      </c>
      <c r="L47" s="2386">
        <f ca="1">INDIRECT("'数据-取费表'!d"&amp;$G$1)</f>
        <v>50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33.67</v>
      </c>
      <c r="O48" s="2419" t="s">
        <v>2379</v>
      </c>
      <c r="P48" s="2420" t="s">
        <v>2405</v>
      </c>
      <c r="Q48" s="2421">
        <f ca="1">C40+J29</f>
        <v>17835</v>
      </c>
      <c r="R48" s="2420" t="s">
        <v>2380</v>
      </c>
    </row>
    <row r="49" spans="1:18" s="2056" customFormat="1" ht="18" customHeight="1" thickBot="1">
      <c r="A49" s="785"/>
      <c r="B49" s="786"/>
      <c r="C49" s="787"/>
      <c r="D49" s="788"/>
      <c r="E49" s="783" t="s">
        <v>634</v>
      </c>
      <c r="F49" s="784">
        <f ca="1">F7</f>
        <v>8970</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3708</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8336</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2967</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31.67</v>
      </c>
      <c r="K53" s="3455" t="s">
        <v>2959</v>
      </c>
      <c r="L53" s="3456"/>
      <c r="O53" s="2422" t="s">
        <v>2388</v>
      </c>
      <c r="P53" s="2420" t="s">
        <v>2389</v>
      </c>
      <c r="Q53" s="2421">
        <f ca="1">J53</f>
        <v>31.67</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17835</v>
      </c>
      <c r="R54" s="2424" t="s">
        <v>2392</v>
      </c>
    </row>
    <row r="55" spans="1:18" s="2056" customFormat="1" ht="18" customHeight="1" thickTop="1" thickBot="1">
      <c r="A55" s="796">
        <v>2</v>
      </c>
      <c r="B55" s="797" t="s">
        <v>640</v>
      </c>
      <c r="C55" s="798">
        <f ca="1">C13</f>
        <v>3708</v>
      </c>
      <c r="D55" s="794"/>
      <c r="E55" s="794"/>
      <c r="F55" s="799"/>
      <c r="I55" s="3115" t="s">
        <v>2355</v>
      </c>
      <c r="J55" s="3114"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3708</v>
      </c>
      <c r="D56" s="3172"/>
      <c r="E56" s="783"/>
      <c r="F56" s="808"/>
      <c r="I56" s="2400" t="s">
        <v>2357</v>
      </c>
      <c r="J56" s="3138"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62</v>
      </c>
      <c r="D57" s="26" t="s">
        <v>648</v>
      </c>
      <c r="E57" s="3174"/>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17835</v>
      </c>
      <c r="R57" s="2420" t="s">
        <v>2380</v>
      </c>
    </row>
    <row r="58" spans="1:18" s="2056" customFormat="1" ht="28.5" customHeight="1" thickBot="1">
      <c r="A58" s="1645" t="s">
        <v>1821</v>
      </c>
      <c r="B58" s="783" t="s">
        <v>652</v>
      </c>
      <c r="C58" s="53">
        <f ca="1">ROUND(IF(项目基本情况!B11="自然人",C47*F58,C59+C60+C61),1)</f>
        <v>0.4</v>
      </c>
      <c r="D58" s="3171" t="s">
        <v>653</v>
      </c>
      <c r="E58" s="3172" t="s">
        <v>686</v>
      </c>
      <c r="F58" s="809" t="str">
        <f ca="1">IF(项目基本情况!B11="企业","",IF(INDIRECT("'数据-取费表'!c"&amp;$G$1)="住宅",5%,IF(F48*F49*F50/12/(1+'数据-取费表'!C42)&gt;20000,12%,7%)))</f>
        <v/>
      </c>
      <c r="I58" s="2401" t="s">
        <v>2359</v>
      </c>
      <c r="J58" s="3116"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2" t="s">
        <v>657</v>
      </c>
      <c r="E59" s="783" t="s">
        <v>645</v>
      </c>
      <c r="F59" s="808">
        <f t="shared" ref="F59:F65" si="0">F32</f>
        <v>5.5000000000000007E-2</v>
      </c>
      <c r="I59" s="2401" t="s">
        <v>2360</v>
      </c>
      <c r="J59" s="2403"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2"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0.4</v>
      </c>
      <c r="D61" s="813" t="s">
        <v>665</v>
      </c>
      <c r="E61" s="783" t="s">
        <v>666</v>
      </c>
      <c r="F61" s="639">
        <f t="shared" si="0"/>
        <v>1.5</v>
      </c>
      <c r="K61" s="2083"/>
      <c r="O61" s="2422" t="s">
        <v>2386</v>
      </c>
      <c r="P61" s="2420" t="s">
        <v>2394</v>
      </c>
      <c r="Q61" s="2421" t="e">
        <f ca="1">L58</f>
        <v>#DIV/0!</v>
      </c>
      <c r="R61" s="2424" t="s">
        <v>2395</v>
      </c>
    </row>
    <row r="62" spans="1:18" s="2056" customFormat="1" ht="16.2" thickBot="1">
      <c r="A62" s="814"/>
      <c r="B62" s="792"/>
      <c r="C62" s="69"/>
      <c r="D62" s="815"/>
      <c r="E62" s="783" t="s">
        <v>670</v>
      </c>
      <c r="F62" s="784">
        <f t="shared" ca="1" si="0"/>
        <v>2990</v>
      </c>
      <c r="I62" s="2406" t="s">
        <v>2367</v>
      </c>
      <c r="J62" s="2407" t="s">
        <v>2368</v>
      </c>
      <c r="K62" s="2407" t="s">
        <v>2369</v>
      </c>
      <c r="L62" s="2407" t="s">
        <v>2350</v>
      </c>
      <c r="M62" s="3117" t="s">
        <v>2934</v>
      </c>
      <c r="O62" s="2422" t="s">
        <v>2388</v>
      </c>
      <c r="P62" s="2420" t="str">
        <f>K59</f>
        <v>建设期及建筑物耐用年限下的土地年期修正系数Kn</v>
      </c>
      <c r="Q62" s="2421" t="e">
        <f ca="1">L59</f>
        <v>#DIV/0!</v>
      </c>
      <c r="R62" s="2424" t="s">
        <v>2397</v>
      </c>
    </row>
    <row r="63" spans="1:18" s="2056" customFormat="1" ht="16.2" thickBot="1">
      <c r="A63" s="1645" t="s">
        <v>1886</v>
      </c>
      <c r="B63" s="783" t="s">
        <v>672</v>
      </c>
      <c r="C63" s="53">
        <f ca="1">ROUND(C56*F63,1)</f>
        <v>55.6</v>
      </c>
      <c r="D63" s="3172" t="s">
        <v>687</v>
      </c>
      <c r="E63" s="783" t="s">
        <v>645</v>
      </c>
      <c r="F63" s="816">
        <f t="shared" ca="1" si="0"/>
        <v>1.4999999999999999E-2</v>
      </c>
      <c r="I63" s="2406" t="s">
        <v>2370</v>
      </c>
      <c r="J63" s="2407">
        <v>70</v>
      </c>
      <c r="K63" s="2407">
        <v>50</v>
      </c>
      <c r="L63" s="2407">
        <v>80</v>
      </c>
      <c r="M63" s="3118">
        <v>0.02</v>
      </c>
      <c r="O63" s="2419" t="s">
        <v>2391</v>
      </c>
      <c r="P63" s="2420" t="s">
        <v>2408</v>
      </c>
      <c r="Q63" s="2421">
        <f ca="1">Q57+Q58</f>
        <v>17835</v>
      </c>
      <c r="R63" s="2424" t="s">
        <v>2392</v>
      </c>
    </row>
    <row r="64" spans="1:18" s="2056" customFormat="1" ht="16.2" thickBot="1">
      <c r="A64" s="1645" t="s">
        <v>1887</v>
      </c>
      <c r="B64" s="783" t="s">
        <v>675</v>
      </c>
      <c r="C64" s="53">
        <f ca="1">ROUND(C55*F64,1)</f>
        <v>5.6</v>
      </c>
      <c r="D64" s="3172" t="s">
        <v>676</v>
      </c>
      <c r="E64" s="783" t="s">
        <v>645</v>
      </c>
      <c r="F64" s="817">
        <f t="shared" ca="1" si="0"/>
        <v>1.5E-3</v>
      </c>
      <c r="I64" s="2406" t="s">
        <v>2371</v>
      </c>
      <c r="J64" s="2407">
        <v>50</v>
      </c>
      <c r="K64" s="2407">
        <v>35</v>
      </c>
      <c r="L64" s="2407">
        <v>60</v>
      </c>
      <c r="M64" s="3119">
        <v>0</v>
      </c>
      <c r="O64" s="2425" t="s">
        <v>2415</v>
      </c>
      <c r="P64" s="1588"/>
      <c r="Q64" s="1600"/>
      <c r="R64" s="1588"/>
    </row>
    <row r="65" spans="1:18" s="2056" customFormat="1" ht="16.2" thickBot="1">
      <c r="A65" s="1645" t="s">
        <v>1888</v>
      </c>
      <c r="B65" s="783" t="s">
        <v>662</v>
      </c>
      <c r="C65" s="53">
        <f ca="1">ROUND(C47*F65,1)</f>
        <v>0</v>
      </c>
      <c r="D65" s="3172" t="s">
        <v>679</v>
      </c>
      <c r="E65" s="783" t="s">
        <v>645</v>
      </c>
      <c r="F65" s="793">
        <f t="shared" ca="1" si="0"/>
        <v>0.01</v>
      </c>
      <c r="I65" s="2406" t="s">
        <v>2372</v>
      </c>
      <c r="J65" s="2407">
        <v>40</v>
      </c>
      <c r="K65" s="2407">
        <v>30</v>
      </c>
      <c r="L65" s="2407">
        <v>50</v>
      </c>
      <c r="M65" s="3118">
        <v>0.02</v>
      </c>
      <c r="O65" s="2416" t="s">
        <v>2375</v>
      </c>
      <c r="P65" s="2417" t="s">
        <v>2376</v>
      </c>
      <c r="Q65" s="2418" t="s">
        <v>2377</v>
      </c>
      <c r="R65" s="2417" t="s">
        <v>2378</v>
      </c>
    </row>
    <row r="66" spans="1:18" s="2056" customFormat="1" ht="24.6" thickBot="1">
      <c r="A66" s="796" t="s">
        <v>1773</v>
      </c>
      <c r="B66" s="3032" t="s">
        <v>2821</v>
      </c>
      <c r="C66" s="798">
        <f ca="1">C47-C57</f>
        <v>-62</v>
      </c>
      <c r="D66" s="3171" t="s">
        <v>696</v>
      </c>
      <c r="E66" s="3169"/>
      <c r="F66" s="819"/>
      <c r="K66" s="2083"/>
      <c r="O66" s="2419" t="s">
        <v>2379</v>
      </c>
      <c r="P66" s="2420" t="s">
        <v>2405</v>
      </c>
      <c r="Q66" s="2421">
        <f ca="1">C40+J29</f>
        <v>17835</v>
      </c>
      <c r="R66" s="2420" t="s">
        <v>2380</v>
      </c>
    </row>
    <row r="67" spans="1:18" s="2056" customFormat="1" ht="19.2" thickBot="1">
      <c r="A67" s="780" t="s">
        <v>1777</v>
      </c>
      <c r="B67" s="2229" t="s">
        <v>2300</v>
      </c>
      <c r="C67" s="782">
        <f ca="1">ROUND(C66*(1-((1+F69)/(1+F67))^F68)/(F67-F69),0)</f>
        <v>-976</v>
      </c>
      <c r="D67" s="813" t="s">
        <v>700</v>
      </c>
      <c r="E67" s="783" t="s">
        <v>701</v>
      </c>
      <c r="F67" s="793">
        <f ca="1">F40</f>
        <v>0.05</v>
      </c>
      <c r="K67" s="2083"/>
      <c r="O67" s="2419" t="s">
        <v>2381</v>
      </c>
      <c r="P67" s="2420" t="s">
        <v>2412</v>
      </c>
      <c r="Q67" s="2421">
        <f ca="1">L60</f>
        <v>0</v>
      </c>
      <c r="R67" s="2424" t="s">
        <v>2414</v>
      </c>
    </row>
    <row r="68" spans="1:18" ht="20.399999999999999" thickBot="1">
      <c r="A68" s="785"/>
      <c r="B68" s="786"/>
      <c r="C68" s="787"/>
      <c r="D68" s="820" t="s">
        <v>1805</v>
      </c>
      <c r="E68" s="783" t="s">
        <v>704</v>
      </c>
      <c r="F68" s="821">
        <f ca="1">F41</f>
        <v>31.67</v>
      </c>
      <c r="O68" s="2422" t="s">
        <v>2383</v>
      </c>
      <c r="P68" s="2420" t="s">
        <v>2413</v>
      </c>
      <c r="Q68" s="2426">
        <f ca="1">L51</f>
        <v>8336</v>
      </c>
      <c r="R68" s="2427" t="s">
        <v>2416</v>
      </c>
    </row>
    <row r="69" spans="1:18" ht="19.2" thickBot="1">
      <c r="A69" s="789"/>
      <c r="B69" s="790"/>
      <c r="C69" s="791"/>
      <c r="D69" s="815"/>
      <c r="E69" s="783" t="s">
        <v>706</v>
      </c>
      <c r="F69" s="2368"/>
      <c r="O69" s="2422" t="s">
        <v>2384</v>
      </c>
      <c r="P69" s="2428" t="s">
        <v>2398</v>
      </c>
      <c r="Q69" s="2421">
        <f ca="1">ROUND(Q70-Q71*Q72,0)</f>
        <v>485</v>
      </c>
      <c r="R69" s="2424"/>
    </row>
    <row r="70" spans="1:18" ht="16.2" thickBot="1">
      <c r="A70" s="822" t="s">
        <v>1784</v>
      </c>
      <c r="B70" s="823" t="s">
        <v>1807</v>
      </c>
      <c r="C70" s="824">
        <f ca="1">ROUND(C67*10000/F70,0)</f>
        <v>-1088</v>
      </c>
      <c r="D70" s="825" t="s">
        <v>1808</v>
      </c>
      <c r="E70" s="826" t="s">
        <v>1809</v>
      </c>
      <c r="F70" s="827">
        <f ca="1">F43</f>
        <v>8970</v>
      </c>
      <c r="O70" s="2422" t="s">
        <v>2399</v>
      </c>
      <c r="P70" s="2428" t="s">
        <v>2400</v>
      </c>
      <c r="Q70" s="2421">
        <f ca="1">C39</f>
        <v>782</v>
      </c>
      <c r="R70" s="2420" t="s">
        <v>2380</v>
      </c>
    </row>
    <row r="71" spans="1:18" ht="16.2" thickBot="1">
      <c r="O71" s="2422" t="s">
        <v>2401</v>
      </c>
      <c r="P71" s="2428" t="s">
        <v>2402</v>
      </c>
      <c r="Q71" s="2421">
        <f ca="1">C13</f>
        <v>3708</v>
      </c>
      <c r="R71" s="2420" t="s">
        <v>2380</v>
      </c>
    </row>
    <row r="72" spans="1:18" ht="16.2" thickBot="1">
      <c r="O72" s="2422" t="s">
        <v>2403</v>
      </c>
      <c r="P72" s="2428" t="s">
        <v>2404</v>
      </c>
      <c r="Q72" s="2423">
        <f ca="1">J36</f>
        <v>0.08</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17835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3111</v>
      </c>
      <c r="D1" s="3144" t="s">
        <v>3062</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2"/>
      <c r="J3" s="1362"/>
      <c r="K3" s="1587"/>
      <c r="L3" s="1362"/>
      <c r="M3" s="1362"/>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t="e">
        <f ca="1">C6+C10+C12</f>
        <v>#N/A</v>
      </c>
      <c r="D5" s="2517" t="s">
        <v>2461</v>
      </c>
      <c r="E5" s="2511"/>
      <c r="F5" s="2512"/>
      <c r="G5" s="1588"/>
      <c r="H5" s="780">
        <v>1</v>
      </c>
      <c r="I5" s="781" t="s">
        <v>2458</v>
      </c>
      <c r="J5" s="55" t="e">
        <f ca="1">J6+J10+J12</f>
        <v>#N/A</v>
      </c>
      <c r="K5" s="2517" t="s">
        <v>2461</v>
      </c>
      <c r="L5" s="2511"/>
      <c r="M5" s="2512"/>
    </row>
    <row r="6" spans="1:33" ht="18" customHeight="1">
      <c r="A6" s="1827" t="s">
        <v>1821</v>
      </c>
      <c r="B6" s="3449" t="s">
        <v>2463</v>
      </c>
      <c r="C6" s="782" t="e">
        <f ca="1">ROUND(F6*F8*F7*(1-F9)/10000,0)</f>
        <v>#N/A</v>
      </c>
      <c r="D6" s="2518" t="s">
        <v>2462</v>
      </c>
      <c r="E6" s="783" t="s">
        <v>1735</v>
      </c>
      <c r="F6" s="784" t="e">
        <f ca="1">INDIRECT("'数据-取费表'!u"&amp;$G$1)</f>
        <v>#N/A</v>
      </c>
      <c r="G6" s="1588"/>
      <c r="H6" s="2525" t="s">
        <v>1821</v>
      </c>
      <c r="I6" s="3449" t="s">
        <v>2463</v>
      </c>
      <c r="J6" s="782" t="e">
        <f ca="1">ROUND(M6*M8*M7*(1-M9)/10000,0)</f>
        <v>#N/A</v>
      </c>
      <c r="K6" s="340" t="s">
        <v>632</v>
      </c>
      <c r="L6" s="783" t="s">
        <v>1735</v>
      </c>
      <c r="M6" s="784" t="e">
        <f ca="1">INDIRECT("'数据-取费表'!z"&amp;$G$1)</f>
        <v>#N/A</v>
      </c>
    </row>
    <row r="7" spans="1:33" ht="18" customHeight="1">
      <c r="A7" s="2521"/>
      <c r="B7" s="3450"/>
      <c r="C7" s="787"/>
      <c r="D7" s="788"/>
      <c r="E7" s="783" t="s">
        <v>634</v>
      </c>
      <c r="F7" s="784" t="e">
        <f ca="1">IF(INDIRECT("'数据-取费表'!ah"&amp;$G$1)="",INDIRECT("'数据-取费表'!k"&amp;$G$1),INDIRECT("'数据-取费表'!ah"&amp;$G$1))</f>
        <v>#N/A</v>
      </c>
      <c r="G7" s="1588"/>
      <c r="H7" s="2510"/>
      <c r="I7" s="3450"/>
      <c r="J7" s="787"/>
      <c r="K7" s="788"/>
      <c r="L7" s="783" t="s">
        <v>634</v>
      </c>
      <c r="M7" s="784" t="e">
        <f ca="1">F7</f>
        <v>#N/A</v>
      </c>
    </row>
    <row r="8" spans="1:33" ht="18" customHeight="1">
      <c r="A8" s="2514"/>
      <c r="B8" s="3451"/>
      <c r="C8" s="787"/>
      <c r="D8" s="788"/>
      <c r="E8" s="783" t="s">
        <v>635</v>
      </c>
      <c r="F8" s="784" t="e">
        <f ca="1">INDIRECT("'数据-取费表'!ai"&amp;$G$1)</f>
        <v>#N/A</v>
      </c>
      <c r="G8" s="1588"/>
      <c r="H8" s="2510"/>
      <c r="I8" s="3451"/>
      <c r="J8" s="787"/>
      <c r="K8" s="788"/>
      <c r="L8" s="783" t="s">
        <v>635</v>
      </c>
      <c r="M8" s="784" t="e">
        <f ca="1">INDIRECT("'数据-取费表'!ai"&amp;$G$1)</f>
        <v>#N/A</v>
      </c>
    </row>
    <row r="9" spans="1:33" ht="18" customHeight="1">
      <c r="A9" s="785"/>
      <c r="B9" s="3452"/>
      <c r="C9" s="787"/>
      <c r="D9" s="788"/>
      <c r="E9" s="783" t="s">
        <v>636</v>
      </c>
      <c r="F9" s="793" t="e">
        <f ca="1">INDIRECT("'数据-取费表'!w"&amp;$G$1)</f>
        <v>#N/A</v>
      </c>
      <c r="G9" s="1588"/>
      <c r="H9" s="2526"/>
      <c r="I9" s="3451"/>
      <c r="J9" s="787"/>
      <c r="K9" s="788"/>
      <c r="L9" s="794" t="s">
        <v>636</v>
      </c>
      <c r="M9" s="795" t="e">
        <f ca="1">INDIRECT("'数据-取费表'!ab"&amp;$G$1)</f>
        <v>#N/A</v>
      </c>
    </row>
    <row r="10" spans="1:33" ht="18" customHeight="1">
      <c r="A10" s="1827" t="s">
        <v>1822</v>
      </c>
      <c r="B10" s="2515" t="s">
        <v>2459</v>
      </c>
      <c r="C10" s="798" t="e">
        <f ca="1">ROUND(IF(F10="押一",C6/12*F11,IF(F10="押二",C6/12*2*F11,IF(F10="押三",C6/12*3*F11,C11*F11))),0)</f>
        <v>#N/A</v>
      </c>
      <c r="D10" s="2522" t="s">
        <v>2967</v>
      </c>
      <c r="E10" s="2519" t="s">
        <v>2464</v>
      </c>
      <c r="F10" s="2642" t="s">
        <v>3063</v>
      </c>
      <c r="G10" s="1588"/>
      <c r="H10" s="2582" t="s">
        <v>1822</v>
      </c>
      <c r="I10" s="2587" t="s">
        <v>2459</v>
      </c>
      <c r="J10" s="782">
        <f ca="1">ROUND(IF(M10="押一",J6/12*M11,IF(M10="押二",J6/12*2*M11,IF(M10="押三",J6/12*3*M11,J11*M11))),0)</f>
        <v>0</v>
      </c>
      <c r="K10" s="2522" t="s">
        <v>2967</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1" t="s">
        <v>1742</v>
      </c>
      <c r="E14" s="3170"/>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0.03</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3"/>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1" t="s">
        <v>653</v>
      </c>
      <c r="L17" s="3172"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2" t="s">
        <v>657</v>
      </c>
      <c r="L18" s="783" t="s">
        <v>645</v>
      </c>
      <c r="M18" s="808">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4"/>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0.02</v>
      </c>
      <c r="G20" s="1589"/>
      <c r="H20" s="1647" t="s">
        <v>1830</v>
      </c>
      <c r="I20" s="340" t="s">
        <v>664</v>
      </c>
      <c r="J20" s="54" t="e">
        <f ca="1">ROUND(M20*M21/10000,0)</f>
        <v>#N/A</v>
      </c>
      <c r="K20" s="813" t="s">
        <v>1758</v>
      </c>
      <c r="L20" s="783" t="s">
        <v>666</v>
      </c>
      <c r="M20" s="639">
        <f>'数据-取费表'!B52</f>
        <v>1.5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4"/>
      <c r="F22" s="56"/>
      <c r="G22" s="1588"/>
      <c r="H22" s="1645" t="s">
        <v>1886</v>
      </c>
      <c r="I22" s="783" t="s">
        <v>672</v>
      </c>
      <c r="J22" s="53" t="e">
        <f ca="1">ROUND(J14*M22,0)</f>
        <v>#N/A</v>
      </c>
      <c r="K22" s="3172"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2"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4"/>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5.2400000000000002E-2</v>
      </c>
      <c r="D28" s="811" t="s">
        <v>2298</v>
      </c>
      <c r="E28" s="783" t="s">
        <v>645</v>
      </c>
      <c r="F28" s="808">
        <f>'数据-取费表'!B41</f>
        <v>5.5000000000000007E-2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3"/>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1" t="s">
        <v>653</v>
      </c>
      <c r="E31" s="3172"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2" t="s">
        <v>657</v>
      </c>
      <c r="E32" s="783" t="s">
        <v>645</v>
      </c>
      <c r="F32" s="808">
        <f>'数据-取费表'!B41</f>
        <v>5.5000000000000007E-2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01" t="s">
        <v>3090</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1.5</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2"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2"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3061</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2536</v>
      </c>
      <c r="B52" s="2515" t="s">
        <v>2459</v>
      </c>
      <c r="C52" s="798">
        <f ca="1">ROUND(IF(F52="押一",C48/12*F11,IF(F52="押二",C48/12*2*F11,IF(F52="押三",C48/12*3*F11,C53*F11))),0)</f>
        <v>0</v>
      </c>
      <c r="D52" s="2522" t="s">
        <v>2967</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t="e">
        <f ca="1">IF(M47="住宅",J51,IF(D1="——",MIN(J51,L48),IF(D1="土地（套用方法）",MIN(J51,L48-'数据-取费表'!B20))))</f>
        <v>#N/A</v>
      </c>
      <c r="K53" s="3455" t="s">
        <v>2959</v>
      </c>
      <c r="L53" s="3456"/>
      <c r="O53" s="2422" t="s">
        <v>2388</v>
      </c>
      <c r="P53" s="2420" t="s">
        <v>2389</v>
      </c>
      <c r="Q53" s="2421" t="e">
        <f ca="1">J53</f>
        <v>#N/A</v>
      </c>
      <c r="R53" s="2420" t="s">
        <v>2390</v>
      </c>
    </row>
    <row r="54" spans="1:18" s="2056" customFormat="1" ht="18" customHeight="1" thickBot="1">
      <c r="A54" s="2558" t="s">
        <v>2467</v>
      </c>
      <c r="B54" s="2559" t="s">
        <v>2460</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5" t="s">
        <v>2355</v>
      </c>
      <c r="J55" s="3114"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2"/>
      <c r="E56" s="783"/>
      <c r="F56" s="808"/>
      <c r="I56" s="2400" t="s">
        <v>2357</v>
      </c>
      <c r="J56" s="3138"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4"/>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1" t="s">
        <v>653</v>
      </c>
      <c r="E58" s="3172" t="s">
        <v>686</v>
      </c>
      <c r="F58" s="809" t="str">
        <f ca="1">IF(项目基本情况!B11="企业","",IF(INDIRECT("'数据-取费表'!c"&amp;$G$1)="住宅",5%,IF(F48*F49*F50/12/(1+'数据-取费表'!C42)&gt;20000,12%,7%)))</f>
        <v/>
      </c>
      <c r="I58" s="2401" t="s">
        <v>2359</v>
      </c>
      <c r="J58" s="3116"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2" t="s">
        <v>657</v>
      </c>
      <c r="E59" s="783" t="s">
        <v>645</v>
      </c>
      <c r="F59" s="808">
        <f t="shared" ref="F59:F65" si="0">F32</f>
        <v>5.5000000000000007E-2</v>
      </c>
      <c r="I59" s="2401" t="s">
        <v>2360</v>
      </c>
      <c r="J59" s="2403"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2"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1.5</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17" t="s">
        <v>2934</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2" t="s">
        <v>687</v>
      </c>
      <c r="E63" s="783" t="s">
        <v>645</v>
      </c>
      <c r="F63" s="816" t="e">
        <f t="shared" ca="1" si="0"/>
        <v>#N/A</v>
      </c>
      <c r="I63" s="2406" t="s">
        <v>2370</v>
      </c>
      <c r="J63" s="2407">
        <v>70</v>
      </c>
      <c r="K63" s="2407">
        <v>50</v>
      </c>
      <c r="L63" s="2407">
        <v>80</v>
      </c>
      <c r="M63" s="3118">
        <v>0.02</v>
      </c>
      <c r="O63" s="2419" t="s">
        <v>2391</v>
      </c>
      <c r="P63" s="2420" t="s">
        <v>2408</v>
      </c>
      <c r="Q63" s="2421" t="e">
        <f ca="1">Q57+Q58</f>
        <v>#N/A</v>
      </c>
      <c r="R63" s="2424" t="s">
        <v>2392</v>
      </c>
    </row>
    <row r="64" spans="1:18" s="2056" customFormat="1" ht="16.2" thickBot="1">
      <c r="A64" s="1645" t="s">
        <v>1887</v>
      </c>
      <c r="B64" s="783" t="s">
        <v>675</v>
      </c>
      <c r="C64" s="53" t="e">
        <f ca="1">ROUND(C55*F64,1)</f>
        <v>#N/A</v>
      </c>
      <c r="D64" s="3172" t="s">
        <v>676</v>
      </c>
      <c r="E64" s="783" t="s">
        <v>645</v>
      </c>
      <c r="F64" s="817" t="e">
        <f t="shared" ca="1" si="0"/>
        <v>#N/A</v>
      </c>
      <c r="I64" s="2406" t="s">
        <v>2371</v>
      </c>
      <c r="J64" s="2407">
        <v>50</v>
      </c>
      <c r="K64" s="2407">
        <v>35</v>
      </c>
      <c r="L64" s="2407">
        <v>60</v>
      </c>
      <c r="M64" s="3119">
        <v>0</v>
      </c>
      <c r="O64" s="2425" t="s">
        <v>2415</v>
      </c>
      <c r="P64" s="1588"/>
      <c r="Q64" s="1600"/>
      <c r="R64" s="1588"/>
    </row>
    <row r="65" spans="1:18" s="2056" customFormat="1" ht="16.2" thickBot="1">
      <c r="A65" s="1645" t="s">
        <v>1888</v>
      </c>
      <c r="B65" s="783" t="s">
        <v>662</v>
      </c>
      <c r="C65" s="53" t="e">
        <f ca="1">ROUND(C47*F65,1)</f>
        <v>#N/A</v>
      </c>
      <c r="D65" s="3172" t="s">
        <v>679</v>
      </c>
      <c r="E65" s="783" t="s">
        <v>645</v>
      </c>
      <c r="F65" s="793" t="e">
        <f t="shared" ca="1" si="0"/>
        <v>#N/A</v>
      </c>
      <c r="I65" s="2406" t="s">
        <v>2372</v>
      </c>
      <c r="J65" s="2407">
        <v>40</v>
      </c>
      <c r="K65" s="2407">
        <v>30</v>
      </c>
      <c r="L65" s="2407">
        <v>50</v>
      </c>
      <c r="M65" s="3118">
        <v>0.02</v>
      </c>
      <c r="O65" s="2416" t="s">
        <v>2375</v>
      </c>
      <c r="P65" s="2417" t="s">
        <v>2376</v>
      </c>
      <c r="Q65" s="2418" t="s">
        <v>2377</v>
      </c>
      <c r="R65" s="2417" t="s">
        <v>2378</v>
      </c>
    </row>
    <row r="66" spans="1:18" s="2056" customFormat="1" ht="24.6" thickBot="1">
      <c r="A66" s="796" t="s">
        <v>1773</v>
      </c>
      <c r="B66" s="3032" t="s">
        <v>2821</v>
      </c>
      <c r="C66" s="798" t="e">
        <f ca="1">C47-C57</f>
        <v>#N/A</v>
      </c>
      <c r="D66" s="3171" t="s">
        <v>696</v>
      </c>
      <c r="E66" s="3169"/>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3" t="s">
        <v>2471</v>
      </c>
      <c r="B1" s="3474"/>
      <c r="C1" s="3475"/>
      <c r="D1" s="3476">
        <f>SUM(I10,I15,I20,I21,I23)</f>
        <v>0</v>
      </c>
      <c r="E1" s="3476"/>
      <c r="F1" s="3476"/>
      <c r="G1" s="3476"/>
      <c r="H1" s="3476"/>
      <c r="I1" s="3477"/>
    </row>
    <row r="2" spans="1:9">
      <c r="A2" s="3463" t="s">
        <v>2472</v>
      </c>
      <c r="B2" s="3464" t="s">
        <v>2473</v>
      </c>
      <c r="C2" s="3464"/>
      <c r="D2" s="2528" t="s">
        <v>2474</v>
      </c>
      <c r="E2" s="2528" t="s">
        <v>2475</v>
      </c>
      <c r="F2" s="2528" t="s">
        <v>2476</v>
      </c>
      <c r="G2" s="2528" t="s">
        <v>2477</v>
      </c>
      <c r="H2" s="2528" t="s">
        <v>2478</v>
      </c>
      <c r="I2" s="2529" t="s">
        <v>2479</v>
      </c>
    </row>
    <row r="3" spans="1:9">
      <c r="A3" s="3463"/>
      <c r="B3" s="3464" t="s">
        <v>2480</v>
      </c>
      <c r="C3" s="3464"/>
      <c r="D3" s="2530"/>
      <c r="E3" s="2528"/>
      <c r="F3" s="2531"/>
      <c r="G3" s="2531"/>
      <c r="H3" s="2532"/>
      <c r="I3" s="2533">
        <f>ROUND(D3*E3*F3*G3*H3/10000,0)</f>
        <v>0</v>
      </c>
    </row>
    <row r="4" spans="1:9">
      <c r="A4" s="3463"/>
      <c r="B4" s="3464" t="s">
        <v>2481</v>
      </c>
      <c r="C4" s="3464"/>
      <c r="D4" s="2530"/>
      <c r="E4" s="2528"/>
      <c r="F4" s="2531"/>
      <c r="G4" s="2531"/>
      <c r="H4" s="2532"/>
      <c r="I4" s="2533">
        <f t="shared" ref="I4:I9" si="0">ROUND(D4*E4*F4*G4*H4/10000,0)</f>
        <v>0</v>
      </c>
    </row>
    <row r="5" spans="1:9">
      <c r="A5" s="3463"/>
      <c r="B5" s="3464" t="s">
        <v>2482</v>
      </c>
      <c r="C5" s="3464"/>
      <c r="D5" s="2530"/>
      <c r="E5" s="2528"/>
      <c r="F5" s="2531"/>
      <c r="G5" s="2531"/>
      <c r="H5" s="2532"/>
      <c r="I5" s="2533">
        <f t="shared" si="0"/>
        <v>0</v>
      </c>
    </row>
    <row r="6" spans="1:9">
      <c r="A6" s="3463"/>
      <c r="B6" s="3464" t="s">
        <v>2483</v>
      </c>
      <c r="C6" s="3464"/>
      <c r="D6" s="2530"/>
      <c r="E6" s="2528"/>
      <c r="F6" s="2531"/>
      <c r="G6" s="2531"/>
      <c r="H6" s="2532"/>
      <c r="I6" s="2533">
        <f t="shared" si="0"/>
        <v>0</v>
      </c>
    </row>
    <row r="7" spans="1:9">
      <c r="A7" s="3463"/>
      <c r="B7" s="3464" t="s">
        <v>2484</v>
      </c>
      <c r="C7" s="3464"/>
      <c r="D7" s="2530"/>
      <c r="E7" s="2528"/>
      <c r="F7" s="2531"/>
      <c r="G7" s="2531"/>
      <c r="H7" s="2532"/>
      <c r="I7" s="2533">
        <f t="shared" si="0"/>
        <v>0</v>
      </c>
    </row>
    <row r="8" spans="1:9">
      <c r="A8" s="3463"/>
      <c r="B8" s="3464" t="s">
        <v>2485</v>
      </c>
      <c r="C8" s="3464"/>
      <c r="D8" s="2530"/>
      <c r="E8" s="2528"/>
      <c r="F8" s="2531"/>
      <c r="G8" s="2531"/>
      <c r="H8" s="2532"/>
      <c r="I8" s="2533">
        <f t="shared" si="0"/>
        <v>0</v>
      </c>
    </row>
    <row r="9" spans="1:9">
      <c r="A9" s="3463"/>
      <c r="B9" s="3464" t="s">
        <v>2486</v>
      </c>
      <c r="C9" s="3464"/>
      <c r="D9" s="2530"/>
      <c r="E9" s="2528"/>
      <c r="F9" s="2531"/>
      <c r="G9" s="2531"/>
      <c r="H9" s="2532"/>
      <c r="I9" s="2533">
        <f t="shared" si="0"/>
        <v>0</v>
      </c>
    </row>
    <row r="10" spans="1:9">
      <c r="A10" s="3463"/>
      <c r="B10" s="3465" t="s">
        <v>2487</v>
      </c>
      <c r="C10" s="3465"/>
      <c r="D10" s="2534">
        <v>527</v>
      </c>
      <c r="E10" s="2534" t="e">
        <f>ROUND(D1*10000/D10/H9,0)</f>
        <v>#DIV/0!</v>
      </c>
      <c r="F10" s="2535"/>
      <c r="G10" s="2535"/>
      <c r="H10" s="2536"/>
      <c r="I10" s="2537">
        <f>SUM(I3:I9)</f>
        <v>0</v>
      </c>
    </row>
    <row r="11" spans="1:9" ht="15.6">
      <c r="A11" s="3463" t="s">
        <v>2488</v>
      </c>
      <c r="B11" s="3464" t="s">
        <v>2489</v>
      </c>
      <c r="C11" s="3464"/>
      <c r="D11" s="2530" t="s">
        <v>2490</v>
      </c>
      <c r="E11" s="2530" t="s">
        <v>2491</v>
      </c>
      <c r="F11" s="2531" t="s">
        <v>2492</v>
      </c>
      <c r="G11" s="2531" t="s">
        <v>2493</v>
      </c>
      <c r="H11" s="2538" t="s">
        <v>2494</v>
      </c>
      <c r="I11" s="2529" t="s">
        <v>2495</v>
      </c>
    </row>
    <row r="12" spans="1:9">
      <c r="A12" s="3463"/>
      <c r="B12" s="3464" t="s">
        <v>2496</v>
      </c>
      <c r="C12" s="3464"/>
      <c r="D12" s="2530"/>
      <c r="E12" s="2530"/>
      <c r="F12" s="2531"/>
      <c r="G12" s="2532"/>
      <c r="H12" s="2539"/>
      <c r="I12" s="2529">
        <f>ROUND(D12*E12*F12*G12/10000,0)</f>
        <v>0</v>
      </c>
    </row>
    <row r="13" spans="1:9">
      <c r="A13" s="3463"/>
      <c r="B13" s="3464" t="s">
        <v>2497</v>
      </c>
      <c r="C13" s="3464"/>
      <c r="D13" s="2530"/>
      <c r="E13" s="2530"/>
      <c r="F13" s="2531"/>
      <c r="G13" s="2532"/>
      <c r="H13" s="2539"/>
      <c r="I13" s="2529">
        <f>ROUND(D13*E13*F13*G13/10000,0)</f>
        <v>0</v>
      </c>
    </row>
    <row r="14" spans="1:9">
      <c r="A14" s="3463"/>
      <c r="B14" s="3464" t="s">
        <v>2498</v>
      </c>
      <c r="C14" s="3464"/>
      <c r="D14" s="2530"/>
      <c r="E14" s="2530"/>
      <c r="F14" s="2531"/>
      <c r="G14" s="2532"/>
      <c r="H14" s="2539"/>
      <c r="I14" s="2529">
        <f>ROUND(D14*E14*F14*G14/10000,0)</f>
        <v>0</v>
      </c>
    </row>
    <row r="15" spans="1:9">
      <c r="A15" s="3463"/>
      <c r="B15" s="3465" t="s">
        <v>2487</v>
      </c>
      <c r="C15" s="3465"/>
      <c r="D15" s="2534"/>
      <c r="E15" s="2534">
        <f>SUM(E12:E14)</f>
        <v>0</v>
      </c>
      <c r="F15" s="2535"/>
      <c r="G15" s="2532"/>
      <c r="H15" s="2539"/>
      <c r="I15" s="2540">
        <f>SUM(I12:I14)</f>
        <v>0</v>
      </c>
    </row>
    <row r="16" spans="1:9" ht="24">
      <c r="A16" s="3463" t="s">
        <v>2499</v>
      </c>
      <c r="B16" s="3464" t="s">
        <v>2500</v>
      </c>
      <c r="C16" s="3464"/>
      <c r="D16" s="2530" t="s">
        <v>2501</v>
      </c>
      <c r="E16" s="2541" t="s">
        <v>2502</v>
      </c>
      <c r="F16" s="2531" t="s">
        <v>2503</v>
      </c>
      <c r="G16" s="2532" t="s">
        <v>2493</v>
      </c>
      <c r="H16" s="2538" t="s">
        <v>2494</v>
      </c>
      <c r="I16" s="2529" t="s">
        <v>2495</v>
      </c>
    </row>
    <row r="17" spans="1:9" ht="15.6">
      <c r="A17" s="3463"/>
      <c r="B17" s="3464" t="s">
        <v>2504</v>
      </c>
      <c r="C17" s="3464"/>
      <c r="D17" s="2530"/>
      <c r="E17" s="2530"/>
      <c r="F17" s="2531"/>
      <c r="G17" s="2532"/>
      <c r="H17" s="2542"/>
      <c r="I17" s="2543">
        <f>ROUND(D17*E17*F17*G17/10000,0)</f>
        <v>0</v>
      </c>
    </row>
    <row r="18" spans="1:9" ht="15.6">
      <c r="A18" s="3463"/>
      <c r="B18" s="3464" t="s">
        <v>2505</v>
      </c>
      <c r="C18" s="3464"/>
      <c r="D18" s="2530"/>
      <c r="E18" s="2530"/>
      <c r="F18" s="2531"/>
      <c r="G18" s="2532"/>
      <c r="H18" s="2542"/>
      <c r="I18" s="2543">
        <f>ROUND(D18*E18*F18*G18/10000,0)</f>
        <v>0</v>
      </c>
    </row>
    <row r="19" spans="1:9" ht="15.6">
      <c r="A19" s="3463"/>
      <c r="B19" s="3464" t="s">
        <v>2506</v>
      </c>
      <c r="C19" s="3464"/>
      <c r="D19" s="2530"/>
      <c r="E19" s="2530"/>
      <c r="F19" s="2531"/>
      <c r="G19" s="2532"/>
      <c r="H19" s="2542"/>
      <c r="I19" s="2543">
        <f>ROUND(D19*E19*F19*G19/10000,0)</f>
        <v>0</v>
      </c>
    </row>
    <row r="20" spans="1:9">
      <c r="A20" s="3463"/>
      <c r="B20" s="3465" t="s">
        <v>2487</v>
      </c>
      <c r="C20" s="3465"/>
      <c r="D20" s="2534">
        <f>SUM(D17:D19)</f>
        <v>0</v>
      </c>
      <c r="E20" s="2534"/>
      <c r="F20" s="2535"/>
      <c r="G20" s="2532"/>
      <c r="H20" s="2539"/>
      <c r="I20" s="2540">
        <f>SUM(I17:I19)</f>
        <v>0</v>
      </c>
    </row>
    <row r="21" spans="1:9">
      <c r="A21" s="3463" t="s">
        <v>2507</v>
      </c>
      <c r="B21" s="3466"/>
      <c r="C21" s="3466"/>
      <c r="D21" s="3466"/>
      <c r="E21" s="3466"/>
      <c r="F21" s="3466"/>
      <c r="G21" s="3466"/>
      <c r="H21" s="2544">
        <v>0.1</v>
      </c>
      <c r="I21" s="2537">
        <f>ROUND(I10*H21,0)</f>
        <v>0</v>
      </c>
    </row>
    <row r="22" spans="1:9" ht="15.6">
      <c r="A22" s="3467" t="s">
        <v>2508</v>
      </c>
      <c r="B22" s="3468"/>
      <c r="C22" s="3469"/>
      <c r="D22" s="2545" t="s">
        <v>2509</v>
      </c>
      <c r="E22" s="2545" t="s">
        <v>2510</v>
      </c>
      <c r="F22" s="2546" t="s">
        <v>2511</v>
      </c>
      <c r="G22" s="2546" t="s">
        <v>2512</v>
      </c>
      <c r="H22" s="2538" t="s">
        <v>2513</v>
      </c>
      <c r="I22" s="2529" t="s">
        <v>2514</v>
      </c>
    </row>
    <row r="23" spans="1:9" ht="15" thickBot="1">
      <c r="A23" s="3470"/>
      <c r="B23" s="3471"/>
      <c r="C23" s="3472"/>
      <c r="D23" s="2547"/>
      <c r="E23" s="2547"/>
      <c r="F23" s="2547"/>
      <c r="G23" s="2548"/>
      <c r="H23" s="2549"/>
      <c r="I23" s="2550">
        <f>ROUND(E23*D23*F23*(1-G23)/10000,0)</f>
        <v>0</v>
      </c>
    </row>
    <row r="26" spans="1:9">
      <c r="A26" s="2551" t="s">
        <v>2515</v>
      </c>
      <c r="B26" s="2551"/>
      <c r="C26" s="2551"/>
      <c r="D26" s="2551"/>
      <c r="E26" s="3460">
        <f>C27-C30-C31-C32</f>
        <v>0</v>
      </c>
      <c r="F26" s="3460"/>
      <c r="G26" s="3460"/>
      <c r="H26" s="3060" t="s">
        <v>2842</v>
      </c>
    </row>
    <row r="27" spans="1:9">
      <c r="A27" s="2552">
        <v>1</v>
      </c>
      <c r="B27" s="2553" t="s">
        <v>2516</v>
      </c>
      <c r="C27" s="2553"/>
      <c r="D27" s="2553"/>
      <c r="E27" s="3461"/>
      <c r="F27" s="3461"/>
      <c r="G27" s="3461"/>
    </row>
    <row r="28" spans="1:9">
      <c r="A28" s="2554" t="s">
        <v>2517</v>
      </c>
      <c r="B28" s="2553" t="s">
        <v>2518</v>
      </c>
      <c r="C28" s="2553"/>
      <c r="D28" s="2553"/>
      <c r="E28" s="3461"/>
      <c r="F28" s="3461"/>
      <c r="G28" s="3461"/>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462"/>
      <c r="F32" s="3462"/>
      <c r="G32" s="3462"/>
    </row>
    <row r="33" spans="1:7" hidden="1">
      <c r="A33" s="3457" t="s">
        <v>2526</v>
      </c>
      <c r="B33" s="3458"/>
      <c r="C33" s="3458"/>
      <c r="D33" s="3459"/>
      <c r="E33" s="3460"/>
      <c r="F33" s="3460"/>
      <c r="G33" s="3460"/>
    </row>
    <row r="34" spans="1:7" hidden="1">
      <c r="A34" s="2556">
        <v>1</v>
      </c>
      <c r="B34" s="2553" t="s">
        <v>2527</v>
      </c>
      <c r="C34" s="2553"/>
      <c r="D34" s="2553"/>
      <c r="E34" s="3461"/>
      <c r="F34" s="3461"/>
      <c r="G34" s="3461"/>
    </row>
    <row r="35" spans="1:7" hidden="1">
      <c r="A35" s="2556">
        <v>2</v>
      </c>
      <c r="B35" s="2553" t="s">
        <v>2528</v>
      </c>
      <c r="C35" s="2553"/>
      <c r="D35" s="2553"/>
      <c r="E35" s="3461"/>
      <c r="F35" s="3461"/>
      <c r="G35" s="3461"/>
    </row>
    <row r="36" spans="1:7" hidden="1">
      <c r="A36" s="2556">
        <v>3</v>
      </c>
      <c r="B36" s="2553" t="s">
        <v>2529</v>
      </c>
      <c r="C36" s="2553"/>
      <c r="D36" s="2553"/>
      <c r="E36" s="3461"/>
      <c r="F36" s="3461"/>
      <c r="G36" s="3461"/>
    </row>
    <row r="37" spans="1:7" hidden="1">
      <c r="A37" s="2556">
        <v>4</v>
      </c>
      <c r="B37" s="2553" t="s">
        <v>2530</v>
      </c>
      <c r="C37" s="2553"/>
      <c r="D37" s="2553"/>
      <c r="E37" s="3461"/>
      <c r="F37" s="3461"/>
      <c r="G37" s="3461"/>
    </row>
    <row r="38" spans="1:7" hidden="1">
      <c r="A38" s="3457" t="s">
        <v>2531</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6"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8970</v>
      </c>
      <c r="E10" s="748">
        <f>'数据-取费表'!B31</f>
        <v>200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160</v>
      </c>
      <c r="F12" s="754"/>
      <c r="G12" s="758"/>
    </row>
    <row r="13" spans="1:25" s="2180" customFormat="1" ht="13.5" customHeight="1">
      <c r="A13" s="2497" t="s">
        <v>2447</v>
      </c>
      <c r="B13" s="755" t="s">
        <v>608</v>
      </c>
      <c r="C13" s="756">
        <f>ROUND(D13*E13/10000,0)</f>
        <v>179</v>
      </c>
      <c r="D13" s="757">
        <f>'数据-汇总表'!E6</f>
        <v>8970</v>
      </c>
      <c r="E13" s="756">
        <f>'数据-取费表'!B28</f>
        <v>200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0.15</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617</v>
      </c>
      <c r="C20" s="748">
        <f ca="1">ROUND(C19*F20,0)</f>
        <v>0</v>
      </c>
      <c r="D20" s="759"/>
      <c r="E20" s="748"/>
      <c r="F20" s="1348"/>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0.77300000000000002</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714</v>
      </c>
      <c r="B1" s="2644" t="s">
        <v>715</v>
      </c>
      <c r="C1" s="2645" t="s">
        <v>716</v>
      </c>
      <c r="D1" s="2646"/>
      <c r="E1" s="2647"/>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1" customFormat="1" ht="28.5" customHeight="1">
      <c r="A2" s="422" t="s">
        <v>463</v>
      </c>
      <c r="B2" s="2643"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1" customFormat="1" ht="28.5" customHeight="1" thickBot="1">
      <c r="A3" s="508" t="s">
        <v>515</v>
      </c>
      <c r="B3" s="850" t="e">
        <f>C49</f>
        <v>#DIV/0!</v>
      </c>
      <c r="C3" s="851" t="s">
        <v>718</v>
      </c>
      <c r="D3" s="850">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517</v>
      </c>
      <c r="B4" s="512"/>
      <c r="C4" s="3410" t="s">
        <v>518</v>
      </c>
      <c r="D4" s="3411"/>
      <c r="E4" s="3435" t="s">
        <v>519</v>
      </c>
      <c r="F4" s="3436"/>
      <c r="G4" s="3410" t="s">
        <v>520</v>
      </c>
      <c r="H4" s="3411"/>
      <c r="I4" s="3410" t="s">
        <v>521</v>
      </c>
      <c r="J4" s="3411"/>
      <c r="K4" s="852" t="s">
        <v>522</v>
      </c>
      <c r="L4" s="2130"/>
      <c r="M4" s="2131"/>
      <c r="N4" s="2131"/>
      <c r="O4" s="2131"/>
      <c r="P4" s="3412" t="s">
        <v>523</v>
      </c>
      <c r="Q4" s="3413"/>
      <c r="R4" s="3398" t="s">
        <v>519</v>
      </c>
      <c r="S4" s="3399"/>
      <c r="T4" s="3398" t="s">
        <v>520</v>
      </c>
      <c r="U4" s="3399"/>
      <c r="V4" s="3418" t="s">
        <v>521</v>
      </c>
      <c r="W4" s="3418"/>
      <c r="X4" s="1563"/>
      <c r="Y4" s="3398" t="s">
        <v>523</v>
      </c>
      <c r="Z4" s="3399"/>
      <c r="AA4" s="3393" t="s">
        <v>519</v>
      </c>
      <c r="AB4" s="3393" t="s">
        <v>520</v>
      </c>
      <c r="AC4" s="3393" t="s">
        <v>521</v>
      </c>
    </row>
    <row r="5" spans="1:29">
      <c r="A5" s="514"/>
      <c r="B5" s="515"/>
      <c r="C5" s="3423" t="s">
        <v>2921</v>
      </c>
      <c r="D5" s="3422"/>
      <c r="E5" s="3437" t="s">
        <v>2922</v>
      </c>
      <c r="F5" s="3438"/>
      <c r="G5" s="3423" t="s">
        <v>2923</v>
      </c>
      <c r="H5" s="3422"/>
      <c r="I5" s="3423" t="s">
        <v>2924</v>
      </c>
      <c r="J5" s="3422"/>
      <c r="K5" s="853"/>
      <c r="L5" s="2130"/>
      <c r="M5" s="2131"/>
      <c r="N5" s="2131"/>
      <c r="O5" s="2131"/>
      <c r="P5" s="3414"/>
      <c r="Q5" s="3415"/>
      <c r="R5" s="3400"/>
      <c r="S5" s="3401"/>
      <c r="T5" s="3400"/>
      <c r="U5" s="3401"/>
      <c r="V5" s="3418"/>
      <c r="W5" s="3418"/>
      <c r="X5" s="1563"/>
      <c r="Y5" s="3400"/>
      <c r="Z5" s="3401"/>
      <c r="AA5" s="3394"/>
      <c r="AB5" s="3394"/>
      <c r="AC5" s="3394"/>
    </row>
    <row r="6" spans="1:29" ht="15" thickBot="1">
      <c r="A6" s="516"/>
      <c r="B6" s="517"/>
      <c r="C6" s="3419" t="s">
        <v>2925</v>
      </c>
      <c r="D6" s="3420"/>
      <c r="E6" s="3439" t="s">
        <v>2925</v>
      </c>
      <c r="F6" s="3440"/>
      <c r="G6" s="3419" t="s">
        <v>2925</v>
      </c>
      <c r="H6" s="3420"/>
      <c r="I6" s="3419" t="s">
        <v>2925</v>
      </c>
      <c r="J6" s="3420"/>
      <c r="K6" s="853" t="s">
        <v>524</v>
      </c>
      <c r="L6" s="2130"/>
      <c r="M6" s="2131"/>
      <c r="N6" s="2131"/>
      <c r="O6" s="2131"/>
      <c r="P6" s="3416"/>
      <c r="Q6" s="3417"/>
      <c r="R6" s="3400"/>
      <c r="S6" s="3401"/>
      <c r="T6" s="3402"/>
      <c r="U6" s="3403"/>
      <c r="V6" s="3418"/>
      <c r="W6" s="3418"/>
      <c r="X6" s="1563"/>
      <c r="Y6" s="3402"/>
      <c r="Z6" s="3403"/>
      <c r="AA6" s="3395"/>
      <c r="AB6" s="3395"/>
      <c r="AC6" s="3395"/>
    </row>
    <row r="7" spans="1:29" s="1219" customFormat="1" ht="15" thickBot="1">
      <c r="A7" s="2933"/>
      <c r="B7" s="2940" t="s">
        <v>525</v>
      </c>
      <c r="C7" s="518">
        <f>'数据-取费表'!B2</f>
        <v>43340</v>
      </c>
      <c r="D7" s="519">
        <v>100</v>
      </c>
      <c r="E7" s="520"/>
      <c r="F7" s="521">
        <f>SUMIF(58:58,YEAR(E7)&amp;"-"&amp;MONTH(E7),59:59)</f>
        <v>0</v>
      </c>
      <c r="G7" s="522"/>
      <c r="H7" s="519">
        <f>SUMIF(58:58,YEAR(G7)&amp;"-"&amp;MONTH(G7),59:59)</f>
        <v>0</v>
      </c>
      <c r="I7" s="522"/>
      <c r="J7" s="519">
        <f>SUMIF(58:58,YEAR(I7)&amp;"-"&amp;MONTH(I7),59:59)</f>
        <v>0</v>
      </c>
      <c r="K7" s="854"/>
      <c r="L7" s="2132"/>
      <c r="M7" s="2133"/>
      <c r="N7" s="2133"/>
      <c r="O7" s="2133"/>
      <c r="P7" s="3396" t="s">
        <v>526</v>
      </c>
      <c r="Q7" s="3405"/>
      <c r="R7" s="1564" t="s">
        <v>13</v>
      </c>
      <c r="S7" s="1565">
        <f t="shared" ref="S7:S15" si="0">F7</f>
        <v>0</v>
      </c>
      <c r="T7" s="1564" t="s">
        <v>13</v>
      </c>
      <c r="U7" s="1565">
        <f t="shared" ref="U7:U15" si="1">H7</f>
        <v>0</v>
      </c>
      <c r="V7" s="1564" t="s">
        <v>13</v>
      </c>
      <c r="W7" s="1565">
        <f t="shared" ref="W7:W15" si="2">J7</f>
        <v>0</v>
      </c>
      <c r="X7" s="1566"/>
      <c r="Y7" s="3396" t="s">
        <v>526</v>
      </c>
      <c r="Z7" s="3397"/>
      <c r="AA7" s="1567" t="e">
        <f>D7/F7</f>
        <v>#DIV/0!</v>
      </c>
      <c r="AB7" s="1567" t="e">
        <f>D7/H7</f>
        <v>#DIV/0!</v>
      </c>
      <c r="AC7" s="1567" t="e">
        <f>D7/J7</f>
        <v>#DIV/0!</v>
      </c>
    </row>
    <row r="8" spans="1:29" s="1219" customFormat="1" ht="15" thickBot="1">
      <c r="A8" s="2934"/>
      <c r="B8" s="2941" t="s">
        <v>527</v>
      </c>
      <c r="C8" s="524" t="s">
        <v>572</v>
      </c>
      <c r="D8" s="519">
        <v>100</v>
      </c>
      <c r="E8" s="855"/>
      <c r="F8" s="521">
        <f>SUMIF(61:61,E8,62:62)-SUMIF(61:61,C8,62:62)+100</f>
        <v>0</v>
      </c>
      <c r="G8" s="524"/>
      <c r="H8" s="519">
        <f>SUMIF(61:61,G8,62:62)-SUMIF(61:61,C8,62:62)+100</f>
        <v>0</v>
      </c>
      <c r="I8" s="855"/>
      <c r="J8" s="519">
        <f>SUMIF(61:61,I8,62:62)-SUMIF(61:61,C8,62:62)+100</f>
        <v>0</v>
      </c>
      <c r="K8" s="854"/>
      <c r="L8" s="2132"/>
      <c r="M8" s="2133"/>
      <c r="N8" s="2133"/>
      <c r="O8" s="2133"/>
      <c r="P8" s="3396" t="s">
        <v>529</v>
      </c>
      <c r="Q8" s="3397"/>
      <c r="R8" s="1564" t="s">
        <v>13</v>
      </c>
      <c r="S8" s="1565">
        <f t="shared" si="0"/>
        <v>0</v>
      </c>
      <c r="T8" s="1564" t="s">
        <v>13</v>
      </c>
      <c r="U8" s="1565">
        <f t="shared" si="1"/>
        <v>0</v>
      </c>
      <c r="V8" s="1564" t="s">
        <v>13</v>
      </c>
      <c r="W8" s="1565">
        <f t="shared" si="2"/>
        <v>0</v>
      </c>
      <c r="X8" s="1566"/>
      <c r="Y8" s="3396" t="s">
        <v>529</v>
      </c>
      <c r="Z8" s="3397"/>
      <c r="AA8" s="1567" t="e">
        <f t="shared" ref="AA8:AA46" si="3">D8/F8</f>
        <v>#DIV/0!</v>
      </c>
      <c r="AB8" s="1567" t="e">
        <f t="shared" ref="AB8:AB46" si="4">D8/H8</f>
        <v>#DIV/0!</v>
      </c>
      <c r="AC8" s="1567" t="e">
        <f t="shared" ref="AC8:AC46" si="5">D8/J8</f>
        <v>#DIV/0!</v>
      </c>
    </row>
    <row r="9" spans="1:29" s="1219" customFormat="1" ht="14.4">
      <c r="A9" s="2935"/>
      <c r="B9" s="2942" t="s">
        <v>2756</v>
      </c>
      <c r="C9" s="856"/>
      <c r="D9" s="253">
        <v>100</v>
      </c>
      <c r="E9" s="857"/>
      <c r="F9" s="858">
        <f>SUMIF(63:63,E9,64:64)-SUMIF(63:63,C9,64:64)+100</f>
        <v>100</v>
      </c>
      <c r="G9" s="859"/>
      <c r="H9" s="253">
        <f>SUMIF(63:63,G9,64:64)-SUMIF(63:63,C9,64:64)+100</f>
        <v>100</v>
      </c>
      <c r="I9" s="859"/>
      <c r="J9" s="253">
        <f>SUMIF(63:63,I9,64:64)-SUMIF(63:63,C9,64:64)+100</f>
        <v>100</v>
      </c>
      <c r="K9" s="854"/>
      <c r="L9" s="2132"/>
      <c r="M9" s="2133"/>
      <c r="N9" s="2133"/>
      <c r="O9" s="2134"/>
      <c r="P9" s="3404" t="s">
        <v>531</v>
      </c>
      <c r="Q9" s="1150" t="str">
        <f t="shared" ref="Q9:Q15" si="6">B9</f>
        <v>用途</v>
      </c>
      <c r="R9" s="1564" t="s">
        <v>8</v>
      </c>
      <c r="S9" s="1565">
        <f t="shared" si="0"/>
        <v>100</v>
      </c>
      <c r="T9" s="1564" t="s">
        <v>8</v>
      </c>
      <c r="U9" s="1565">
        <f t="shared" si="1"/>
        <v>100</v>
      </c>
      <c r="V9" s="1564" t="s">
        <v>8</v>
      </c>
      <c r="W9" s="1565">
        <f t="shared" si="2"/>
        <v>100</v>
      </c>
      <c r="X9" s="1566"/>
      <c r="Y9" s="3361" t="s">
        <v>532</v>
      </c>
      <c r="Z9" s="1149" t="str">
        <f t="shared" ref="Z9:Z15" si="7">Q9</f>
        <v>用途</v>
      </c>
      <c r="AA9" s="1567">
        <f t="shared" si="3"/>
        <v>1</v>
      </c>
      <c r="AB9" s="1567">
        <f t="shared" si="4"/>
        <v>1</v>
      </c>
      <c r="AC9" s="1567">
        <f t="shared" si="5"/>
        <v>1</v>
      </c>
    </row>
    <row r="10" spans="1:29" s="1337" customFormat="1" ht="28.8">
      <c r="A10" s="2936"/>
      <c r="B10" s="2941" t="s">
        <v>2757</v>
      </c>
      <c r="C10" s="860"/>
      <c r="D10" s="254">
        <v>100</v>
      </c>
      <c r="E10" s="861"/>
      <c r="F10" s="862">
        <f>SUMIF(65:65,E10,66:66)-SUMIF(65:65,C10,66:66)+100</f>
        <v>100</v>
      </c>
      <c r="G10" s="860"/>
      <c r="H10" s="254">
        <f>SUMIF(65:65,G10,66:66)-SUMIF(65:65,C10,66:66)+100</f>
        <v>100</v>
      </c>
      <c r="I10" s="860"/>
      <c r="J10" s="254">
        <f>SUMIF(65:65,I10,66:66)-SUMIF(65:65,C10,66:66)+100</f>
        <v>100</v>
      </c>
      <c r="K10" s="863"/>
      <c r="L10" s="2135"/>
      <c r="M10" s="2175"/>
      <c r="N10" s="2175"/>
      <c r="O10" s="2136"/>
      <c r="P10" s="3404"/>
      <c r="Q10" s="1150" t="str">
        <f t="shared" si="6"/>
        <v>土地使用年限（年）</v>
      </c>
      <c r="R10" s="1564" t="s">
        <v>8</v>
      </c>
      <c r="S10" s="1565">
        <f t="shared" si="0"/>
        <v>100</v>
      </c>
      <c r="T10" s="1564" t="s">
        <v>8</v>
      </c>
      <c r="U10" s="1565">
        <f t="shared" si="1"/>
        <v>100</v>
      </c>
      <c r="V10" s="1564" t="s">
        <v>8</v>
      </c>
      <c r="W10" s="1565">
        <f t="shared" si="2"/>
        <v>100</v>
      </c>
      <c r="X10" s="1566"/>
      <c r="Y10" s="3361"/>
      <c r="Z10" s="1149" t="str">
        <f t="shared" si="7"/>
        <v>土地使用年限（年）</v>
      </c>
      <c r="AA10" s="1567">
        <f t="shared" si="3"/>
        <v>1</v>
      </c>
      <c r="AB10" s="1567">
        <f t="shared" si="4"/>
        <v>1</v>
      </c>
      <c r="AC10" s="1567">
        <f t="shared" si="5"/>
        <v>1</v>
      </c>
    </row>
    <row r="11" spans="1:29" ht="15">
      <c r="A11" s="2937"/>
      <c r="B11" s="2941"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7"/>
      <c r="M11" s="2131"/>
      <c r="N11" s="2131"/>
      <c r="O11" s="2138"/>
      <c r="P11" s="3404"/>
      <c r="Q11" s="1150" t="str">
        <f t="shared" si="6"/>
        <v>容积率</v>
      </c>
      <c r="R11" s="1564" t="s">
        <v>11</v>
      </c>
      <c r="S11" s="1565" t="e">
        <f t="shared" si="0"/>
        <v>#N/A</v>
      </c>
      <c r="T11" s="1564" t="s">
        <v>11</v>
      </c>
      <c r="U11" s="1565" t="e">
        <f t="shared" si="1"/>
        <v>#N/A</v>
      </c>
      <c r="V11" s="1564" t="s">
        <v>11</v>
      </c>
      <c r="W11" s="1565" t="e">
        <f t="shared" si="2"/>
        <v>#N/A</v>
      </c>
      <c r="X11" s="1566"/>
      <c r="Y11" s="3361"/>
      <c r="Z11" s="1149" t="str">
        <f t="shared" si="7"/>
        <v>容积率</v>
      </c>
      <c r="AA11" s="1567" t="e">
        <f t="shared" si="3"/>
        <v>#N/A</v>
      </c>
      <c r="AB11" s="1567" t="e">
        <f t="shared" si="4"/>
        <v>#N/A</v>
      </c>
      <c r="AC11" s="1567" t="e">
        <f t="shared" si="5"/>
        <v>#N/A</v>
      </c>
    </row>
    <row r="12" spans="1:29" s="1219"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4"/>
      <c r="Q12" s="1150">
        <f t="shared" si="6"/>
        <v>111</v>
      </c>
      <c r="R12" s="1564" t="s">
        <v>11</v>
      </c>
      <c r="S12" s="1565">
        <f t="shared" si="0"/>
        <v>100</v>
      </c>
      <c r="T12" s="1564" t="s">
        <v>11</v>
      </c>
      <c r="U12" s="1565">
        <f t="shared" si="1"/>
        <v>100</v>
      </c>
      <c r="V12" s="1564" t="s">
        <v>11</v>
      </c>
      <c r="W12" s="1565">
        <f t="shared" si="2"/>
        <v>100</v>
      </c>
      <c r="X12" s="1566"/>
      <c r="Y12" s="3361"/>
      <c r="Z12" s="1149">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4"/>
      <c r="Q13" s="1150">
        <f t="shared" si="6"/>
        <v>111</v>
      </c>
      <c r="R13" s="1564" t="s">
        <v>11</v>
      </c>
      <c r="S13" s="1565">
        <f t="shared" si="0"/>
        <v>100</v>
      </c>
      <c r="T13" s="1564" t="s">
        <v>11</v>
      </c>
      <c r="U13" s="1565">
        <f t="shared" si="1"/>
        <v>100</v>
      </c>
      <c r="V13" s="1564" t="s">
        <v>11</v>
      </c>
      <c r="W13" s="1565">
        <f t="shared" si="2"/>
        <v>100</v>
      </c>
      <c r="X13" s="1566"/>
      <c r="Y13" s="3361"/>
      <c r="Z13" s="1149">
        <f t="shared" si="7"/>
        <v>111</v>
      </c>
      <c r="AA13" s="1567">
        <f t="shared" si="3"/>
        <v>1</v>
      </c>
      <c r="AB13" s="1567">
        <f t="shared" si="4"/>
        <v>1</v>
      </c>
      <c r="AC13" s="1567">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4"/>
      <c r="Q14" s="1150">
        <f t="shared" si="6"/>
        <v>111</v>
      </c>
      <c r="R14" s="1564" t="s">
        <v>11</v>
      </c>
      <c r="S14" s="1565">
        <f t="shared" si="0"/>
        <v>100</v>
      </c>
      <c r="T14" s="1564" t="s">
        <v>11</v>
      </c>
      <c r="U14" s="1565">
        <f t="shared" si="1"/>
        <v>100</v>
      </c>
      <c r="V14" s="1564" t="s">
        <v>11</v>
      </c>
      <c r="W14" s="1565">
        <f t="shared" si="2"/>
        <v>100</v>
      </c>
      <c r="X14" s="1566"/>
      <c r="Y14" s="3361"/>
      <c r="Z14" s="1149">
        <f t="shared" si="7"/>
        <v>111</v>
      </c>
      <c r="AA14" s="1567">
        <f t="shared" si="3"/>
        <v>1</v>
      </c>
      <c r="AB14" s="1567">
        <f t="shared" si="4"/>
        <v>1</v>
      </c>
      <c r="AC14" s="1567">
        <f t="shared" si="5"/>
        <v>1</v>
      </c>
    </row>
    <row r="15" spans="1:29" ht="15">
      <c r="A15" s="2931" t="s">
        <v>2754</v>
      </c>
      <c r="B15" s="166" t="s">
        <v>291</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9"/>
      <c r="M15" s="2131"/>
      <c r="N15" s="2131"/>
      <c r="O15" s="2138"/>
      <c r="P15" s="3406" t="s">
        <v>536</v>
      </c>
      <c r="Q15" s="1568" t="str">
        <f t="shared" si="6"/>
        <v>居住社区成熟度</v>
      </c>
      <c r="R15" s="1569" t="s">
        <v>11</v>
      </c>
      <c r="S15" s="1570">
        <f t="shared" si="0"/>
        <v>100</v>
      </c>
      <c r="T15" s="1569" t="s">
        <v>11</v>
      </c>
      <c r="U15" s="1570">
        <f t="shared" si="1"/>
        <v>100</v>
      </c>
      <c r="V15" s="1569" t="s">
        <v>11</v>
      </c>
      <c r="W15" s="1570">
        <f t="shared" si="2"/>
        <v>100</v>
      </c>
      <c r="X15" s="1563"/>
      <c r="Y15" s="3406" t="s">
        <v>536</v>
      </c>
      <c r="Z15" s="1571" t="str">
        <f t="shared" si="7"/>
        <v>居住社区成熟度</v>
      </c>
      <c r="AA15" s="1572">
        <f t="shared" si="3"/>
        <v>1</v>
      </c>
      <c r="AB15" s="1572">
        <f t="shared" si="4"/>
        <v>1</v>
      </c>
      <c r="AC15" s="1572">
        <f t="shared" si="5"/>
        <v>1</v>
      </c>
    </row>
    <row r="16" spans="1:29" ht="15">
      <c r="A16" s="531"/>
      <c r="B16" s="868"/>
      <c r="C16" s="575"/>
      <c r="D16" s="554"/>
      <c r="E16" s="555"/>
      <c r="F16" s="556"/>
      <c r="G16" s="557"/>
      <c r="H16" s="558"/>
      <c r="I16" s="555"/>
      <c r="J16" s="554"/>
      <c r="K16" s="869"/>
      <c r="L16" s="2139"/>
      <c r="M16" s="2131"/>
      <c r="N16" s="2131"/>
      <c r="O16" s="2138"/>
      <c r="P16" s="3407"/>
      <c r="Q16" s="1568"/>
      <c r="R16" s="1569"/>
      <c r="S16" s="1570"/>
      <c r="T16" s="1569"/>
      <c r="U16" s="1570"/>
      <c r="V16" s="1569"/>
      <c r="W16" s="1570"/>
      <c r="X16" s="1563"/>
      <c r="Y16" s="3407"/>
      <c r="Z16" s="1571"/>
      <c r="AA16" s="1572">
        <v>1</v>
      </c>
      <c r="AB16" s="1572">
        <v>1</v>
      </c>
      <c r="AC16" s="1572">
        <v>1</v>
      </c>
    </row>
    <row r="17" spans="1:29" ht="15">
      <c r="A17" s="531"/>
      <c r="B17" s="870" t="s">
        <v>292</v>
      </c>
      <c r="C17" s="871" t="str">
        <f>估价对象房地状况!C6</f>
        <v>交通便捷度较差</v>
      </c>
      <c r="D17" s="558">
        <v>100</v>
      </c>
      <c r="E17" s="561"/>
      <c r="F17" s="562">
        <f>SUMIF(78:78,E18,79:79)-SUMIF(78:78,C18,79:79)+100</f>
        <v>100</v>
      </c>
      <c r="G17" s="563"/>
      <c r="H17" s="564">
        <f>SUMIF(78:78,G18,79:79)-SUMIF(78:78,C18,79:79)+100</f>
        <v>100</v>
      </c>
      <c r="I17" s="561"/>
      <c r="J17" s="564">
        <f>SUMIF(78:78,I18,79:79)-SUMIF(78:78,C18,79:79)+100</f>
        <v>100</v>
      </c>
      <c r="K17" s="867"/>
      <c r="L17" s="2139"/>
      <c r="M17" s="2131"/>
      <c r="N17" s="2131"/>
      <c r="O17" s="2138"/>
      <c r="P17" s="3407"/>
      <c r="Q17" s="1568" t="str">
        <f>B17</f>
        <v>交通便捷度</v>
      </c>
      <c r="R17" s="1569" t="s">
        <v>11</v>
      </c>
      <c r="S17" s="1570">
        <f>F17</f>
        <v>100</v>
      </c>
      <c r="T17" s="1569" t="s">
        <v>11</v>
      </c>
      <c r="U17" s="1570">
        <f>H17</f>
        <v>100</v>
      </c>
      <c r="V17" s="1569" t="s">
        <v>11</v>
      </c>
      <c r="W17" s="1570">
        <f>J17</f>
        <v>100</v>
      </c>
      <c r="X17" s="1563"/>
      <c r="Y17" s="3407"/>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69"/>
      <c r="L18" s="2139"/>
      <c r="M18" s="2131"/>
      <c r="N18" s="2131"/>
      <c r="O18" s="2138"/>
      <c r="P18" s="3407"/>
      <c r="Q18" s="1568"/>
      <c r="R18" s="1569"/>
      <c r="S18" s="1570"/>
      <c r="T18" s="1569"/>
      <c r="U18" s="1570"/>
      <c r="V18" s="1569"/>
      <c r="W18" s="1570"/>
      <c r="X18" s="1563"/>
      <c r="Y18" s="3407"/>
      <c r="Z18" s="1571"/>
      <c r="AA18" s="1572">
        <v>1</v>
      </c>
      <c r="AB18" s="1572">
        <v>1</v>
      </c>
      <c r="AC18" s="1572">
        <v>1</v>
      </c>
    </row>
    <row r="19" spans="1:29" ht="27.6">
      <c r="A19" s="531"/>
      <c r="B19" s="2621" t="s">
        <v>2546</v>
      </c>
      <c r="C19" s="871" t="str">
        <f>估价对象房地状况!C7</f>
        <v>公共配套设施齐备度较差</v>
      </c>
      <c r="D19" s="564">
        <v>100</v>
      </c>
      <c r="E19" s="569"/>
      <c r="F19" s="570">
        <f>SUMIF(80:80,E20,81:81)-SUMIF(80:80,C20,81:81)+100</f>
        <v>100</v>
      </c>
      <c r="G19" s="571"/>
      <c r="H19" s="558">
        <f>SUMIF(80:80,G20,81:81)-SUMIF(80:80,C20,81:81)+100</f>
        <v>100</v>
      </c>
      <c r="I19" s="569"/>
      <c r="J19" s="558">
        <f>SUMIF(80:80,I20,81:81)-SUMIF(80:80,C20,81:81)+100</f>
        <v>100</v>
      </c>
      <c r="K19" s="867"/>
      <c r="L19" s="2139"/>
      <c r="M19" s="2131"/>
      <c r="N19" s="2131"/>
      <c r="O19" s="2138"/>
      <c r="P19" s="3407"/>
      <c r="Q19" s="1568" t="str">
        <f>B19</f>
        <v>公共配套设施</v>
      </c>
      <c r="R19" s="1569" t="s">
        <v>11</v>
      </c>
      <c r="S19" s="1570">
        <f>F19</f>
        <v>100</v>
      </c>
      <c r="T19" s="1569" t="s">
        <v>11</v>
      </c>
      <c r="U19" s="1570">
        <f>H19</f>
        <v>100</v>
      </c>
      <c r="V19" s="1569" t="s">
        <v>11</v>
      </c>
      <c r="W19" s="1570">
        <f>J19</f>
        <v>100</v>
      </c>
      <c r="X19" s="1563"/>
      <c r="Y19" s="3407"/>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69"/>
      <c r="L20" s="2139"/>
      <c r="M20" s="2131"/>
      <c r="N20" s="2131"/>
      <c r="O20" s="2138"/>
      <c r="P20" s="3407"/>
      <c r="Q20" s="1568"/>
      <c r="R20" s="1569"/>
      <c r="S20" s="1570"/>
      <c r="T20" s="1569"/>
      <c r="U20" s="1570"/>
      <c r="V20" s="1569"/>
      <c r="W20" s="1570"/>
      <c r="X20" s="1563"/>
      <c r="Y20" s="3407"/>
      <c r="Z20" s="1571"/>
      <c r="AA20" s="1572">
        <v>1</v>
      </c>
      <c r="AB20" s="1572">
        <v>1</v>
      </c>
      <c r="AC20" s="1572">
        <v>1</v>
      </c>
    </row>
    <row r="21" spans="1:29" ht="15">
      <c r="A21" s="531"/>
      <c r="B21" s="2614" t="s">
        <v>2558</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39"/>
      <c r="M21" s="2131"/>
      <c r="N21" s="2131"/>
      <c r="O21" s="2138"/>
      <c r="P21" s="3407"/>
      <c r="Q21" s="2600" t="str">
        <f>B21</f>
        <v>基础设施水平</v>
      </c>
      <c r="R21" s="1569" t="s">
        <v>11</v>
      </c>
      <c r="S21" s="1570">
        <f>F21</f>
        <v>100</v>
      </c>
      <c r="T21" s="1569" t="s">
        <v>11</v>
      </c>
      <c r="U21" s="1570">
        <f>H21</f>
        <v>100</v>
      </c>
      <c r="V21" s="1569" t="s">
        <v>11</v>
      </c>
      <c r="W21" s="1570">
        <f>J21</f>
        <v>100</v>
      </c>
      <c r="X21" s="2602"/>
      <c r="Y21" s="3407"/>
      <c r="Z21" s="2601"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20"/>
      <c r="L22" s="2139"/>
      <c r="M22" s="2131"/>
      <c r="N22" s="2131"/>
      <c r="O22" s="2138"/>
      <c r="P22" s="3407"/>
      <c r="Q22" s="2600"/>
      <c r="R22" s="1569"/>
      <c r="S22" s="1570"/>
      <c r="T22" s="1569"/>
      <c r="U22" s="1570"/>
      <c r="V22" s="1569"/>
      <c r="W22" s="1570"/>
      <c r="X22" s="2602"/>
      <c r="Y22" s="3407"/>
      <c r="Z22" s="2601"/>
      <c r="AA22" s="1572">
        <v>1</v>
      </c>
      <c r="AB22" s="1572">
        <v>1</v>
      </c>
      <c r="AC22" s="1572">
        <v>1</v>
      </c>
    </row>
    <row r="23" spans="1:29" ht="27.6">
      <c r="A23" s="531"/>
      <c r="B23" s="870" t="s">
        <v>293</v>
      </c>
      <c r="C23" s="871" t="str">
        <f>估价对象房地状况!C9</f>
        <v>自然人文环境较差</v>
      </c>
      <c r="D23" s="558">
        <v>100</v>
      </c>
      <c r="E23" s="561"/>
      <c r="F23" s="562">
        <f>SUMIF(84:84,E24,85:85)-SUMIF(84:84,C24,85:85)+100</f>
        <v>100</v>
      </c>
      <c r="G23" s="563"/>
      <c r="H23" s="558">
        <f>SUMIF(84:84,G24,85:85)-SUMIF(84:84,C24,85:85)+100</f>
        <v>100</v>
      </c>
      <c r="I23" s="561"/>
      <c r="J23" s="558">
        <f>SUMIF(84:84,I24,85:85)-SUMIF(84:84,C24,85:85)+100</f>
        <v>100</v>
      </c>
      <c r="K23" s="867"/>
      <c r="L23" s="2139"/>
      <c r="M23" s="2131"/>
      <c r="N23" s="2131"/>
      <c r="O23" s="2138"/>
      <c r="P23" s="3407"/>
      <c r="Q23" s="1568" t="str">
        <f>B23</f>
        <v>自然及人文环境</v>
      </c>
      <c r="R23" s="1569" t="s">
        <v>11</v>
      </c>
      <c r="S23" s="1570">
        <f>F23</f>
        <v>100</v>
      </c>
      <c r="T23" s="1569" t="s">
        <v>11</v>
      </c>
      <c r="U23" s="1570">
        <f>H23</f>
        <v>100</v>
      </c>
      <c r="V23" s="1569" t="s">
        <v>11</v>
      </c>
      <c r="W23" s="1570">
        <f>J23</f>
        <v>100</v>
      </c>
      <c r="X23" s="1563"/>
      <c r="Y23" s="3407"/>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69"/>
      <c r="L24" s="2139"/>
      <c r="M24" s="2131"/>
      <c r="N24" s="2131"/>
      <c r="O24" s="2138"/>
      <c r="P24" s="3407"/>
      <c r="Q24" s="1568"/>
      <c r="R24" s="1569"/>
      <c r="S24" s="1570"/>
      <c r="T24" s="1569"/>
      <c r="U24" s="1570"/>
      <c r="V24" s="1569"/>
      <c r="W24" s="1570"/>
      <c r="X24" s="1563"/>
      <c r="Y24" s="3407"/>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07"/>
      <c r="Q25" s="1568" t="str">
        <f t="shared" ref="Q25:Q46" si="11">B25</f>
        <v>楼层-1</v>
      </c>
      <c r="R25" s="1569" t="s">
        <v>11</v>
      </c>
      <c r="S25" s="1570">
        <f>F25</f>
        <v>100</v>
      </c>
      <c r="T25" s="1569" t="s">
        <v>11</v>
      </c>
      <c r="U25" s="1570">
        <f>H25</f>
        <v>100</v>
      </c>
      <c r="V25" s="1569" t="s">
        <v>11</v>
      </c>
      <c r="W25" s="1570">
        <f>J25</f>
        <v>100</v>
      </c>
      <c r="X25" s="1563"/>
      <c r="Y25" s="3407"/>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07"/>
      <c r="Q26" s="1568" t="str">
        <f t="shared" si="11"/>
        <v>朝向</v>
      </c>
      <c r="R26" s="1569" t="s">
        <v>11</v>
      </c>
      <c r="S26" s="1570">
        <f>F26</f>
        <v>100</v>
      </c>
      <c r="T26" s="1569" t="s">
        <v>11</v>
      </c>
      <c r="U26" s="1570">
        <f>H26</f>
        <v>100</v>
      </c>
      <c r="V26" s="1569" t="s">
        <v>11</v>
      </c>
      <c r="W26" s="1570">
        <f>J26</f>
        <v>100</v>
      </c>
      <c r="X26" s="1563"/>
      <c r="Y26" s="3407"/>
      <c r="Z26" s="1571" t="str">
        <f>Q26</f>
        <v>朝向</v>
      </c>
      <c r="AA26" s="1572">
        <f t="shared" si="3"/>
        <v>1</v>
      </c>
      <c r="AB26" s="1572">
        <f t="shared" si="4"/>
        <v>1</v>
      </c>
      <c r="AC26" s="1572">
        <f t="shared" si="5"/>
        <v>1</v>
      </c>
    </row>
    <row r="27" spans="1:29" s="1219"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07"/>
      <c r="Q27" s="1150" t="str">
        <f t="shared" si="11"/>
        <v>道路级别</v>
      </c>
      <c r="R27" s="1564" t="s">
        <v>11</v>
      </c>
      <c r="S27" s="1565">
        <f>F27</f>
        <v>100</v>
      </c>
      <c r="T27" s="1564" t="s">
        <v>11</v>
      </c>
      <c r="U27" s="1565">
        <f>H27</f>
        <v>100</v>
      </c>
      <c r="V27" s="1564" t="s">
        <v>11</v>
      </c>
      <c r="W27" s="1565">
        <f>J27</f>
        <v>100</v>
      </c>
      <c r="X27" s="1566"/>
      <c r="Y27" s="3407"/>
      <c r="Z27" s="1149"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07"/>
      <c r="Q28" s="1568">
        <f t="shared" si="11"/>
        <v>111</v>
      </c>
      <c r="R28" s="1569" t="s">
        <v>11</v>
      </c>
      <c r="S28" s="1570">
        <f t="shared" ref="S28:S46" si="12">F28</f>
        <v>100</v>
      </c>
      <c r="T28" s="1569" t="s">
        <v>11</v>
      </c>
      <c r="U28" s="1570">
        <f t="shared" ref="U28:U46" si="13">H28</f>
        <v>100</v>
      </c>
      <c r="V28" s="1569" t="s">
        <v>11</v>
      </c>
      <c r="W28" s="1570">
        <f t="shared" ref="W28:W46" si="14">J28</f>
        <v>100</v>
      </c>
      <c r="X28" s="1563"/>
      <c r="Y28" s="3407"/>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07"/>
      <c r="Q29" s="1568">
        <f t="shared" si="11"/>
        <v>111</v>
      </c>
      <c r="R29" s="1569" t="s">
        <v>11</v>
      </c>
      <c r="S29" s="1570">
        <f t="shared" si="12"/>
        <v>100</v>
      </c>
      <c r="T29" s="1569" t="s">
        <v>11</v>
      </c>
      <c r="U29" s="1570">
        <f t="shared" si="13"/>
        <v>100</v>
      </c>
      <c r="V29" s="1569" t="s">
        <v>11</v>
      </c>
      <c r="W29" s="1570">
        <f t="shared" si="14"/>
        <v>100</v>
      </c>
      <c r="X29" s="1563"/>
      <c r="Y29" s="3407"/>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07"/>
      <c r="Q30" s="1568">
        <f t="shared" si="11"/>
        <v>111</v>
      </c>
      <c r="R30" s="1569" t="s">
        <v>11</v>
      </c>
      <c r="S30" s="1570">
        <f t="shared" si="12"/>
        <v>100</v>
      </c>
      <c r="T30" s="1569" t="s">
        <v>11</v>
      </c>
      <c r="U30" s="1570">
        <f t="shared" si="13"/>
        <v>100</v>
      </c>
      <c r="V30" s="1569" t="s">
        <v>11</v>
      </c>
      <c r="W30" s="1570">
        <f t="shared" si="14"/>
        <v>100</v>
      </c>
      <c r="X30" s="1563"/>
      <c r="Y30" s="3407"/>
      <c r="Z30" s="1571">
        <f t="shared" si="15"/>
        <v>111</v>
      </c>
      <c r="AA30" s="1572">
        <f t="shared" si="3"/>
        <v>1</v>
      </c>
      <c r="AB30" s="1572">
        <f t="shared" si="4"/>
        <v>1</v>
      </c>
      <c r="AC30" s="157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07"/>
      <c r="Q31" s="1568">
        <f t="shared" si="11"/>
        <v>111</v>
      </c>
      <c r="R31" s="1569" t="s">
        <v>11</v>
      </c>
      <c r="S31" s="1570">
        <f t="shared" si="12"/>
        <v>100</v>
      </c>
      <c r="T31" s="1569" t="s">
        <v>11</v>
      </c>
      <c r="U31" s="1570">
        <f t="shared" si="13"/>
        <v>100</v>
      </c>
      <c r="V31" s="1569" t="s">
        <v>11</v>
      </c>
      <c r="W31" s="1570">
        <f t="shared" si="14"/>
        <v>100</v>
      </c>
      <c r="X31" s="1563"/>
      <c r="Y31" s="3407"/>
      <c r="Z31" s="1571">
        <f t="shared" si="15"/>
        <v>111</v>
      </c>
      <c r="AA31" s="1572">
        <f t="shared" si="3"/>
        <v>1</v>
      </c>
      <c r="AB31" s="1572">
        <f t="shared" si="4"/>
        <v>1</v>
      </c>
      <c r="AC31" s="1572">
        <f t="shared" si="5"/>
        <v>1</v>
      </c>
    </row>
    <row r="32" spans="1:29" ht="15">
      <c r="A32" s="2928" t="s">
        <v>2755</v>
      </c>
      <c r="B32" s="172" t="s">
        <v>721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9"/>
      <c r="M32" s="2131"/>
      <c r="N32" s="2131"/>
      <c r="O32" s="2138"/>
      <c r="P32" s="3408" t="s">
        <v>546</v>
      </c>
      <c r="Q32" s="1568" t="str">
        <f t="shared" si="11"/>
        <v>建筑类型</v>
      </c>
      <c r="R32" s="1569" t="s">
        <v>11</v>
      </c>
      <c r="S32" s="1570">
        <f t="shared" si="12"/>
        <v>100</v>
      </c>
      <c r="T32" s="1569" t="s">
        <v>11</v>
      </c>
      <c r="U32" s="1570">
        <f t="shared" si="13"/>
        <v>100</v>
      </c>
      <c r="V32" s="1569" t="s">
        <v>11</v>
      </c>
      <c r="W32" s="1570">
        <f t="shared" si="14"/>
        <v>100</v>
      </c>
      <c r="X32" s="1563"/>
      <c r="Y32" s="3409" t="s">
        <v>546</v>
      </c>
      <c r="Z32" s="1571" t="str">
        <f t="shared" si="15"/>
        <v>建筑类型</v>
      </c>
      <c r="AA32" s="1572">
        <f t="shared" si="3"/>
        <v>1</v>
      </c>
      <c r="AB32" s="1572">
        <f t="shared" si="4"/>
        <v>1</v>
      </c>
      <c r="AC32" s="1572">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7"/>
      <c r="M33" s="2168"/>
      <c r="N33" s="2168"/>
      <c r="O33" s="2140"/>
      <c r="P33" s="3409"/>
      <c r="Q33" s="1601" t="str">
        <f t="shared" si="11"/>
        <v>项目建筑规模</v>
      </c>
      <c r="R33" s="1573" t="s">
        <v>11</v>
      </c>
      <c r="S33" s="1574" t="e">
        <f t="shared" si="12"/>
        <v>#N/A</v>
      </c>
      <c r="T33" s="1573" t="s">
        <v>11</v>
      </c>
      <c r="U33" s="1574" t="e">
        <f t="shared" si="13"/>
        <v>#N/A</v>
      </c>
      <c r="V33" s="1573" t="s">
        <v>11</v>
      </c>
      <c r="W33" s="1574" t="e">
        <f t="shared" si="14"/>
        <v>#N/A</v>
      </c>
      <c r="X33" s="1575"/>
      <c r="Y33" s="3409"/>
      <c r="Z33" s="1576" t="str">
        <f t="shared" si="15"/>
        <v>项目建筑规模</v>
      </c>
      <c r="AA33" s="1572" t="e">
        <f t="shared" si="3"/>
        <v>#N/A</v>
      </c>
      <c r="AB33" s="1572" t="e">
        <f t="shared" si="4"/>
        <v>#N/A</v>
      </c>
      <c r="AC33" s="1572"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9"/>
      <c r="M34" s="2131"/>
      <c r="N34" s="2131"/>
      <c r="O34" s="2138"/>
      <c r="P34" s="3409"/>
      <c r="Q34" s="1568" t="str">
        <f t="shared" si="11"/>
        <v>建筑结构</v>
      </c>
      <c r="R34" s="1569" t="s">
        <v>11</v>
      </c>
      <c r="S34" s="1570">
        <f t="shared" si="12"/>
        <v>100</v>
      </c>
      <c r="T34" s="1569" t="s">
        <v>11</v>
      </c>
      <c r="U34" s="1570">
        <f t="shared" si="13"/>
        <v>100</v>
      </c>
      <c r="V34" s="1569" t="s">
        <v>11</v>
      </c>
      <c r="W34" s="1570">
        <f t="shared" si="14"/>
        <v>100</v>
      </c>
      <c r="X34" s="1563"/>
      <c r="Y34" s="3409"/>
      <c r="Z34" s="1571" t="str">
        <f t="shared" si="15"/>
        <v>建筑结构</v>
      </c>
      <c r="AA34" s="1572">
        <f t="shared" si="3"/>
        <v>1</v>
      </c>
      <c r="AB34" s="1572">
        <f t="shared" si="4"/>
        <v>1</v>
      </c>
      <c r="AC34" s="1572">
        <f t="shared" si="5"/>
        <v>1</v>
      </c>
    </row>
    <row r="35" spans="1:29" ht="15">
      <c r="A35" s="593"/>
      <c r="B35" s="526" t="s">
        <v>724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9"/>
      <c r="M35" s="2131"/>
      <c r="N35" s="2131"/>
      <c r="O35" s="2138"/>
      <c r="P35" s="3409"/>
      <c r="Q35" s="1568" t="str">
        <f t="shared" si="11"/>
        <v>建筑品质</v>
      </c>
      <c r="R35" s="1569" t="s">
        <v>11</v>
      </c>
      <c r="S35" s="1570">
        <f t="shared" si="12"/>
        <v>100</v>
      </c>
      <c r="T35" s="1569" t="s">
        <v>11</v>
      </c>
      <c r="U35" s="1570">
        <f t="shared" si="13"/>
        <v>100</v>
      </c>
      <c r="V35" s="1569" t="s">
        <v>11</v>
      </c>
      <c r="W35" s="1570">
        <f t="shared" si="14"/>
        <v>100</v>
      </c>
      <c r="X35" s="1563"/>
      <c r="Y35" s="3409"/>
      <c r="Z35" s="1571" t="str">
        <f t="shared" si="15"/>
        <v>建筑品质</v>
      </c>
      <c r="AA35" s="1572">
        <f t="shared" si="3"/>
        <v>1</v>
      </c>
      <c r="AB35" s="1572">
        <f t="shared" si="4"/>
        <v>1</v>
      </c>
      <c r="AC35" s="1572">
        <f t="shared" si="5"/>
        <v>1</v>
      </c>
    </row>
    <row r="36" spans="1:29" ht="15">
      <c r="A36" s="593"/>
      <c r="B36" s="526" t="s">
        <v>725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9"/>
      <c r="M36" s="2131"/>
      <c r="N36" s="2131"/>
      <c r="O36" s="2138"/>
      <c r="P36" s="3409"/>
      <c r="Q36" s="1568" t="str">
        <f t="shared" si="11"/>
        <v>公共部分装修</v>
      </c>
      <c r="R36" s="1569" t="s">
        <v>11</v>
      </c>
      <c r="S36" s="1570">
        <f t="shared" si="12"/>
        <v>100</v>
      </c>
      <c r="T36" s="1569" t="s">
        <v>11</v>
      </c>
      <c r="U36" s="1570">
        <f t="shared" si="13"/>
        <v>100</v>
      </c>
      <c r="V36" s="1569" t="s">
        <v>11</v>
      </c>
      <c r="W36" s="1570">
        <f t="shared" si="14"/>
        <v>100</v>
      </c>
      <c r="X36" s="1563"/>
      <c r="Y36" s="3409"/>
      <c r="Z36" s="1571" t="str">
        <f t="shared" si="15"/>
        <v>公共部分装修</v>
      </c>
      <c r="AA36" s="1572">
        <f t="shared" si="3"/>
        <v>1</v>
      </c>
      <c r="AB36" s="1572">
        <f t="shared" si="4"/>
        <v>1</v>
      </c>
      <c r="AC36" s="1572">
        <f t="shared" si="5"/>
        <v>1</v>
      </c>
    </row>
    <row r="37" spans="1:29" s="1219" customFormat="1" ht="15">
      <c r="A37" s="599"/>
      <c r="B37" s="526" t="s">
        <v>726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2"/>
      <c r="M37" s="2133"/>
      <c r="N37" s="2133"/>
      <c r="O37" s="2134"/>
      <c r="P37" s="3409"/>
      <c r="Q37" s="1150" t="str">
        <f t="shared" si="11"/>
        <v>成新度</v>
      </c>
      <c r="R37" s="1564" t="s">
        <v>11</v>
      </c>
      <c r="S37" s="1565" t="e">
        <f t="shared" si="12"/>
        <v>#N/A</v>
      </c>
      <c r="T37" s="1564" t="s">
        <v>11</v>
      </c>
      <c r="U37" s="1565" t="e">
        <f t="shared" si="13"/>
        <v>#N/A</v>
      </c>
      <c r="V37" s="1564" t="s">
        <v>11</v>
      </c>
      <c r="W37" s="1565" t="e">
        <f t="shared" si="14"/>
        <v>#N/A</v>
      </c>
      <c r="X37" s="1566"/>
      <c r="Y37" s="3409"/>
      <c r="Z37" s="1149" t="str">
        <f t="shared" si="15"/>
        <v>成新度</v>
      </c>
      <c r="AA37" s="1567" t="e">
        <f t="shared" si="3"/>
        <v>#N/A</v>
      </c>
      <c r="AB37" s="1567" t="e">
        <f t="shared" si="4"/>
        <v>#N/A</v>
      </c>
      <c r="AC37" s="1567" t="e">
        <f t="shared" si="5"/>
        <v>#N/A</v>
      </c>
    </row>
    <row r="38" spans="1:29" ht="15">
      <c r="A38" s="593"/>
      <c r="B38" s="526" t="s">
        <v>727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9"/>
      <c r="M38" s="2131"/>
      <c r="N38" s="2131"/>
      <c r="O38" s="2138"/>
      <c r="P38" s="3409" t="s">
        <v>546</v>
      </c>
      <c r="Q38" s="1568" t="str">
        <f t="shared" si="11"/>
        <v>物业管理</v>
      </c>
      <c r="R38" s="1569" t="s">
        <v>11</v>
      </c>
      <c r="S38" s="1570">
        <f t="shared" si="12"/>
        <v>100</v>
      </c>
      <c r="T38" s="1569" t="s">
        <v>11</v>
      </c>
      <c r="U38" s="1570">
        <f t="shared" si="13"/>
        <v>100</v>
      </c>
      <c r="V38" s="1569" t="s">
        <v>11</v>
      </c>
      <c r="W38" s="1570">
        <f t="shared" si="14"/>
        <v>100</v>
      </c>
      <c r="X38" s="1563"/>
      <c r="Y38" s="3409" t="s">
        <v>546</v>
      </c>
      <c r="Z38" s="1571" t="str">
        <f t="shared" si="15"/>
        <v>物业管理</v>
      </c>
      <c r="AA38" s="1572">
        <f t="shared" si="3"/>
        <v>1</v>
      </c>
      <c r="AB38" s="1572">
        <f t="shared" si="4"/>
        <v>1</v>
      </c>
      <c r="AC38" s="1572">
        <f t="shared" si="5"/>
        <v>1</v>
      </c>
    </row>
    <row r="39" spans="1:29" ht="15">
      <c r="A39" s="593"/>
      <c r="B39" s="1892"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9"/>
      <c r="M39" s="2131"/>
      <c r="N39" s="2131"/>
      <c r="O39" s="2138"/>
      <c r="P39" s="3409"/>
      <c r="Q39" s="1568" t="str">
        <f t="shared" si="11"/>
        <v>市政基础设施</v>
      </c>
      <c r="R39" s="1569" t="s">
        <v>11</v>
      </c>
      <c r="S39" s="1570">
        <f t="shared" si="12"/>
        <v>100</v>
      </c>
      <c r="T39" s="1569" t="s">
        <v>11</v>
      </c>
      <c r="U39" s="1570">
        <f t="shared" si="13"/>
        <v>100</v>
      </c>
      <c r="V39" s="1569" t="s">
        <v>11</v>
      </c>
      <c r="W39" s="1570">
        <f t="shared" si="14"/>
        <v>100</v>
      </c>
      <c r="X39" s="1563"/>
      <c r="Y39" s="3409"/>
      <c r="Z39" s="1571" t="str">
        <f t="shared" si="15"/>
        <v>市政基础设施</v>
      </c>
      <c r="AA39" s="1572">
        <f t="shared" si="3"/>
        <v>1</v>
      </c>
      <c r="AB39" s="1572">
        <f t="shared" si="4"/>
        <v>1</v>
      </c>
      <c r="AC39" s="1572">
        <f t="shared" si="5"/>
        <v>1</v>
      </c>
    </row>
    <row r="40" spans="1:29" ht="15">
      <c r="A40" s="593"/>
      <c r="B40" s="526" t="s">
        <v>728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9"/>
      <c r="M40" s="2131"/>
      <c r="N40" s="2131"/>
      <c r="O40" s="2138"/>
      <c r="P40" s="3409"/>
      <c r="Q40" s="1568" t="str">
        <f t="shared" si="11"/>
        <v>房型</v>
      </c>
      <c r="R40" s="1569" t="s">
        <v>11</v>
      </c>
      <c r="S40" s="1570">
        <f t="shared" si="12"/>
        <v>100</v>
      </c>
      <c r="T40" s="1569" t="s">
        <v>11</v>
      </c>
      <c r="U40" s="1570">
        <f t="shared" si="13"/>
        <v>100</v>
      </c>
      <c r="V40" s="1569" t="s">
        <v>11</v>
      </c>
      <c r="W40" s="1570">
        <f t="shared" si="14"/>
        <v>100</v>
      </c>
      <c r="X40" s="1563"/>
      <c r="Y40" s="3409"/>
      <c r="Z40" s="1571" t="str">
        <f t="shared" si="15"/>
        <v>房型</v>
      </c>
      <c r="AA40" s="1572">
        <f t="shared" si="3"/>
        <v>1</v>
      </c>
      <c r="AB40" s="1572">
        <f t="shared" si="4"/>
        <v>1</v>
      </c>
      <c r="AC40" s="1572">
        <f t="shared" si="5"/>
        <v>1</v>
      </c>
    </row>
    <row r="41" spans="1:29" s="1338" customFormat="1" ht="28.8">
      <c r="A41" s="602"/>
      <c r="B41" s="526" t="s">
        <v>729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09"/>
      <c r="Q41" s="1601" t="str">
        <f t="shared" si="11"/>
        <v>单套/主力户型建筑面积</v>
      </c>
      <c r="R41" s="1573" t="s">
        <v>11</v>
      </c>
      <c r="S41" s="1574">
        <f t="shared" si="12"/>
        <v>100</v>
      </c>
      <c r="T41" s="1573" t="s">
        <v>11</v>
      </c>
      <c r="U41" s="1574">
        <f t="shared" si="13"/>
        <v>100</v>
      </c>
      <c r="V41" s="1573" t="s">
        <v>11</v>
      </c>
      <c r="W41" s="1574">
        <f t="shared" si="14"/>
        <v>100</v>
      </c>
      <c r="X41" s="1575"/>
      <c r="Y41" s="3409"/>
      <c r="Z41" s="1576" t="str">
        <f t="shared" si="15"/>
        <v>单套/主力户型建筑面积</v>
      </c>
      <c r="AA41" s="1572">
        <f t="shared" si="3"/>
        <v>1</v>
      </c>
      <c r="AB41" s="1572">
        <f t="shared" si="4"/>
        <v>1</v>
      </c>
      <c r="AC41" s="1572">
        <f t="shared" si="5"/>
        <v>1</v>
      </c>
    </row>
    <row r="42" spans="1:29" ht="15">
      <c r="A42" s="593"/>
      <c r="B42" s="526" t="s">
        <v>730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9"/>
      <c r="M42" s="2131"/>
      <c r="N42" s="2131"/>
      <c r="O42" s="2138"/>
      <c r="P42" s="3409"/>
      <c r="Q42" s="1568" t="str">
        <f t="shared" si="11"/>
        <v>内部装修</v>
      </c>
      <c r="R42" s="1569" t="s">
        <v>11</v>
      </c>
      <c r="S42" s="1570">
        <f t="shared" si="12"/>
        <v>100</v>
      </c>
      <c r="T42" s="1569" t="s">
        <v>11</v>
      </c>
      <c r="U42" s="1570">
        <f t="shared" si="13"/>
        <v>100</v>
      </c>
      <c r="V42" s="1569" t="s">
        <v>11</v>
      </c>
      <c r="W42" s="1570">
        <f t="shared" si="14"/>
        <v>100</v>
      </c>
      <c r="X42" s="1563"/>
      <c r="Y42" s="3409"/>
      <c r="Z42" s="1571" t="str">
        <f t="shared" si="15"/>
        <v>内部装修</v>
      </c>
      <c r="AA42" s="1572">
        <f t="shared" si="3"/>
        <v>1</v>
      </c>
      <c r="AB42" s="1572">
        <f t="shared" si="4"/>
        <v>1</v>
      </c>
      <c r="AC42" s="1572">
        <f t="shared" si="5"/>
        <v>1</v>
      </c>
    </row>
    <row r="43" spans="1:29" ht="28.8">
      <c r="A43" s="593"/>
      <c r="B43" s="526" t="s">
        <v>731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9"/>
      <c r="Q43" s="1568" t="str">
        <f t="shared" si="11"/>
        <v>内部装修维护情况</v>
      </c>
      <c r="R43" s="1569" t="s">
        <v>11</v>
      </c>
      <c r="S43" s="1570">
        <f t="shared" si="12"/>
        <v>100</v>
      </c>
      <c r="T43" s="1569" t="s">
        <v>11</v>
      </c>
      <c r="U43" s="1570">
        <f t="shared" si="13"/>
        <v>100</v>
      </c>
      <c r="V43" s="1569" t="s">
        <v>11</v>
      </c>
      <c r="W43" s="1570">
        <f t="shared" si="14"/>
        <v>100</v>
      </c>
      <c r="X43" s="1563"/>
      <c r="Y43" s="3409"/>
      <c r="Z43" s="1571" t="str">
        <f t="shared" si="15"/>
        <v>内部装修维护情况</v>
      </c>
      <c r="AA43" s="1572">
        <f t="shared" si="3"/>
        <v>1</v>
      </c>
      <c r="AB43" s="1572">
        <f t="shared" si="4"/>
        <v>1</v>
      </c>
      <c r="AC43" s="1572">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2"/>
      <c r="M44" s="2133"/>
      <c r="N44" s="2133"/>
      <c r="O44" s="2134"/>
      <c r="P44" s="3409"/>
      <c r="Q44" s="1150">
        <f t="shared" si="11"/>
        <v>111</v>
      </c>
      <c r="R44" s="1564" t="s">
        <v>11</v>
      </c>
      <c r="S44" s="1565">
        <f t="shared" si="12"/>
        <v>100</v>
      </c>
      <c r="T44" s="1564" t="s">
        <v>11</v>
      </c>
      <c r="U44" s="1565">
        <f t="shared" si="13"/>
        <v>100</v>
      </c>
      <c r="V44" s="1564" t="s">
        <v>11</v>
      </c>
      <c r="W44" s="1565">
        <f t="shared" si="14"/>
        <v>100</v>
      </c>
      <c r="X44" s="1566"/>
      <c r="Y44" s="3409"/>
      <c r="Z44" s="1149">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9"/>
      <c r="Q45" s="1568">
        <f t="shared" si="11"/>
        <v>111</v>
      </c>
      <c r="R45" s="1569" t="s">
        <v>11</v>
      </c>
      <c r="S45" s="1570">
        <f t="shared" si="12"/>
        <v>100</v>
      </c>
      <c r="T45" s="1569" t="s">
        <v>11</v>
      </c>
      <c r="U45" s="1570">
        <f t="shared" si="13"/>
        <v>100</v>
      </c>
      <c r="V45" s="1569" t="s">
        <v>11</v>
      </c>
      <c r="W45" s="1570">
        <f t="shared" si="14"/>
        <v>100</v>
      </c>
      <c r="X45" s="1563"/>
      <c r="Y45" s="3409"/>
      <c r="Z45" s="1571">
        <f t="shared" si="15"/>
        <v>111</v>
      </c>
      <c r="AA45" s="1572">
        <f t="shared" si="3"/>
        <v>1</v>
      </c>
      <c r="AB45" s="1572">
        <f t="shared" si="4"/>
        <v>1</v>
      </c>
      <c r="AC45" s="157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80"/>
      <c r="Q46" s="1568">
        <f t="shared" si="11"/>
        <v>111</v>
      </c>
      <c r="R46" s="1569" t="s">
        <v>10</v>
      </c>
      <c r="S46" s="1570">
        <f t="shared" si="12"/>
        <v>100</v>
      </c>
      <c r="T46" s="1569" t="s">
        <v>10</v>
      </c>
      <c r="U46" s="1570">
        <f t="shared" si="13"/>
        <v>100</v>
      </c>
      <c r="V46" s="1569" t="s">
        <v>10</v>
      </c>
      <c r="W46" s="1570">
        <f t="shared" si="14"/>
        <v>100</v>
      </c>
      <c r="X46" s="1563"/>
      <c r="Y46" s="3480"/>
      <c r="Z46" s="1571">
        <f t="shared" si="15"/>
        <v>111</v>
      </c>
      <c r="AA46" s="1572">
        <f t="shared" si="3"/>
        <v>1</v>
      </c>
      <c r="AB46" s="1572">
        <f t="shared" si="4"/>
        <v>1</v>
      </c>
      <c r="AC46" s="1572">
        <f t="shared" si="5"/>
        <v>1</v>
      </c>
    </row>
    <row r="47" spans="1:29" ht="14.4">
      <c r="A47" s="606" t="s">
        <v>732</v>
      </c>
      <c r="B47" s="886"/>
      <c r="C47" s="2648" t="s">
        <v>9</v>
      </c>
      <c r="D47" s="2649"/>
      <c r="E47" s="2650"/>
      <c r="F47" s="2651"/>
      <c r="G47" s="2652"/>
      <c r="H47" s="2653"/>
      <c r="I47" s="2650"/>
      <c r="J47" s="2653"/>
      <c r="K47" s="1602"/>
      <c r="L47" s="2141"/>
      <c r="M47" s="2142"/>
      <c r="N47" s="2131"/>
      <c r="O47" s="2142"/>
      <c r="P47" s="3404" t="str">
        <f>A47</f>
        <v>成交单价（元/平方米）</v>
      </c>
      <c r="Q47" s="3404"/>
      <c r="R47" s="3479">
        <f>E47</f>
        <v>0</v>
      </c>
      <c r="S47" s="3479"/>
      <c r="T47" s="3479">
        <f>G47</f>
        <v>0</v>
      </c>
      <c r="U47" s="3479"/>
      <c r="V47" s="3479">
        <f>I47</f>
        <v>0</v>
      </c>
      <c r="W47" s="3479"/>
      <c r="X47" s="1555"/>
      <c r="Y47" s="1577"/>
      <c r="Z47" s="1555"/>
      <c r="AA47" s="1555"/>
      <c r="AB47" s="1555"/>
      <c r="AC47" s="1555"/>
    </row>
    <row r="48" spans="1:29" ht="15" thickBot="1">
      <c r="A48" s="614" t="s">
        <v>2760</v>
      </c>
      <c r="B48" s="887"/>
      <c r="C48" s="2654" t="e">
        <f>R49</f>
        <v>#DIV/0!</v>
      </c>
      <c r="D48" s="2655"/>
      <c r="E48" s="2656" t="e">
        <f>R48</f>
        <v>#DIV/0!</v>
      </c>
      <c r="F48" s="2656"/>
      <c r="G48" s="2654" t="e">
        <f>T48</f>
        <v>#DIV/0!</v>
      </c>
      <c r="H48" s="2655"/>
      <c r="I48" s="2656" t="e">
        <f>V48</f>
        <v>#DIV/0!</v>
      </c>
      <c r="J48" s="2655"/>
      <c r="K48" s="1603"/>
      <c r="L48" s="2141"/>
      <c r="M48" s="2142"/>
      <c r="N48" s="2142"/>
      <c r="O48" s="2142"/>
      <c r="P48" s="3404" t="str">
        <f>A48</f>
        <v>比较价格（元/平方米）</v>
      </c>
      <c r="Q48" s="3404"/>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5"/>
      <c r="Y48" s="1555"/>
      <c r="Z48" s="1555"/>
      <c r="AA48" s="1555"/>
      <c r="AB48" s="1555"/>
      <c r="AC48" s="1555"/>
    </row>
    <row r="49" spans="1:29" ht="15" thickBot="1">
      <c r="A49" s="620" t="s">
        <v>2927</v>
      </c>
      <c r="B49" s="621"/>
      <c r="C49" s="2657" t="e">
        <f>R49</f>
        <v>#DIV/0!</v>
      </c>
      <c r="D49" s="2657"/>
      <c r="E49" s="2657"/>
      <c r="F49" s="2657"/>
      <c r="G49" s="2657"/>
      <c r="H49" s="2657"/>
      <c r="I49" s="2657"/>
      <c r="J49" s="2657"/>
      <c r="K49" s="1604"/>
      <c r="L49" s="2141"/>
      <c r="M49" s="2142"/>
      <c r="N49" s="2142"/>
      <c r="O49" s="2142"/>
      <c r="P49" s="3426" t="str">
        <f>A49</f>
        <v>估价对象XX用房的比较价格（楼面单价，元/平方米）</v>
      </c>
      <c r="Q49" s="3427"/>
      <c r="R49" s="3478" t="e">
        <f>IF(F1="售价",ROUND(AVERAGE(R48:V48),0),ROUND(AVERAGE(R48:V48),1))</f>
        <v>#DIV/0!</v>
      </c>
      <c r="S49" s="3478"/>
      <c r="T49" s="3478"/>
      <c r="U49" s="3478"/>
      <c r="V49" s="3478"/>
      <c r="W49" s="347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6" customFormat="1" ht="14.4">
      <c r="A58" s="644" t="s">
        <v>525</v>
      </c>
      <c r="B58" s="645"/>
      <c r="C58" s="2825" t="str">
        <f>YEAR(C7)&amp;"-"&amp;MONTH(C7)</f>
        <v>2018-8</v>
      </c>
      <c r="D58" s="2825">
        <f>EDATE(C58,-1)</f>
        <v>43282</v>
      </c>
      <c r="E58" s="2825">
        <f t="shared" ref="E58:O58" si="16">EDATE(D58,-1)</f>
        <v>43252</v>
      </c>
      <c r="F58" s="2825">
        <f t="shared" si="16"/>
        <v>43221</v>
      </c>
      <c r="G58" s="2825">
        <f t="shared" si="16"/>
        <v>43191</v>
      </c>
      <c r="H58" s="2825">
        <f t="shared" si="16"/>
        <v>43160</v>
      </c>
      <c r="I58" s="2825">
        <f t="shared" si="16"/>
        <v>43132</v>
      </c>
      <c r="J58" s="2825">
        <f t="shared" si="16"/>
        <v>43101</v>
      </c>
      <c r="K58" s="2825">
        <f t="shared" si="16"/>
        <v>43070</v>
      </c>
      <c r="L58" s="2825">
        <f t="shared" si="16"/>
        <v>43040</v>
      </c>
      <c r="M58" s="2825">
        <f t="shared" si="16"/>
        <v>43009</v>
      </c>
      <c r="N58" s="2825">
        <f t="shared" si="16"/>
        <v>42979</v>
      </c>
      <c r="O58" s="2825">
        <f t="shared" si="16"/>
        <v>42948</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9"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2256</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742</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8"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743</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c r="D104" s="670"/>
      <c r="E104" s="670"/>
      <c r="F104" s="670"/>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717"/>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687"/>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729</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517</v>
      </c>
      <c r="B4" s="512"/>
      <c r="C4" s="3410" t="s">
        <v>518</v>
      </c>
      <c r="D4" s="3411"/>
      <c r="E4" s="3435" t="s">
        <v>519</v>
      </c>
      <c r="F4" s="3436"/>
      <c r="G4" s="3410" t="s">
        <v>520</v>
      </c>
      <c r="H4" s="3411"/>
      <c r="I4" s="3410" t="s">
        <v>521</v>
      </c>
      <c r="J4" s="3411"/>
      <c r="K4" s="513" t="s">
        <v>522</v>
      </c>
      <c r="L4" s="2130"/>
      <c r="M4" s="2131"/>
      <c r="N4" s="2131"/>
      <c r="O4" s="2131"/>
      <c r="P4" s="3412" t="s">
        <v>523</v>
      </c>
      <c r="Q4" s="3413"/>
      <c r="R4" s="3398" t="s">
        <v>519</v>
      </c>
      <c r="S4" s="3399"/>
      <c r="T4" s="3398" t="s">
        <v>520</v>
      </c>
      <c r="U4" s="3399"/>
      <c r="V4" s="3418" t="s">
        <v>521</v>
      </c>
      <c r="W4" s="3418"/>
      <c r="X4" s="1563"/>
      <c r="Y4" s="3398" t="s">
        <v>523</v>
      </c>
      <c r="Z4" s="3399"/>
      <c r="AA4" s="3393" t="s">
        <v>519</v>
      </c>
      <c r="AB4" s="3418" t="s">
        <v>520</v>
      </c>
      <c r="AC4" s="3393" t="s">
        <v>521</v>
      </c>
    </row>
    <row r="5" spans="1:29">
      <c r="A5" s="514"/>
      <c r="B5" s="515"/>
      <c r="C5" s="3423" t="s">
        <v>2921</v>
      </c>
      <c r="D5" s="3422"/>
      <c r="E5" s="3437" t="s">
        <v>2922</v>
      </c>
      <c r="F5" s="3438"/>
      <c r="G5" s="3423" t="s">
        <v>2923</v>
      </c>
      <c r="H5" s="3422"/>
      <c r="I5" s="3423" t="s">
        <v>2924</v>
      </c>
      <c r="J5" s="3422"/>
      <c r="K5" s="513"/>
      <c r="L5" s="2130"/>
      <c r="M5" s="2131"/>
      <c r="N5" s="2131"/>
      <c r="O5" s="2131"/>
      <c r="P5" s="3414"/>
      <c r="Q5" s="3415"/>
      <c r="R5" s="3400"/>
      <c r="S5" s="3401"/>
      <c r="T5" s="3400"/>
      <c r="U5" s="3401"/>
      <c r="V5" s="3418"/>
      <c r="W5" s="3418"/>
      <c r="X5" s="1563"/>
      <c r="Y5" s="3400"/>
      <c r="Z5" s="3401"/>
      <c r="AA5" s="3394"/>
      <c r="AB5" s="3418"/>
      <c r="AC5" s="3394"/>
    </row>
    <row r="6" spans="1:29" ht="15" thickBot="1">
      <c r="A6" s="516"/>
      <c r="B6" s="517"/>
      <c r="C6" s="3419" t="s">
        <v>2925</v>
      </c>
      <c r="D6" s="3420"/>
      <c r="E6" s="3439" t="s">
        <v>2925</v>
      </c>
      <c r="F6" s="3440"/>
      <c r="G6" s="3419" t="s">
        <v>2925</v>
      </c>
      <c r="H6" s="3420"/>
      <c r="I6" s="3419" t="s">
        <v>2925</v>
      </c>
      <c r="J6" s="3420"/>
      <c r="K6" s="513" t="s">
        <v>524</v>
      </c>
      <c r="L6" s="2130"/>
      <c r="M6" s="2131"/>
      <c r="N6" s="2131"/>
      <c r="O6" s="2131"/>
      <c r="P6" s="3416"/>
      <c r="Q6" s="3417"/>
      <c r="R6" s="3400"/>
      <c r="S6" s="3401"/>
      <c r="T6" s="3402"/>
      <c r="U6" s="3403"/>
      <c r="V6" s="3418"/>
      <c r="W6" s="3418"/>
      <c r="X6" s="1563"/>
      <c r="Y6" s="3402"/>
      <c r="Z6" s="3403"/>
      <c r="AA6" s="3395"/>
      <c r="AB6" s="3418"/>
      <c r="AC6" s="3395"/>
    </row>
    <row r="7" spans="1:29" s="1219" customFormat="1" ht="15" thickBot="1">
      <c r="A7" s="2933"/>
      <c r="B7" s="2940" t="s">
        <v>525</v>
      </c>
      <c r="C7" s="518">
        <f>'数据-取费表'!B2</f>
        <v>43340</v>
      </c>
      <c r="D7" s="519">
        <v>100</v>
      </c>
      <c r="E7" s="520"/>
      <c r="F7" s="521">
        <f>SUMIF(58:58,YEAR(E7)&amp;"-"&amp;MONTH(E7),59:59)</f>
        <v>0</v>
      </c>
      <c r="G7" s="520"/>
      <c r="H7" s="519">
        <f>SUMIF(58:58,YEAR(G7)&amp;"-"&amp;MONTH(G7),59:59)</f>
        <v>0</v>
      </c>
      <c r="I7" s="520"/>
      <c r="J7" s="519">
        <f>SUMIF(58:58,YEAR(I7)&amp;"-"&amp;MONTH(I7),59:59)</f>
        <v>0</v>
      </c>
      <c r="K7" s="523"/>
      <c r="L7" s="2132"/>
      <c r="M7" s="2133"/>
      <c r="N7" s="2133"/>
      <c r="O7" s="2133"/>
      <c r="P7" s="3396" t="s">
        <v>526</v>
      </c>
      <c r="Q7" s="3405"/>
      <c r="R7" s="1564" t="s">
        <v>8</v>
      </c>
      <c r="S7" s="1565">
        <f t="shared" ref="S7:S15" si="0">F7</f>
        <v>0</v>
      </c>
      <c r="T7" s="1564" t="s">
        <v>8</v>
      </c>
      <c r="U7" s="1565">
        <f t="shared" ref="U7:U15" si="1">H7</f>
        <v>0</v>
      </c>
      <c r="V7" s="1564" t="s">
        <v>8</v>
      </c>
      <c r="W7" s="1565">
        <f t="shared" ref="W7:W15" si="2">J7</f>
        <v>0</v>
      </c>
      <c r="X7" s="1566"/>
      <c r="Y7" s="3396" t="s">
        <v>526</v>
      </c>
      <c r="Z7" s="3397"/>
      <c r="AA7" s="1567" t="e">
        <f>D7/F7</f>
        <v>#DIV/0!</v>
      </c>
      <c r="AB7" s="1567" t="e">
        <f>D7/H7</f>
        <v>#DIV/0!</v>
      </c>
      <c r="AC7" s="1567" t="e">
        <f>D7/J7</f>
        <v>#DIV/0!</v>
      </c>
    </row>
    <row r="8" spans="1:29" s="1219" customFormat="1" ht="1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396" t="s">
        <v>529</v>
      </c>
      <c r="Q8" s="3397"/>
      <c r="R8" s="1564" t="s">
        <v>8</v>
      </c>
      <c r="S8" s="1565">
        <f t="shared" si="0"/>
        <v>0</v>
      </c>
      <c r="T8" s="1564" t="s">
        <v>8</v>
      </c>
      <c r="U8" s="1565">
        <f t="shared" si="1"/>
        <v>0</v>
      </c>
      <c r="V8" s="1564" t="s">
        <v>8</v>
      </c>
      <c r="W8" s="1565">
        <f t="shared" si="2"/>
        <v>0</v>
      </c>
      <c r="X8" s="1566"/>
      <c r="Y8" s="3396" t="s">
        <v>529</v>
      </c>
      <c r="Z8" s="3397"/>
      <c r="AA8" s="1567" t="e">
        <f t="shared" ref="AA8:AA46" si="3">D8/F8</f>
        <v>#DIV/0!</v>
      </c>
      <c r="AB8" s="1567" t="e">
        <f t="shared" ref="AB8:AB46" si="4">D8/H8</f>
        <v>#DIV/0!</v>
      </c>
      <c r="AC8" s="1567" t="e">
        <f t="shared" ref="AC8:AC46" si="5">D8/J8</f>
        <v>#DIV/0!</v>
      </c>
    </row>
    <row r="9" spans="1:29" s="1219" customFormat="1" ht="14.4">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04" t="s">
        <v>531</v>
      </c>
      <c r="Q9" s="1150" t="str">
        <f t="shared" ref="Q9:Q15" si="6">B9</f>
        <v>用途</v>
      </c>
      <c r="R9" s="1564" t="s">
        <v>8</v>
      </c>
      <c r="S9" s="1565">
        <f t="shared" si="0"/>
        <v>100</v>
      </c>
      <c r="T9" s="1564" t="s">
        <v>8</v>
      </c>
      <c r="U9" s="1565">
        <f t="shared" si="1"/>
        <v>100</v>
      </c>
      <c r="V9" s="1564" t="s">
        <v>8</v>
      </c>
      <c r="W9" s="1565">
        <f t="shared" si="2"/>
        <v>100</v>
      </c>
      <c r="X9" s="1566"/>
      <c r="Y9" s="3361" t="s">
        <v>532</v>
      </c>
      <c r="Z9" s="1149" t="str">
        <f t="shared" ref="Z9:Z15" si="7">Q9</f>
        <v>用途</v>
      </c>
      <c r="AA9" s="1567">
        <f t="shared" si="3"/>
        <v>1</v>
      </c>
      <c r="AB9" s="1567">
        <f t="shared" si="4"/>
        <v>1</v>
      </c>
      <c r="AC9" s="1567">
        <f t="shared" si="5"/>
        <v>1</v>
      </c>
    </row>
    <row r="10" spans="1:29" s="1337" customFormat="1" ht="28.8">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04"/>
      <c r="Q10" s="1150" t="str">
        <f t="shared" si="6"/>
        <v>土地使用年限（年）</v>
      </c>
      <c r="R10" s="1564" t="s">
        <v>8</v>
      </c>
      <c r="S10" s="1565">
        <f t="shared" si="0"/>
        <v>100</v>
      </c>
      <c r="T10" s="1564" t="s">
        <v>8</v>
      </c>
      <c r="U10" s="1565">
        <f t="shared" si="1"/>
        <v>100</v>
      </c>
      <c r="V10" s="1564" t="s">
        <v>8</v>
      </c>
      <c r="W10" s="1565">
        <f t="shared" si="2"/>
        <v>100</v>
      </c>
      <c r="X10" s="1566"/>
      <c r="Y10" s="3361"/>
      <c r="Z10" s="1149"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04"/>
      <c r="Q11" s="1150" t="str">
        <f t="shared" si="6"/>
        <v>容积率</v>
      </c>
      <c r="R11" s="1564" t="s">
        <v>8</v>
      </c>
      <c r="S11" s="1565" t="e">
        <f t="shared" si="0"/>
        <v>#N/A</v>
      </c>
      <c r="T11" s="1564" t="s">
        <v>8</v>
      </c>
      <c r="U11" s="1565" t="e">
        <f t="shared" si="1"/>
        <v>#N/A</v>
      </c>
      <c r="V11" s="1564" t="s">
        <v>8</v>
      </c>
      <c r="W11" s="1565" t="e">
        <f t="shared" si="2"/>
        <v>#N/A</v>
      </c>
      <c r="X11" s="1566"/>
      <c r="Y11" s="3361"/>
      <c r="Z11" s="1149" t="str">
        <f t="shared" si="7"/>
        <v>容积率</v>
      </c>
      <c r="AA11" s="1567" t="e">
        <f t="shared" si="3"/>
        <v>#N/A</v>
      </c>
      <c r="AB11" s="1567" t="e">
        <f t="shared" si="4"/>
        <v>#N/A</v>
      </c>
      <c r="AC11" s="1567" t="e">
        <f t="shared" si="5"/>
        <v>#N/A</v>
      </c>
    </row>
    <row r="12" spans="1:29" s="1219" customFormat="1" ht="15">
      <c r="A12" s="2938"/>
      <c r="B12" s="2944">
        <v>111</v>
      </c>
      <c r="C12" s="527"/>
      <c r="D12" s="537">
        <v>100</v>
      </c>
      <c r="E12" s="538"/>
      <c r="F12" s="254">
        <f>SUMIF(70:70,E12,71:71)-SUMIF(70:70,C12,71:71)+100</f>
        <v>100</v>
      </c>
      <c r="G12" s="911"/>
      <c r="H12" s="254">
        <f>SUMIF(70:70,G12,71:71)-SUMIF(70:70,C12,71:71)+100</f>
        <v>100</v>
      </c>
      <c r="I12" s="538"/>
      <c r="J12" s="254">
        <f>SUMIF(70:70,I12,71:71)-SUMIF(70:70,C12,71:71)+100</f>
        <v>100</v>
      </c>
      <c r="K12" s="580"/>
      <c r="L12" s="2132"/>
      <c r="M12" s="2133"/>
      <c r="N12" s="2133"/>
      <c r="O12" s="2134"/>
      <c r="P12" s="3404"/>
      <c r="Q12" s="1150">
        <f t="shared" si="6"/>
        <v>111</v>
      </c>
      <c r="R12" s="1564" t="s">
        <v>8</v>
      </c>
      <c r="S12" s="1565">
        <f t="shared" si="0"/>
        <v>100</v>
      </c>
      <c r="T12" s="1564" t="s">
        <v>8</v>
      </c>
      <c r="U12" s="1565">
        <f t="shared" si="1"/>
        <v>100</v>
      </c>
      <c r="V12" s="1564" t="s">
        <v>8</v>
      </c>
      <c r="W12" s="1565">
        <f t="shared" si="2"/>
        <v>100</v>
      </c>
      <c r="X12" s="1566"/>
      <c r="Y12" s="3361"/>
      <c r="Z12" s="1149">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1"/>
      <c r="H13" s="539">
        <f>SUMIF(72:72,G13,73:73)-SUMIF(72:72,C13,73:73)+100</f>
        <v>100</v>
      </c>
      <c r="I13" s="538"/>
      <c r="J13" s="539">
        <f>SUMIF(72:72,I13,73:73)-SUMIF(72:72,C13,73:73)+100</f>
        <v>100</v>
      </c>
      <c r="K13" s="580"/>
      <c r="L13" s="2139"/>
      <c r="M13" s="2131"/>
      <c r="N13" s="2131"/>
      <c r="O13" s="2138"/>
      <c r="P13" s="3404"/>
      <c r="Q13" s="1150">
        <f t="shared" si="6"/>
        <v>111</v>
      </c>
      <c r="R13" s="1564" t="s">
        <v>8</v>
      </c>
      <c r="S13" s="1565">
        <f t="shared" si="0"/>
        <v>100</v>
      </c>
      <c r="T13" s="1564" t="s">
        <v>8</v>
      </c>
      <c r="U13" s="1565">
        <f t="shared" si="1"/>
        <v>100</v>
      </c>
      <c r="V13" s="1564" t="s">
        <v>8</v>
      </c>
      <c r="W13" s="1565">
        <f t="shared" si="2"/>
        <v>100</v>
      </c>
      <c r="X13" s="1566"/>
      <c r="Y13" s="3361"/>
      <c r="Z13" s="1149">
        <f t="shared" si="7"/>
        <v>111</v>
      </c>
      <c r="AA13" s="1567">
        <f t="shared" si="3"/>
        <v>1</v>
      </c>
      <c r="AB13" s="1567">
        <f t="shared" si="4"/>
        <v>1</v>
      </c>
      <c r="AC13" s="1567">
        <f t="shared" si="5"/>
        <v>1</v>
      </c>
    </row>
    <row r="14" spans="1:29" ht="15.6"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404"/>
      <c r="Q14" s="1150">
        <f t="shared" si="6"/>
        <v>111</v>
      </c>
      <c r="R14" s="1564" t="s">
        <v>8</v>
      </c>
      <c r="S14" s="1565">
        <f t="shared" si="0"/>
        <v>100</v>
      </c>
      <c r="T14" s="1564" t="s">
        <v>8</v>
      </c>
      <c r="U14" s="1565">
        <f t="shared" si="1"/>
        <v>100</v>
      </c>
      <c r="V14" s="1564" t="s">
        <v>8</v>
      </c>
      <c r="W14" s="1565">
        <f t="shared" si="2"/>
        <v>100</v>
      </c>
      <c r="X14" s="1566"/>
      <c r="Y14" s="3361"/>
      <c r="Z14" s="1149">
        <f t="shared" si="7"/>
        <v>111</v>
      </c>
      <c r="AA14" s="1567">
        <f t="shared" si="3"/>
        <v>1</v>
      </c>
      <c r="AB14" s="1567">
        <f t="shared" si="4"/>
        <v>1</v>
      </c>
      <c r="AC14" s="1567">
        <f t="shared" si="5"/>
        <v>1</v>
      </c>
    </row>
    <row r="15" spans="1:29" ht="15">
      <c r="A15" s="2931" t="s">
        <v>2754</v>
      </c>
      <c r="B15" s="166" t="s">
        <v>537</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06" t="s">
        <v>536</v>
      </c>
      <c r="Q15" s="1568" t="str">
        <f t="shared" si="6"/>
        <v>商业繁华度</v>
      </c>
      <c r="R15" s="1569" t="s">
        <v>8</v>
      </c>
      <c r="S15" s="1570">
        <f t="shared" si="0"/>
        <v>100</v>
      </c>
      <c r="T15" s="1569" t="s">
        <v>8</v>
      </c>
      <c r="U15" s="1570">
        <f t="shared" si="1"/>
        <v>100</v>
      </c>
      <c r="V15" s="1569" t="s">
        <v>8</v>
      </c>
      <c r="W15" s="1570">
        <f t="shared" si="2"/>
        <v>100</v>
      </c>
      <c r="X15" s="1563"/>
      <c r="Y15" s="3406"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8"/>
      <c r="L16" s="2139"/>
      <c r="M16" s="2131"/>
      <c r="N16" s="2131"/>
      <c r="O16" s="2138"/>
      <c r="P16" s="3407"/>
      <c r="Q16" s="1568"/>
      <c r="R16" s="1569"/>
      <c r="S16" s="1570"/>
      <c r="T16" s="1569"/>
      <c r="U16" s="1570"/>
      <c r="V16" s="1569"/>
      <c r="W16" s="1570"/>
      <c r="X16" s="1563"/>
      <c r="Y16" s="3407"/>
      <c r="Z16" s="1571"/>
      <c r="AA16" s="1572">
        <v>1</v>
      </c>
      <c r="AB16" s="1572">
        <v>1</v>
      </c>
      <c r="AC16" s="1572">
        <v>1</v>
      </c>
    </row>
    <row r="17" spans="1:29" ht="27.6">
      <c r="A17" s="531"/>
      <c r="B17" s="870" t="s">
        <v>292</v>
      </c>
      <c r="C17" s="871" t="str">
        <f>估价对象房地状况!C6</f>
        <v>交通便捷度较差</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07"/>
      <c r="Q17" s="1568" t="str">
        <f>B17</f>
        <v>交通便捷度</v>
      </c>
      <c r="R17" s="1569" t="s">
        <v>8</v>
      </c>
      <c r="S17" s="1570">
        <f>F17</f>
        <v>100</v>
      </c>
      <c r="T17" s="1569" t="s">
        <v>8</v>
      </c>
      <c r="U17" s="1570">
        <f>H17</f>
        <v>100</v>
      </c>
      <c r="V17" s="1569" t="s">
        <v>8</v>
      </c>
      <c r="W17" s="1570">
        <f>J17</f>
        <v>100</v>
      </c>
      <c r="X17" s="1563"/>
      <c r="Y17" s="3407"/>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9"/>
      <c r="M18" s="2131"/>
      <c r="N18" s="2131"/>
      <c r="O18" s="2138"/>
      <c r="P18" s="3407"/>
      <c r="Q18" s="1568"/>
      <c r="R18" s="1569"/>
      <c r="S18" s="1570"/>
      <c r="T18" s="1569"/>
      <c r="U18" s="1570"/>
      <c r="V18" s="1569"/>
      <c r="W18" s="1570"/>
      <c r="X18" s="1563"/>
      <c r="Y18" s="3407"/>
      <c r="Z18" s="1571"/>
      <c r="AA18" s="1572">
        <v>1</v>
      </c>
      <c r="AB18" s="1572">
        <v>1</v>
      </c>
      <c r="AC18" s="1572">
        <v>1</v>
      </c>
    </row>
    <row r="19" spans="1:29" ht="27.6">
      <c r="A19" s="531"/>
      <c r="B19" s="2621" t="s">
        <v>2546</v>
      </c>
      <c r="C19" s="871" t="str">
        <f>估价对象房地状况!C7</f>
        <v>公共配套设施齐备度较差</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07"/>
      <c r="Q19" s="1568" t="str">
        <f>B19</f>
        <v>公共配套设施</v>
      </c>
      <c r="R19" s="1569" t="s">
        <v>8</v>
      </c>
      <c r="S19" s="1570">
        <f>F19</f>
        <v>100</v>
      </c>
      <c r="T19" s="1569" t="s">
        <v>8</v>
      </c>
      <c r="U19" s="1570">
        <f>H19</f>
        <v>100</v>
      </c>
      <c r="V19" s="1569" t="s">
        <v>8</v>
      </c>
      <c r="W19" s="1570">
        <f>J19</f>
        <v>100</v>
      </c>
      <c r="X19" s="1563"/>
      <c r="Y19" s="3407"/>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8"/>
      <c r="L20" s="2139"/>
      <c r="M20" s="2131"/>
      <c r="N20" s="2131"/>
      <c r="O20" s="2138"/>
      <c r="P20" s="3407"/>
      <c r="Q20" s="1568"/>
      <c r="R20" s="1569"/>
      <c r="S20" s="1570"/>
      <c r="T20" s="1569"/>
      <c r="U20" s="1570"/>
      <c r="V20" s="1569"/>
      <c r="W20" s="1570"/>
      <c r="X20" s="1563"/>
      <c r="Y20" s="3407"/>
      <c r="Z20" s="1571"/>
      <c r="AA20" s="1572">
        <v>1</v>
      </c>
      <c r="AB20" s="1572">
        <v>1</v>
      </c>
      <c r="AC20" s="1572">
        <v>1</v>
      </c>
    </row>
    <row r="21" spans="1:29" ht="15">
      <c r="A21" s="531"/>
      <c r="B21" s="2614" t="s">
        <v>2558</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07"/>
      <c r="Q21" s="2600" t="str">
        <f>B21</f>
        <v>基础设施水平</v>
      </c>
      <c r="R21" s="1569" t="s">
        <v>8</v>
      </c>
      <c r="S21" s="1570">
        <f>F21</f>
        <v>100</v>
      </c>
      <c r="T21" s="1569" t="s">
        <v>8</v>
      </c>
      <c r="U21" s="1570">
        <f>H21</f>
        <v>100</v>
      </c>
      <c r="V21" s="1569" t="s">
        <v>8</v>
      </c>
      <c r="W21" s="1570">
        <f>J21</f>
        <v>100</v>
      </c>
      <c r="X21" s="2602"/>
      <c r="Y21" s="3407"/>
      <c r="Z21" s="2601"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23"/>
      <c r="L22" s="2139"/>
      <c r="M22" s="2131"/>
      <c r="N22" s="2131"/>
      <c r="O22" s="2138"/>
      <c r="P22" s="3407"/>
      <c r="Q22" s="2600"/>
      <c r="R22" s="1569"/>
      <c r="S22" s="1570"/>
      <c r="T22" s="1569"/>
      <c r="U22" s="1570"/>
      <c r="V22" s="1569"/>
      <c r="W22" s="1570"/>
      <c r="X22" s="2602"/>
      <c r="Y22" s="3407"/>
      <c r="Z22" s="2601"/>
      <c r="AA22" s="1572">
        <v>1</v>
      </c>
      <c r="AB22" s="1572">
        <v>1</v>
      </c>
      <c r="AC22" s="1572">
        <v>1</v>
      </c>
    </row>
    <row r="23" spans="1:29" ht="27.6">
      <c r="A23" s="531"/>
      <c r="B23" s="870" t="s">
        <v>293</v>
      </c>
      <c r="C23" s="899" t="str">
        <f>估价对象房地状况!C9</f>
        <v>自然人文环境较差</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07"/>
      <c r="Q23" s="1568" t="str">
        <f>B23</f>
        <v>自然及人文环境</v>
      </c>
      <c r="R23" s="1569" t="s">
        <v>8</v>
      </c>
      <c r="S23" s="1570">
        <f>F23</f>
        <v>100</v>
      </c>
      <c r="T23" s="1569" t="s">
        <v>8</v>
      </c>
      <c r="U23" s="1570">
        <f>H23</f>
        <v>100</v>
      </c>
      <c r="V23" s="1569" t="s">
        <v>8</v>
      </c>
      <c r="W23" s="1570">
        <f>J23</f>
        <v>100</v>
      </c>
      <c r="X23" s="1563"/>
      <c r="Y23" s="3407"/>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8"/>
      <c r="L24" s="2139"/>
      <c r="M24" s="2131"/>
      <c r="N24" s="2131"/>
      <c r="O24" s="2138"/>
      <c r="P24" s="3407"/>
      <c r="Q24" s="1568"/>
      <c r="R24" s="1569"/>
      <c r="S24" s="1570"/>
      <c r="T24" s="1569"/>
      <c r="U24" s="1570"/>
      <c r="V24" s="1569"/>
      <c r="W24" s="1570"/>
      <c r="X24" s="1563"/>
      <c r="Y24" s="3407"/>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07"/>
      <c r="Q25" s="1568" t="str">
        <f t="shared" ref="Q25:Q46" si="11">B25</f>
        <v>临街状况</v>
      </c>
      <c r="R25" s="1569" t="s">
        <v>8</v>
      </c>
      <c r="S25" s="1570">
        <f>F25</f>
        <v>100</v>
      </c>
      <c r="T25" s="1569" t="s">
        <v>8</v>
      </c>
      <c r="U25" s="1570">
        <f>H25</f>
        <v>100</v>
      </c>
      <c r="V25" s="1569" t="s">
        <v>8</v>
      </c>
      <c r="W25" s="1570">
        <f>J25</f>
        <v>100</v>
      </c>
      <c r="X25" s="1563"/>
      <c r="Y25" s="3407"/>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07"/>
      <c r="Q26" s="1568" t="str">
        <f t="shared" si="11"/>
        <v>平面位置/可视性</v>
      </c>
      <c r="R26" s="1569" t="s">
        <v>8</v>
      </c>
      <c r="S26" s="1570">
        <f>F26</f>
        <v>100</v>
      </c>
      <c r="T26" s="1569" t="s">
        <v>8</v>
      </c>
      <c r="U26" s="1570">
        <f>H26</f>
        <v>100</v>
      </c>
      <c r="V26" s="1569" t="s">
        <v>8</v>
      </c>
      <c r="W26" s="1570">
        <f>J26</f>
        <v>100</v>
      </c>
      <c r="X26" s="1563"/>
      <c r="Y26" s="3407"/>
      <c r="Z26" s="1571" t="str">
        <f>Q26</f>
        <v>平面位置/可视性</v>
      </c>
      <c r="AA26" s="1572">
        <f t="shared" si="3"/>
        <v>1</v>
      </c>
      <c r="AB26" s="1572">
        <f t="shared" si="4"/>
        <v>1</v>
      </c>
      <c r="AC26" s="1572">
        <f t="shared" si="5"/>
        <v>1</v>
      </c>
    </row>
    <row r="27" spans="1:29" s="1219" customFormat="1" ht="15">
      <c r="A27" s="535"/>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07"/>
      <c r="Q27" s="1150" t="str">
        <f t="shared" si="11"/>
        <v>人流量</v>
      </c>
      <c r="R27" s="1564" t="s">
        <v>8</v>
      </c>
      <c r="S27" s="1565">
        <f>F27</f>
        <v>100</v>
      </c>
      <c r="T27" s="1564" t="s">
        <v>8</v>
      </c>
      <c r="U27" s="1565">
        <f>H27</f>
        <v>100</v>
      </c>
      <c r="V27" s="1564" t="s">
        <v>8</v>
      </c>
      <c r="W27" s="1565">
        <f>J27</f>
        <v>100</v>
      </c>
      <c r="X27" s="1566"/>
      <c r="Y27" s="3407"/>
      <c r="Z27" s="1149"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07"/>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07"/>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07"/>
      <c r="Q29" s="1568">
        <f t="shared" si="11"/>
        <v>111</v>
      </c>
      <c r="R29" s="1569" t="s">
        <v>8</v>
      </c>
      <c r="S29" s="1570">
        <f t="shared" si="12"/>
        <v>100</v>
      </c>
      <c r="T29" s="1569" t="s">
        <v>8</v>
      </c>
      <c r="U29" s="1570">
        <f t="shared" si="13"/>
        <v>100</v>
      </c>
      <c r="V29" s="1569" t="s">
        <v>8</v>
      </c>
      <c r="W29" s="1570">
        <f t="shared" si="14"/>
        <v>100</v>
      </c>
      <c r="X29" s="1563"/>
      <c r="Y29" s="3407"/>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07"/>
      <c r="Q30" s="1568">
        <f t="shared" si="11"/>
        <v>111</v>
      </c>
      <c r="R30" s="1569" t="s">
        <v>8</v>
      </c>
      <c r="S30" s="1570">
        <f t="shared" si="12"/>
        <v>100</v>
      </c>
      <c r="T30" s="1569" t="s">
        <v>8</v>
      </c>
      <c r="U30" s="1570">
        <f t="shared" si="13"/>
        <v>100</v>
      </c>
      <c r="V30" s="1569" t="s">
        <v>8</v>
      </c>
      <c r="W30" s="1570">
        <f t="shared" si="14"/>
        <v>100</v>
      </c>
      <c r="X30" s="1563"/>
      <c r="Y30" s="3407"/>
      <c r="Z30" s="1571">
        <f t="shared" si="15"/>
        <v>111</v>
      </c>
      <c r="AA30" s="1572">
        <f t="shared" si="3"/>
        <v>1</v>
      </c>
      <c r="AB30" s="1572">
        <f t="shared" si="4"/>
        <v>1</v>
      </c>
      <c r="AC30" s="157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07"/>
      <c r="Q31" s="1568">
        <f t="shared" si="11"/>
        <v>111</v>
      </c>
      <c r="R31" s="1569" t="s">
        <v>8</v>
      </c>
      <c r="S31" s="1570">
        <f t="shared" si="12"/>
        <v>100</v>
      </c>
      <c r="T31" s="1569" t="s">
        <v>8</v>
      </c>
      <c r="U31" s="1570">
        <f t="shared" si="13"/>
        <v>100</v>
      </c>
      <c r="V31" s="1569" t="s">
        <v>8</v>
      </c>
      <c r="W31" s="1570">
        <f t="shared" si="14"/>
        <v>100</v>
      </c>
      <c r="X31" s="1563"/>
      <c r="Y31" s="3407"/>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08" t="s">
        <v>546</v>
      </c>
      <c r="Q32" s="1568" t="str">
        <f t="shared" si="11"/>
        <v>商业类型</v>
      </c>
      <c r="R32" s="1569" t="s">
        <v>8</v>
      </c>
      <c r="S32" s="1570">
        <f t="shared" si="12"/>
        <v>100</v>
      </c>
      <c r="T32" s="1569" t="s">
        <v>8</v>
      </c>
      <c r="U32" s="1570">
        <f t="shared" si="13"/>
        <v>100</v>
      </c>
      <c r="V32" s="1569" t="s">
        <v>8</v>
      </c>
      <c r="W32" s="1570">
        <f t="shared" si="14"/>
        <v>100</v>
      </c>
      <c r="X32" s="1563"/>
      <c r="Y32" s="3409" t="s">
        <v>546</v>
      </c>
      <c r="Z32" s="1571" t="str">
        <f t="shared" si="15"/>
        <v>商业类型</v>
      </c>
      <c r="AA32" s="1572">
        <f t="shared" si="3"/>
        <v>1</v>
      </c>
      <c r="AB32" s="1572">
        <f t="shared" si="4"/>
        <v>1</v>
      </c>
      <c r="AC32" s="1572">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09"/>
      <c r="Q33" s="1601" t="str">
        <f t="shared" si="11"/>
        <v>项目建筑规模</v>
      </c>
      <c r="R33" s="1573" t="s">
        <v>8</v>
      </c>
      <c r="S33" s="1574" t="e">
        <f t="shared" si="12"/>
        <v>#N/A</v>
      </c>
      <c r="T33" s="1573" t="s">
        <v>8</v>
      </c>
      <c r="U33" s="1574" t="e">
        <f t="shared" si="13"/>
        <v>#N/A</v>
      </c>
      <c r="V33" s="1573" t="s">
        <v>8</v>
      </c>
      <c r="W33" s="1574" t="e">
        <f t="shared" si="14"/>
        <v>#N/A</v>
      </c>
      <c r="X33" s="1575"/>
      <c r="Y33" s="3409"/>
      <c r="Z33" s="1576" t="str">
        <f t="shared" si="15"/>
        <v>项目建筑规模</v>
      </c>
      <c r="AA33" s="1572" t="e">
        <f t="shared" si="3"/>
        <v>#N/A</v>
      </c>
      <c r="AB33" s="1572" t="e">
        <f t="shared" si="4"/>
        <v>#N/A</v>
      </c>
      <c r="AC33" s="1572"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09"/>
      <c r="Q34" s="1568" t="str">
        <f t="shared" si="11"/>
        <v>建筑结构</v>
      </c>
      <c r="R34" s="1569" t="s">
        <v>8</v>
      </c>
      <c r="S34" s="1570">
        <f t="shared" si="12"/>
        <v>100</v>
      </c>
      <c r="T34" s="1569" t="s">
        <v>8</v>
      </c>
      <c r="U34" s="1570">
        <f t="shared" si="13"/>
        <v>100</v>
      </c>
      <c r="V34" s="1569" t="s">
        <v>8</v>
      </c>
      <c r="W34" s="1570">
        <f t="shared" si="14"/>
        <v>100</v>
      </c>
      <c r="X34" s="1563"/>
      <c r="Y34" s="3409"/>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09"/>
      <c r="Q35" s="1568" t="str">
        <f t="shared" si="11"/>
        <v>公共部分装修</v>
      </c>
      <c r="R35" s="1569" t="s">
        <v>8</v>
      </c>
      <c r="S35" s="1570">
        <f t="shared" si="12"/>
        <v>100</v>
      </c>
      <c r="T35" s="1569" t="s">
        <v>8</v>
      </c>
      <c r="U35" s="1570">
        <f t="shared" si="13"/>
        <v>100</v>
      </c>
      <c r="V35" s="1569" t="s">
        <v>8</v>
      </c>
      <c r="W35" s="1570">
        <f t="shared" si="14"/>
        <v>100</v>
      </c>
      <c r="X35" s="1563"/>
      <c r="Y35" s="3409"/>
      <c r="Z35" s="1571" t="str">
        <f t="shared" si="15"/>
        <v>公共部分装修</v>
      </c>
      <c r="AA35" s="1572">
        <f t="shared" si="3"/>
        <v>1</v>
      </c>
      <c r="AB35" s="1572">
        <f t="shared" si="4"/>
        <v>1</v>
      </c>
      <c r="AC35" s="1572">
        <f t="shared" si="5"/>
        <v>1</v>
      </c>
    </row>
    <row r="36" spans="1:29" ht="15">
      <c r="A36" s="593"/>
      <c r="B36" s="526" t="s">
        <v>760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09"/>
      <c r="Q36" s="1568" t="str">
        <f t="shared" si="11"/>
        <v>成新度</v>
      </c>
      <c r="R36" s="1569" t="s">
        <v>8</v>
      </c>
      <c r="S36" s="1570" t="e">
        <f t="shared" si="12"/>
        <v>#N/A</v>
      </c>
      <c r="T36" s="1569" t="s">
        <v>8</v>
      </c>
      <c r="U36" s="1570" t="e">
        <f t="shared" si="13"/>
        <v>#N/A</v>
      </c>
      <c r="V36" s="1569" t="s">
        <v>8</v>
      </c>
      <c r="W36" s="1570" t="e">
        <f t="shared" si="14"/>
        <v>#N/A</v>
      </c>
      <c r="X36" s="1563"/>
      <c r="Y36" s="3409"/>
      <c r="Z36" s="1571" t="str">
        <f t="shared" si="15"/>
        <v>成新度</v>
      </c>
      <c r="AA36" s="1572" t="e">
        <f t="shared" si="3"/>
        <v>#N/A</v>
      </c>
      <c r="AB36" s="1572" t="e">
        <f t="shared" si="4"/>
        <v>#N/A</v>
      </c>
      <c r="AC36" s="1572" t="e">
        <f t="shared" si="5"/>
        <v>#N/A</v>
      </c>
    </row>
    <row r="37" spans="1:29" s="1219"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09"/>
      <c r="Q37" s="1150" t="str">
        <f t="shared" si="11"/>
        <v>市政基础设施</v>
      </c>
      <c r="R37" s="1564" t="s">
        <v>8</v>
      </c>
      <c r="S37" s="1565">
        <f t="shared" si="12"/>
        <v>100</v>
      </c>
      <c r="T37" s="1564" t="s">
        <v>8</v>
      </c>
      <c r="U37" s="1565">
        <f t="shared" si="13"/>
        <v>100</v>
      </c>
      <c r="V37" s="1564" t="s">
        <v>8</v>
      </c>
      <c r="W37" s="1565">
        <f t="shared" si="14"/>
        <v>100</v>
      </c>
      <c r="X37" s="1566"/>
      <c r="Y37" s="3409"/>
      <c r="Z37" s="1149"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09" t="s">
        <v>762</v>
      </c>
      <c r="Q38" s="1568" t="str">
        <f t="shared" si="11"/>
        <v>业态</v>
      </c>
      <c r="R38" s="1569" t="s">
        <v>8</v>
      </c>
      <c r="S38" s="1570">
        <f t="shared" si="12"/>
        <v>100</v>
      </c>
      <c r="T38" s="1569" t="s">
        <v>8</v>
      </c>
      <c r="U38" s="1570">
        <f t="shared" si="13"/>
        <v>100</v>
      </c>
      <c r="V38" s="1569" t="s">
        <v>8</v>
      </c>
      <c r="W38" s="1570">
        <f t="shared" si="14"/>
        <v>100</v>
      </c>
      <c r="X38" s="1563"/>
      <c r="Y38" s="3409"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9"/>
      <c r="Q39" s="1568" t="str">
        <f t="shared" si="11"/>
        <v>层高</v>
      </c>
      <c r="R39" s="1569" t="s">
        <v>8</v>
      </c>
      <c r="S39" s="1570">
        <f t="shared" si="12"/>
        <v>100</v>
      </c>
      <c r="T39" s="1569" t="s">
        <v>8</v>
      </c>
      <c r="U39" s="1570">
        <f t="shared" si="13"/>
        <v>100</v>
      </c>
      <c r="V39" s="1569" t="s">
        <v>8</v>
      </c>
      <c r="W39" s="1570">
        <f t="shared" si="14"/>
        <v>100</v>
      </c>
      <c r="X39" s="1563"/>
      <c r="Y39" s="3409"/>
      <c r="Z39" s="1571" t="str">
        <f t="shared" si="15"/>
        <v>层高</v>
      </c>
      <c r="AA39" s="1572">
        <f t="shared" si="3"/>
        <v>1</v>
      </c>
      <c r="AB39" s="1572">
        <f t="shared" si="4"/>
        <v>1</v>
      </c>
      <c r="AC39" s="1572">
        <f t="shared" si="5"/>
        <v>1</v>
      </c>
    </row>
    <row r="40" spans="1:29" ht="15">
      <c r="A40" s="593"/>
      <c r="B40" s="526" t="s">
        <v>764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09"/>
      <c r="Q40" s="1568" t="str">
        <f t="shared" si="11"/>
        <v>单套建筑面积</v>
      </c>
      <c r="R40" s="1569" t="s">
        <v>8</v>
      </c>
      <c r="S40" s="1570">
        <f t="shared" si="12"/>
        <v>100</v>
      </c>
      <c r="T40" s="1569" t="s">
        <v>8</v>
      </c>
      <c r="U40" s="1570">
        <f t="shared" si="13"/>
        <v>100</v>
      </c>
      <c r="V40" s="1569" t="s">
        <v>8</v>
      </c>
      <c r="W40" s="1570">
        <f t="shared" si="14"/>
        <v>100</v>
      </c>
      <c r="X40" s="1563"/>
      <c r="Y40" s="3409"/>
      <c r="Z40" s="1571" t="str">
        <f t="shared" si="15"/>
        <v>单套建筑面积</v>
      </c>
      <c r="AA40" s="1572">
        <f t="shared" si="3"/>
        <v>1</v>
      </c>
      <c r="AB40" s="1572">
        <f t="shared" si="4"/>
        <v>1</v>
      </c>
      <c r="AC40" s="1572">
        <f t="shared" si="5"/>
        <v>1</v>
      </c>
    </row>
    <row r="41" spans="1:29" s="1338" customFormat="1" ht="15">
      <c r="A41" s="602"/>
      <c r="B41" s="903"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09"/>
      <c r="Q41" s="1601" t="str">
        <f t="shared" si="11"/>
        <v>进深比</v>
      </c>
      <c r="R41" s="1573" t="s">
        <v>8</v>
      </c>
      <c r="S41" s="1574">
        <f t="shared" si="12"/>
        <v>100</v>
      </c>
      <c r="T41" s="1573" t="s">
        <v>8</v>
      </c>
      <c r="U41" s="1574">
        <f t="shared" si="13"/>
        <v>100</v>
      </c>
      <c r="V41" s="1573" t="s">
        <v>8</v>
      </c>
      <c r="W41" s="1574">
        <f t="shared" si="14"/>
        <v>100</v>
      </c>
      <c r="X41" s="1575"/>
      <c r="Y41" s="3409"/>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09"/>
      <c r="Q42" s="1568" t="str">
        <f t="shared" si="11"/>
        <v>内部装修</v>
      </c>
      <c r="R42" s="1569" t="s">
        <v>8</v>
      </c>
      <c r="S42" s="1570">
        <f t="shared" si="12"/>
        <v>100</v>
      </c>
      <c r="T42" s="1569" t="s">
        <v>8</v>
      </c>
      <c r="U42" s="1570">
        <f t="shared" si="13"/>
        <v>100</v>
      </c>
      <c r="V42" s="1569" t="s">
        <v>8</v>
      </c>
      <c r="W42" s="1570">
        <f t="shared" si="14"/>
        <v>100</v>
      </c>
      <c r="X42" s="1563"/>
      <c r="Y42" s="3409"/>
      <c r="Z42" s="1571" t="str">
        <f t="shared" si="15"/>
        <v>内部装修</v>
      </c>
      <c r="AA42" s="1572">
        <f t="shared" si="3"/>
        <v>1</v>
      </c>
      <c r="AB42" s="1572">
        <f t="shared" si="4"/>
        <v>1</v>
      </c>
      <c r="AC42" s="1572">
        <f t="shared" si="5"/>
        <v>1</v>
      </c>
    </row>
    <row r="43" spans="1:29" ht="28.8">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09"/>
      <c r="Q43" s="1568" t="str">
        <f t="shared" si="11"/>
        <v>内部装修维护情况</v>
      </c>
      <c r="R43" s="1569" t="s">
        <v>8</v>
      </c>
      <c r="S43" s="1570">
        <f t="shared" si="12"/>
        <v>100</v>
      </c>
      <c r="T43" s="1569" t="s">
        <v>8</v>
      </c>
      <c r="U43" s="1570">
        <f t="shared" si="13"/>
        <v>100</v>
      </c>
      <c r="V43" s="1569" t="s">
        <v>8</v>
      </c>
      <c r="W43" s="1570">
        <f t="shared" si="14"/>
        <v>100</v>
      </c>
      <c r="X43" s="1563"/>
      <c r="Y43" s="3409"/>
      <c r="Z43" s="1571" t="str">
        <f t="shared" si="15"/>
        <v>内部装修维护情况</v>
      </c>
      <c r="AA43" s="1572">
        <f t="shared" si="3"/>
        <v>1</v>
      </c>
      <c r="AB43" s="1572">
        <f t="shared" si="4"/>
        <v>1</v>
      </c>
      <c r="AC43" s="1572">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09"/>
      <c r="Q44" s="1150">
        <f t="shared" si="11"/>
        <v>111</v>
      </c>
      <c r="R44" s="1564" t="s">
        <v>8</v>
      </c>
      <c r="S44" s="1565">
        <f t="shared" si="12"/>
        <v>100</v>
      </c>
      <c r="T44" s="1564" t="s">
        <v>8</v>
      </c>
      <c r="U44" s="1565">
        <f t="shared" si="13"/>
        <v>100</v>
      </c>
      <c r="V44" s="1564" t="s">
        <v>8</v>
      </c>
      <c r="W44" s="1565">
        <f t="shared" si="14"/>
        <v>100</v>
      </c>
      <c r="X44" s="1566"/>
      <c r="Y44" s="3409"/>
      <c r="Z44" s="1149">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09"/>
      <c r="Q45" s="1568">
        <f t="shared" si="11"/>
        <v>111</v>
      </c>
      <c r="R45" s="1569" t="s">
        <v>8</v>
      </c>
      <c r="S45" s="1570">
        <f t="shared" si="12"/>
        <v>100</v>
      </c>
      <c r="T45" s="1569" t="s">
        <v>8</v>
      </c>
      <c r="U45" s="1570">
        <f t="shared" si="13"/>
        <v>100</v>
      </c>
      <c r="V45" s="1569" t="s">
        <v>8</v>
      </c>
      <c r="W45" s="1570">
        <f t="shared" si="14"/>
        <v>100</v>
      </c>
      <c r="X45" s="1563"/>
      <c r="Y45" s="3409"/>
      <c r="Z45" s="1571">
        <f t="shared" si="15"/>
        <v>111</v>
      </c>
      <c r="AA45" s="1572">
        <f t="shared" si="3"/>
        <v>1</v>
      </c>
      <c r="AB45" s="1572">
        <f t="shared" si="4"/>
        <v>1</v>
      </c>
      <c r="AC45" s="157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80"/>
      <c r="Q46" s="1568">
        <f t="shared" si="11"/>
        <v>111</v>
      </c>
      <c r="R46" s="1569" t="s">
        <v>8</v>
      </c>
      <c r="S46" s="1570">
        <f t="shared" si="12"/>
        <v>100</v>
      </c>
      <c r="T46" s="1569" t="s">
        <v>8</v>
      </c>
      <c r="U46" s="1570">
        <f t="shared" si="13"/>
        <v>100</v>
      </c>
      <c r="V46" s="1569" t="s">
        <v>8</v>
      </c>
      <c r="W46" s="1570">
        <f t="shared" si="14"/>
        <v>100</v>
      </c>
      <c r="X46" s="1563"/>
      <c r="Y46" s="3480"/>
      <c r="Z46" s="1571">
        <f t="shared" si="15"/>
        <v>111</v>
      </c>
      <c r="AA46" s="1572">
        <f t="shared" si="3"/>
        <v>1</v>
      </c>
      <c r="AB46" s="1572">
        <f t="shared" si="4"/>
        <v>1</v>
      </c>
      <c r="AC46" s="1572">
        <f t="shared" si="5"/>
        <v>1</v>
      </c>
    </row>
    <row r="47" spans="1:29" ht="14.4">
      <c r="A47" s="606" t="s">
        <v>732</v>
      </c>
      <c r="B47" s="886"/>
      <c r="C47" s="2648" t="s">
        <v>1</v>
      </c>
      <c r="D47" s="2649"/>
      <c r="E47" s="2650"/>
      <c r="F47" s="2651"/>
      <c r="G47" s="2652"/>
      <c r="H47" s="2653"/>
      <c r="I47" s="2650"/>
      <c r="J47" s="2653"/>
      <c r="K47" s="1607"/>
      <c r="L47" s="2141"/>
      <c r="M47" s="2142"/>
      <c r="N47" s="2131"/>
      <c r="O47" s="2142"/>
      <c r="P47" s="3404" t="str">
        <f>A47</f>
        <v>成交单价（元/平方米）</v>
      </c>
      <c r="Q47" s="3404"/>
      <c r="R47" s="3479">
        <f>E47</f>
        <v>0</v>
      </c>
      <c r="S47" s="3479"/>
      <c r="T47" s="3479">
        <f>G47</f>
        <v>0</v>
      </c>
      <c r="U47" s="3479"/>
      <c r="V47" s="3479">
        <f>I47</f>
        <v>0</v>
      </c>
      <c r="W47" s="3479"/>
      <c r="X47" s="1555"/>
      <c r="Y47" s="1577"/>
      <c r="Z47" s="1555"/>
      <c r="AA47" s="1555"/>
      <c r="AB47" s="1555"/>
      <c r="AC47" s="1555"/>
    </row>
    <row r="48" spans="1:29" ht="15" thickBot="1">
      <c r="A48" s="614" t="s">
        <v>2760</v>
      </c>
      <c r="B48" s="887"/>
      <c r="C48" s="2654" t="e">
        <f>R49</f>
        <v>#DIV/0!</v>
      </c>
      <c r="D48" s="2655"/>
      <c r="E48" s="2656" t="e">
        <f>R48</f>
        <v>#DIV/0!</v>
      </c>
      <c r="F48" s="2656"/>
      <c r="G48" s="2654" t="e">
        <f>T48</f>
        <v>#DIV/0!</v>
      </c>
      <c r="H48" s="2655"/>
      <c r="I48" s="2656" t="e">
        <f>V48</f>
        <v>#DIV/0!</v>
      </c>
      <c r="J48" s="2655"/>
      <c r="K48" s="1608"/>
      <c r="L48" s="2141"/>
      <c r="M48" s="2142"/>
      <c r="N48" s="2131"/>
      <c r="O48" s="2142"/>
      <c r="P48" s="3404" t="str">
        <f>A48</f>
        <v>比较价格（元/平方米）</v>
      </c>
      <c r="Q48" s="3404"/>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5"/>
      <c r="Y48" s="1555"/>
      <c r="Z48" s="1555"/>
      <c r="AA48" s="1555"/>
      <c r="AB48" s="1555"/>
      <c r="AC48" s="1555"/>
    </row>
    <row r="49" spans="1:29" ht="15" thickBot="1">
      <c r="A49" s="620" t="s">
        <v>2927</v>
      </c>
      <c r="B49" s="621"/>
      <c r="C49" s="2657" t="e">
        <f>R49</f>
        <v>#DIV/0!</v>
      </c>
      <c r="D49" s="2657"/>
      <c r="E49" s="2657"/>
      <c r="F49" s="2657"/>
      <c r="G49" s="2657"/>
      <c r="H49" s="2657"/>
      <c r="I49" s="2657"/>
      <c r="J49" s="2657"/>
      <c r="K49" s="1609"/>
      <c r="L49" s="2141"/>
      <c r="M49" s="2142"/>
      <c r="N49" s="2131"/>
      <c r="O49" s="2142"/>
      <c r="P49" s="3426" t="str">
        <f>A49</f>
        <v>估价对象XX用房的比较价格（楼面单价，元/平方米）</v>
      </c>
      <c r="Q49" s="3427"/>
      <c r="R49" s="3478" t="e">
        <f>IF(F1="售价",ROUND(AVERAGE(R48:V48),0),ROUND(AVERAGE(R48:V48),1))</f>
        <v>#DIV/0!</v>
      </c>
      <c r="S49" s="3478"/>
      <c r="T49" s="3478"/>
      <c r="U49" s="3478"/>
      <c r="V49" s="3478"/>
      <c r="W49" s="347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6" customFormat="1" ht="14.4">
      <c r="A58" s="644" t="s">
        <v>525</v>
      </c>
      <c r="B58" s="645"/>
      <c r="C58" s="2823" t="str">
        <f>YEAR(C7)&amp;"-"&amp;MONTH(C7)</f>
        <v>2018-8</v>
      </c>
      <c r="D58" s="2825">
        <f>EDATE(C58,-1)</f>
        <v>43282</v>
      </c>
      <c r="E58" s="2825">
        <f t="shared" ref="E58:O58" si="16">EDATE(D58,-1)</f>
        <v>43252</v>
      </c>
      <c r="F58" s="2825">
        <f t="shared" si="16"/>
        <v>43221</v>
      </c>
      <c r="G58" s="2825">
        <f t="shared" si="16"/>
        <v>43191</v>
      </c>
      <c r="H58" s="2825">
        <f t="shared" si="16"/>
        <v>43160</v>
      </c>
      <c r="I58" s="2825">
        <f t="shared" si="16"/>
        <v>43132</v>
      </c>
      <c r="J58" s="2825">
        <f t="shared" si="16"/>
        <v>43101</v>
      </c>
      <c r="K58" s="2825">
        <f t="shared" si="16"/>
        <v>43070</v>
      </c>
      <c r="L58" s="2825">
        <f t="shared" si="16"/>
        <v>43040</v>
      </c>
      <c r="M58" s="2825">
        <f t="shared" si="16"/>
        <v>43009</v>
      </c>
      <c r="N58" s="2825">
        <f t="shared" si="16"/>
        <v>42979</v>
      </c>
      <c r="O58" s="2825">
        <f t="shared" si="16"/>
        <v>42948</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ht="14.4">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672" t="s">
        <v>767</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4.4"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8"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5"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5"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517</v>
      </c>
      <c r="B4" s="512"/>
      <c r="C4" s="3410" t="s">
        <v>518</v>
      </c>
      <c r="D4" s="3411"/>
      <c r="E4" s="3435" t="s">
        <v>519</v>
      </c>
      <c r="F4" s="3436"/>
      <c r="G4" s="3410" t="s">
        <v>520</v>
      </c>
      <c r="H4" s="3411"/>
      <c r="I4" s="3410" t="s">
        <v>521</v>
      </c>
      <c r="J4" s="3411"/>
      <c r="K4" s="513" t="s">
        <v>522</v>
      </c>
      <c r="L4" s="2130"/>
      <c r="M4" s="2131"/>
      <c r="N4" s="2131"/>
      <c r="O4" s="2131"/>
      <c r="P4" s="3481" t="s">
        <v>523</v>
      </c>
      <c r="Q4" s="3413"/>
      <c r="R4" s="3398" t="s">
        <v>519</v>
      </c>
      <c r="S4" s="3399"/>
      <c r="T4" s="3398" t="s">
        <v>520</v>
      </c>
      <c r="U4" s="3399"/>
      <c r="V4" s="3418" t="s">
        <v>521</v>
      </c>
      <c r="W4" s="3418"/>
      <c r="X4" s="1563"/>
      <c r="Y4" s="3398" t="s">
        <v>523</v>
      </c>
      <c r="Z4" s="3399"/>
      <c r="AA4" s="3393" t="s">
        <v>519</v>
      </c>
      <c r="AB4" s="3393" t="s">
        <v>520</v>
      </c>
      <c r="AC4" s="3393" t="s">
        <v>521</v>
      </c>
    </row>
    <row r="5" spans="1:29">
      <c r="A5" s="514"/>
      <c r="B5" s="515"/>
      <c r="C5" s="3423" t="s">
        <v>2921</v>
      </c>
      <c r="D5" s="3422"/>
      <c r="E5" s="3437" t="s">
        <v>2922</v>
      </c>
      <c r="F5" s="3438"/>
      <c r="G5" s="3423" t="s">
        <v>2923</v>
      </c>
      <c r="H5" s="3422"/>
      <c r="I5" s="3423" t="s">
        <v>2924</v>
      </c>
      <c r="J5" s="3422"/>
      <c r="K5" s="513"/>
      <c r="L5" s="2130"/>
      <c r="M5" s="2131"/>
      <c r="N5" s="2131"/>
      <c r="O5" s="2131"/>
      <c r="P5" s="3482"/>
      <c r="Q5" s="3415"/>
      <c r="R5" s="3400"/>
      <c r="S5" s="3401"/>
      <c r="T5" s="3400"/>
      <c r="U5" s="3401"/>
      <c r="V5" s="3418"/>
      <c r="W5" s="3418"/>
      <c r="X5" s="1563"/>
      <c r="Y5" s="3400"/>
      <c r="Z5" s="3401"/>
      <c r="AA5" s="3394"/>
      <c r="AB5" s="3394"/>
      <c r="AC5" s="3394"/>
    </row>
    <row r="6" spans="1:29" ht="15" thickBot="1">
      <c r="A6" s="516"/>
      <c r="B6" s="517"/>
      <c r="C6" s="3419" t="s">
        <v>2925</v>
      </c>
      <c r="D6" s="3420"/>
      <c r="E6" s="3439" t="s">
        <v>2925</v>
      </c>
      <c r="F6" s="3440"/>
      <c r="G6" s="3419" t="s">
        <v>2925</v>
      </c>
      <c r="H6" s="3420"/>
      <c r="I6" s="3419" t="s">
        <v>2925</v>
      </c>
      <c r="J6" s="3420"/>
      <c r="K6" s="513" t="s">
        <v>524</v>
      </c>
      <c r="L6" s="2130"/>
      <c r="M6" s="2131"/>
      <c r="N6" s="2131"/>
      <c r="O6" s="2131"/>
      <c r="P6" s="3483"/>
      <c r="Q6" s="3417"/>
      <c r="R6" s="3400"/>
      <c r="S6" s="3401"/>
      <c r="T6" s="3402"/>
      <c r="U6" s="3403"/>
      <c r="V6" s="3418"/>
      <c r="W6" s="3418"/>
      <c r="X6" s="1563"/>
      <c r="Y6" s="3402"/>
      <c r="Z6" s="3403"/>
      <c r="AA6" s="3395"/>
      <c r="AB6" s="3395"/>
      <c r="AC6" s="3395"/>
    </row>
    <row r="7" spans="1:29" s="1219" customFormat="1" ht="15" thickBot="1">
      <c r="A7" s="2933"/>
      <c r="B7" s="2940" t="s">
        <v>525</v>
      </c>
      <c r="C7" s="518">
        <f>'数据-取费表'!B2</f>
        <v>43340</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05" t="s">
        <v>526</v>
      </c>
      <c r="Q7" s="3405"/>
      <c r="R7" s="1564" t="s">
        <v>8</v>
      </c>
      <c r="S7" s="1565">
        <f t="shared" ref="S7:S15" si="0">F7</f>
        <v>0</v>
      </c>
      <c r="T7" s="1564" t="s">
        <v>8</v>
      </c>
      <c r="U7" s="1565">
        <f t="shared" ref="U7:U15" si="1">H7</f>
        <v>0</v>
      </c>
      <c r="V7" s="1564" t="s">
        <v>8</v>
      </c>
      <c r="W7" s="1565">
        <f t="shared" ref="W7:W15" si="2">J7</f>
        <v>0</v>
      </c>
      <c r="X7" s="1566"/>
      <c r="Y7" s="3396" t="s">
        <v>526</v>
      </c>
      <c r="Z7" s="3397"/>
      <c r="AA7" s="1567" t="e">
        <f>D7/F7</f>
        <v>#DIV/0!</v>
      </c>
      <c r="AB7" s="1567" t="e">
        <f>D7/H7</f>
        <v>#DIV/0!</v>
      </c>
      <c r="AC7" s="1567" t="e">
        <f>D7/J7</f>
        <v>#DIV/0!</v>
      </c>
    </row>
    <row r="8" spans="1:29" s="1219" customFormat="1" ht="1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05" t="s">
        <v>529</v>
      </c>
      <c r="Q8" s="3397"/>
      <c r="R8" s="1564" t="s">
        <v>8</v>
      </c>
      <c r="S8" s="1565">
        <f t="shared" si="0"/>
        <v>0</v>
      </c>
      <c r="T8" s="1564" t="s">
        <v>8</v>
      </c>
      <c r="U8" s="1565">
        <f t="shared" si="1"/>
        <v>0</v>
      </c>
      <c r="V8" s="1564" t="s">
        <v>8</v>
      </c>
      <c r="W8" s="1565">
        <f t="shared" si="2"/>
        <v>0</v>
      </c>
      <c r="X8" s="1566"/>
      <c r="Y8" s="3396" t="s">
        <v>529</v>
      </c>
      <c r="Z8" s="3397"/>
      <c r="AA8" s="1567" t="e">
        <f t="shared" ref="AA8:AA47" si="3">D8/F8</f>
        <v>#DIV/0!</v>
      </c>
      <c r="AB8" s="1567" t="e">
        <f t="shared" ref="AB8:AB47" si="4">D8/H8</f>
        <v>#DIV/0!</v>
      </c>
      <c r="AC8" s="1567" t="e">
        <f t="shared" ref="AC8:AC47" si="5">D8/J8</f>
        <v>#DIV/0!</v>
      </c>
    </row>
    <row r="9" spans="1:29" s="1219" customFormat="1" ht="14.4">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04" t="s">
        <v>531</v>
      </c>
      <c r="Q9" s="1150" t="str">
        <f t="shared" ref="Q9:Q15" si="6">B9</f>
        <v>用途</v>
      </c>
      <c r="R9" s="1564" t="s">
        <v>8</v>
      </c>
      <c r="S9" s="1565">
        <f t="shared" si="0"/>
        <v>100</v>
      </c>
      <c r="T9" s="1564" t="s">
        <v>8</v>
      </c>
      <c r="U9" s="1565">
        <f t="shared" si="1"/>
        <v>100</v>
      </c>
      <c r="V9" s="1564" t="s">
        <v>8</v>
      </c>
      <c r="W9" s="1565">
        <f t="shared" si="2"/>
        <v>100</v>
      </c>
      <c r="X9" s="1566"/>
      <c r="Y9" s="3361" t="s">
        <v>532</v>
      </c>
      <c r="Z9" s="1149" t="str">
        <f t="shared" ref="Z9:Z15" si="7">Q9</f>
        <v>用途</v>
      </c>
      <c r="AA9" s="1567">
        <f t="shared" si="3"/>
        <v>1</v>
      </c>
      <c r="AB9" s="1567">
        <f t="shared" si="4"/>
        <v>1</v>
      </c>
      <c r="AC9" s="1567">
        <f t="shared" si="5"/>
        <v>1</v>
      </c>
    </row>
    <row r="10" spans="1:29" s="1337" customFormat="1" ht="28.8">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4"/>
      <c r="Q10" s="1150" t="str">
        <f t="shared" si="6"/>
        <v>土地使用年限（年）</v>
      </c>
      <c r="R10" s="1564" t="s">
        <v>8</v>
      </c>
      <c r="S10" s="1565">
        <f t="shared" si="0"/>
        <v>100</v>
      </c>
      <c r="T10" s="1564" t="s">
        <v>8</v>
      </c>
      <c r="U10" s="1565">
        <f t="shared" si="1"/>
        <v>100</v>
      </c>
      <c r="V10" s="1564" t="s">
        <v>8</v>
      </c>
      <c r="W10" s="1565">
        <f t="shared" si="2"/>
        <v>100</v>
      </c>
      <c r="X10" s="1566"/>
      <c r="Y10" s="3361"/>
      <c r="Z10" s="1149"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04"/>
      <c r="Q11" s="1150" t="str">
        <f t="shared" si="6"/>
        <v>容积率</v>
      </c>
      <c r="R11" s="1564" t="s">
        <v>8</v>
      </c>
      <c r="S11" s="1565" t="e">
        <f t="shared" si="0"/>
        <v>#N/A</v>
      </c>
      <c r="T11" s="1564" t="s">
        <v>8</v>
      </c>
      <c r="U11" s="1565" t="e">
        <f t="shared" si="1"/>
        <v>#N/A</v>
      </c>
      <c r="V11" s="1564" t="s">
        <v>8</v>
      </c>
      <c r="W11" s="1565" t="e">
        <f t="shared" si="2"/>
        <v>#N/A</v>
      </c>
      <c r="X11" s="1566"/>
      <c r="Y11" s="3361"/>
      <c r="Z11" s="1149" t="str">
        <f t="shared" si="7"/>
        <v>容积率</v>
      </c>
      <c r="AA11" s="1567" t="e">
        <f t="shared" si="3"/>
        <v>#N/A</v>
      </c>
      <c r="AB11" s="1567" t="e">
        <f t="shared" si="4"/>
        <v>#N/A</v>
      </c>
      <c r="AC11" s="1567" t="e">
        <f t="shared" si="5"/>
        <v>#N/A</v>
      </c>
    </row>
    <row r="12" spans="1:29" s="1219" customFormat="1" ht="15">
      <c r="A12" s="2938"/>
      <c r="B12" s="2944">
        <v>111</v>
      </c>
      <c r="C12" s="527"/>
      <c r="D12" s="537">
        <v>100</v>
      </c>
      <c r="E12" s="527"/>
      <c r="F12" s="254">
        <f>SUMIF(71:71,E12,72:72)-SUMIF(71:71,C12,72:72)+100</f>
        <v>100</v>
      </c>
      <c r="G12" s="909"/>
      <c r="H12" s="254">
        <f>SUMIF(71:71,G12,72:72)-SUMIF(71:71,C12,72:72)+100</f>
        <v>100</v>
      </c>
      <c r="I12" s="527"/>
      <c r="J12" s="254">
        <f>SUMIF(71:71,I12,72:72)-SUMIF(71:71,C12,72:72)+100</f>
        <v>100</v>
      </c>
      <c r="K12" s="580"/>
      <c r="L12" s="2132"/>
      <c r="M12" s="2133"/>
      <c r="N12" s="2133"/>
      <c r="O12" s="2133"/>
      <c r="P12" s="3404"/>
      <c r="Q12" s="1150">
        <f t="shared" si="6"/>
        <v>111</v>
      </c>
      <c r="R12" s="1564" t="s">
        <v>8</v>
      </c>
      <c r="S12" s="1565">
        <f t="shared" si="0"/>
        <v>100</v>
      </c>
      <c r="T12" s="1564" t="s">
        <v>8</v>
      </c>
      <c r="U12" s="1565">
        <f t="shared" si="1"/>
        <v>100</v>
      </c>
      <c r="V12" s="1564" t="s">
        <v>8</v>
      </c>
      <c r="W12" s="1565">
        <f t="shared" si="2"/>
        <v>100</v>
      </c>
      <c r="X12" s="1566"/>
      <c r="Y12" s="3361"/>
      <c r="Z12" s="1149">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9"/>
      <c r="H13" s="539">
        <f>SUMIF(73:73,G13,74:74)-SUMIF(73:73,C13,74:74)+100</f>
        <v>100</v>
      </c>
      <c r="I13" s="527"/>
      <c r="J13" s="539">
        <f>SUMIF(73:73,I13,74:74)-SUMIF(73:73,C13,74:74)+100</f>
        <v>100</v>
      </c>
      <c r="K13" s="580"/>
      <c r="L13" s="2139"/>
      <c r="M13" s="2131"/>
      <c r="N13" s="2131"/>
      <c r="O13" s="2131"/>
      <c r="P13" s="3404"/>
      <c r="Q13" s="1150">
        <f t="shared" si="6"/>
        <v>111</v>
      </c>
      <c r="R13" s="1564" t="s">
        <v>8</v>
      </c>
      <c r="S13" s="1565">
        <f t="shared" si="0"/>
        <v>100</v>
      </c>
      <c r="T13" s="1564" t="s">
        <v>8</v>
      </c>
      <c r="U13" s="1565">
        <f t="shared" si="1"/>
        <v>100</v>
      </c>
      <c r="V13" s="1564" t="s">
        <v>8</v>
      </c>
      <c r="W13" s="1565">
        <f t="shared" si="2"/>
        <v>100</v>
      </c>
      <c r="X13" s="1566"/>
      <c r="Y13" s="3361"/>
      <c r="Z13" s="1149">
        <f t="shared" si="7"/>
        <v>111</v>
      </c>
      <c r="AA13" s="1567">
        <f t="shared" si="3"/>
        <v>1</v>
      </c>
      <c r="AB13" s="1567">
        <f t="shared" si="4"/>
        <v>1</v>
      </c>
      <c r="AC13" s="1567">
        <f t="shared" si="5"/>
        <v>1</v>
      </c>
    </row>
    <row r="14" spans="1:29" ht="15.6" thickBot="1">
      <c r="A14" s="2939"/>
      <c r="B14" s="2945">
        <v>111</v>
      </c>
      <c r="C14" s="544"/>
      <c r="D14" s="545">
        <v>100</v>
      </c>
      <c r="E14" s="910"/>
      <c r="F14" s="545">
        <f>SUMIF(75:75,E14,76:76)-SUMIF(75:75,C14,76:76)+100</f>
        <v>100</v>
      </c>
      <c r="G14" s="909"/>
      <c r="H14" s="545">
        <f>SUMIF(75:75,G14,76:76)-SUMIF(75:75,C14,76:76)+100</f>
        <v>100</v>
      </c>
      <c r="I14" s="527"/>
      <c r="J14" s="545">
        <f>SUMIF(75:75,I14,76:76)-SUMIF(75:75,C14,76:76)+100</f>
        <v>100</v>
      </c>
      <c r="K14" s="580"/>
      <c r="L14" s="2139"/>
      <c r="M14" s="2131"/>
      <c r="N14" s="2131"/>
      <c r="O14" s="2131"/>
      <c r="P14" s="3404"/>
      <c r="Q14" s="1150">
        <f t="shared" si="6"/>
        <v>111</v>
      </c>
      <c r="R14" s="1564" t="s">
        <v>8</v>
      </c>
      <c r="S14" s="1565">
        <f t="shared" si="0"/>
        <v>100</v>
      </c>
      <c r="T14" s="1564" t="s">
        <v>8</v>
      </c>
      <c r="U14" s="1565">
        <f t="shared" si="1"/>
        <v>100</v>
      </c>
      <c r="V14" s="1564" t="s">
        <v>8</v>
      </c>
      <c r="W14" s="1565">
        <f t="shared" si="2"/>
        <v>100</v>
      </c>
      <c r="X14" s="1566"/>
      <c r="Y14" s="3361"/>
      <c r="Z14" s="1149">
        <f t="shared" si="7"/>
        <v>111</v>
      </c>
      <c r="AA14" s="1567">
        <f t="shared" si="3"/>
        <v>1</v>
      </c>
      <c r="AB14" s="1567">
        <f t="shared" si="4"/>
        <v>1</v>
      </c>
      <c r="AC14" s="1567">
        <f t="shared" si="5"/>
        <v>1</v>
      </c>
    </row>
    <row r="15" spans="1:29" ht="27.6">
      <c r="A15" s="2931" t="s">
        <v>2754</v>
      </c>
      <c r="B15" s="546" t="s">
        <v>538</v>
      </c>
      <c r="C15" s="547" t="str">
        <f>估价对象房地状况!C5</f>
        <v>办公集聚程度一般</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06" t="s">
        <v>536</v>
      </c>
      <c r="Q15" s="1568" t="str">
        <f t="shared" si="6"/>
        <v>办公集聚程度</v>
      </c>
      <c r="R15" s="1569" t="s">
        <v>8</v>
      </c>
      <c r="S15" s="1570">
        <f t="shared" si="0"/>
        <v>100</v>
      </c>
      <c r="T15" s="1569" t="s">
        <v>8</v>
      </c>
      <c r="U15" s="1570">
        <f t="shared" si="1"/>
        <v>100</v>
      </c>
      <c r="V15" s="1569" t="s">
        <v>8</v>
      </c>
      <c r="W15" s="1570">
        <f t="shared" si="2"/>
        <v>100</v>
      </c>
      <c r="X15" s="1563"/>
      <c r="Y15" s="3406"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8"/>
      <c r="L16" s="2139"/>
      <c r="M16" s="2131"/>
      <c r="N16" s="2131"/>
      <c r="O16" s="2131"/>
      <c r="P16" s="3407"/>
      <c r="Q16" s="1568"/>
      <c r="R16" s="1569"/>
      <c r="S16" s="1570"/>
      <c r="T16" s="1569"/>
      <c r="U16" s="1570"/>
      <c r="V16" s="1569"/>
      <c r="W16" s="1570"/>
      <c r="X16" s="1563"/>
      <c r="Y16" s="3407"/>
      <c r="Z16" s="1571"/>
      <c r="AA16" s="1572">
        <v>1</v>
      </c>
      <c r="AB16" s="1572">
        <v>1</v>
      </c>
      <c r="AC16" s="1572">
        <v>1</v>
      </c>
    </row>
    <row r="17" spans="1:29" ht="27.6">
      <c r="A17" s="531"/>
      <c r="B17" s="559" t="s">
        <v>292</v>
      </c>
      <c r="C17" s="572" t="str">
        <f>估价对象房地状况!C6</f>
        <v>交通便捷度较差</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07"/>
      <c r="Q17" s="1568" t="str">
        <f>B17</f>
        <v>交通便捷度</v>
      </c>
      <c r="R17" s="1569" t="s">
        <v>8</v>
      </c>
      <c r="S17" s="1570">
        <f>F17</f>
        <v>100</v>
      </c>
      <c r="T17" s="1569" t="s">
        <v>8</v>
      </c>
      <c r="U17" s="1570">
        <f>H17</f>
        <v>100</v>
      </c>
      <c r="V17" s="1569" t="s">
        <v>8</v>
      </c>
      <c r="W17" s="1570">
        <f>J17</f>
        <v>100</v>
      </c>
      <c r="X17" s="1563"/>
      <c r="Y17" s="3407"/>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8"/>
      <c r="L18" s="2139"/>
      <c r="M18" s="2131"/>
      <c r="N18" s="2131"/>
      <c r="O18" s="2131"/>
      <c r="P18" s="3407"/>
      <c r="Q18" s="1568"/>
      <c r="R18" s="1569"/>
      <c r="S18" s="1570"/>
      <c r="T18" s="1569"/>
      <c r="U18" s="1570"/>
      <c r="V18" s="1569"/>
      <c r="W18" s="1570"/>
      <c r="X18" s="1563"/>
      <c r="Y18" s="3407"/>
      <c r="Z18" s="1571"/>
      <c r="AA18" s="1572">
        <v>1</v>
      </c>
      <c r="AB18" s="1572">
        <v>1</v>
      </c>
      <c r="AC18" s="1572">
        <v>1</v>
      </c>
    </row>
    <row r="19" spans="1:29" ht="27.6">
      <c r="A19" s="531"/>
      <c r="B19" s="2624" t="s">
        <v>2546</v>
      </c>
      <c r="C19" s="572" t="str">
        <f>估价对象房地状况!C7</f>
        <v>公共配套设施齐备度较差</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07"/>
      <c r="Q19" s="1568" t="str">
        <f>B19</f>
        <v>公共配套设施</v>
      </c>
      <c r="R19" s="1569" t="s">
        <v>8</v>
      </c>
      <c r="S19" s="1570">
        <f>F19</f>
        <v>100</v>
      </c>
      <c r="T19" s="1569" t="s">
        <v>8</v>
      </c>
      <c r="U19" s="1570">
        <f>H19</f>
        <v>100</v>
      </c>
      <c r="V19" s="1569" t="s">
        <v>8</v>
      </c>
      <c r="W19" s="1570">
        <f>J19</f>
        <v>100</v>
      </c>
      <c r="X19" s="1563"/>
      <c r="Y19" s="3407"/>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8"/>
      <c r="L20" s="2139"/>
      <c r="M20" s="2131"/>
      <c r="N20" s="2131"/>
      <c r="O20" s="2131"/>
      <c r="P20" s="3407"/>
      <c r="Q20" s="1568"/>
      <c r="R20" s="1569"/>
      <c r="S20" s="1570"/>
      <c r="T20" s="1569"/>
      <c r="U20" s="1570"/>
      <c r="V20" s="1569"/>
      <c r="W20" s="1570"/>
      <c r="X20" s="1563"/>
      <c r="Y20" s="3407"/>
      <c r="Z20" s="1571"/>
      <c r="AA20" s="1572">
        <v>1</v>
      </c>
      <c r="AB20" s="1572">
        <v>1</v>
      </c>
      <c r="AC20" s="1572">
        <v>1</v>
      </c>
    </row>
    <row r="21" spans="1:29" ht="15">
      <c r="A21" s="531"/>
      <c r="B21" s="2612" t="s">
        <v>2558</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07"/>
      <c r="Q21" s="2600" t="str">
        <f>B21</f>
        <v>基础设施水平</v>
      </c>
      <c r="R21" s="1569" t="s">
        <v>8</v>
      </c>
      <c r="S21" s="1570">
        <f>F21</f>
        <v>100</v>
      </c>
      <c r="T21" s="1569" t="s">
        <v>8</v>
      </c>
      <c r="U21" s="1570">
        <f>H21</f>
        <v>100</v>
      </c>
      <c r="V21" s="1569" t="s">
        <v>8</v>
      </c>
      <c r="W21" s="1570">
        <f>J21</f>
        <v>100</v>
      </c>
      <c r="X21" s="2602"/>
      <c r="Y21" s="3407"/>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07"/>
      <c r="Q22" s="2600"/>
      <c r="R22" s="1569"/>
      <c r="S22" s="1570"/>
      <c r="T22" s="1569"/>
      <c r="U22" s="1570"/>
      <c r="V22" s="1569"/>
      <c r="W22" s="1570"/>
      <c r="X22" s="2602"/>
      <c r="Y22" s="3407"/>
      <c r="Z22" s="2601"/>
      <c r="AA22" s="1572">
        <v>1</v>
      </c>
      <c r="AB22" s="1572">
        <v>1</v>
      </c>
      <c r="AC22" s="1572">
        <v>1</v>
      </c>
    </row>
    <row r="23" spans="1:29" ht="27.6">
      <c r="A23" s="531"/>
      <c r="B23" s="559" t="s">
        <v>774</v>
      </c>
      <c r="C23" s="572" t="str">
        <f>估价对象房地状况!C9</f>
        <v>自然人文环境较差</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07"/>
      <c r="Q23" s="1568" t="str">
        <f>B23</f>
        <v>环境质量</v>
      </c>
      <c r="R23" s="1569" t="s">
        <v>8</v>
      </c>
      <c r="S23" s="1570">
        <f>F23</f>
        <v>100</v>
      </c>
      <c r="T23" s="1569" t="s">
        <v>8</v>
      </c>
      <c r="U23" s="1570">
        <f>H23</f>
        <v>100</v>
      </c>
      <c r="V23" s="1569" t="s">
        <v>8</v>
      </c>
      <c r="W23" s="1570">
        <f>J23</f>
        <v>100</v>
      </c>
      <c r="X23" s="1563"/>
      <c r="Y23" s="3407"/>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8"/>
      <c r="L24" s="2139"/>
      <c r="M24" s="2131"/>
      <c r="N24" s="2131"/>
      <c r="O24" s="2131"/>
      <c r="P24" s="3407"/>
      <c r="Q24" s="1568"/>
      <c r="R24" s="1569"/>
      <c r="S24" s="1570"/>
      <c r="T24" s="1569"/>
      <c r="U24" s="1570"/>
      <c r="V24" s="1569"/>
      <c r="W24" s="1570"/>
      <c r="X24" s="1563"/>
      <c r="Y24" s="3407"/>
      <c r="Z24" s="1571"/>
      <c r="AA24" s="1572">
        <v>1</v>
      </c>
      <c r="AB24" s="1572">
        <v>1</v>
      </c>
      <c r="AC24" s="1572">
        <v>1</v>
      </c>
    </row>
    <row r="25" spans="1:29" ht="28.8">
      <c r="A25" s="514"/>
      <c r="B25" s="559" t="s">
        <v>544</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07"/>
      <c r="Q25" s="1568" t="str">
        <f>B25</f>
        <v>毗邻道路的类型与等级</v>
      </c>
      <c r="R25" s="1569" t="s">
        <v>8</v>
      </c>
      <c r="S25" s="1570">
        <f>F25</f>
        <v>100</v>
      </c>
      <c r="T25" s="1569" t="s">
        <v>8</v>
      </c>
      <c r="U25" s="1570">
        <f>H25</f>
        <v>100</v>
      </c>
      <c r="V25" s="1569" t="s">
        <v>8</v>
      </c>
      <c r="W25" s="1570">
        <f>J25</f>
        <v>100</v>
      </c>
      <c r="X25" s="1563"/>
      <c r="Y25" s="3407"/>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8"/>
      <c r="L26" s="2139"/>
      <c r="M26" s="2131"/>
      <c r="N26" s="2131"/>
      <c r="O26" s="2131"/>
      <c r="P26" s="3407"/>
      <c r="Q26" s="1568"/>
      <c r="R26" s="1569"/>
      <c r="S26" s="1570"/>
      <c r="T26" s="1569"/>
      <c r="U26" s="1570"/>
      <c r="V26" s="1569"/>
      <c r="W26" s="1570"/>
      <c r="X26" s="1563"/>
      <c r="Y26" s="3407"/>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07"/>
      <c r="Q27" s="1568" t="str">
        <f t="shared" ref="Q27:Q47" si="11">B27</f>
        <v>楼层</v>
      </c>
      <c r="R27" s="1569" t="s">
        <v>8</v>
      </c>
      <c r="S27" s="1570">
        <f>F27</f>
        <v>100</v>
      </c>
      <c r="T27" s="1569" t="s">
        <v>8</v>
      </c>
      <c r="U27" s="1570">
        <f>H27</f>
        <v>100</v>
      </c>
      <c r="V27" s="1569" t="s">
        <v>8</v>
      </c>
      <c r="W27" s="1570">
        <f>J27</f>
        <v>100</v>
      </c>
      <c r="X27" s="1563"/>
      <c r="Y27" s="3407"/>
      <c r="Z27" s="1571" t="str">
        <f>Q27</f>
        <v>楼层</v>
      </c>
      <c r="AA27" s="1572">
        <f t="shared" si="3"/>
        <v>1</v>
      </c>
      <c r="AB27" s="1572">
        <f t="shared" si="4"/>
        <v>1</v>
      </c>
      <c r="AC27" s="1572">
        <f t="shared" si="5"/>
        <v>1</v>
      </c>
    </row>
    <row r="28" spans="1:29" s="1219" customFormat="1" ht="15">
      <c r="A28" s="535"/>
      <c r="B28" s="559" t="s">
        <v>775</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07"/>
      <c r="Q28" s="1150" t="str">
        <f t="shared" si="11"/>
        <v>朝向</v>
      </c>
      <c r="R28" s="1564" t="s">
        <v>8</v>
      </c>
      <c r="S28" s="1565">
        <f>F28</f>
        <v>100</v>
      </c>
      <c r="T28" s="1564" t="s">
        <v>8</v>
      </c>
      <c r="U28" s="1565">
        <f>H28</f>
        <v>100</v>
      </c>
      <c r="V28" s="1564" t="s">
        <v>8</v>
      </c>
      <c r="W28" s="1565">
        <f>J28</f>
        <v>100</v>
      </c>
      <c r="X28" s="1566"/>
      <c r="Y28" s="3407"/>
      <c r="Z28" s="1149" t="str">
        <f>Q28</f>
        <v>朝向</v>
      </c>
      <c r="AA28" s="1572">
        <f>D28/F28</f>
        <v>1</v>
      </c>
      <c r="AB28" s="1572">
        <f>D28/H28</f>
        <v>1</v>
      </c>
      <c r="AC28" s="157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9"/>
      <c r="M29" s="2131"/>
      <c r="N29" s="2131"/>
      <c r="O29" s="2131"/>
      <c r="P29" s="3407"/>
      <c r="Q29" s="1568">
        <f t="shared" si="11"/>
        <v>111</v>
      </c>
      <c r="R29" s="1569" t="s">
        <v>8</v>
      </c>
      <c r="S29" s="1570">
        <f t="shared" ref="S29:S47" si="12">F29</f>
        <v>100</v>
      </c>
      <c r="T29" s="1569" t="s">
        <v>8</v>
      </c>
      <c r="U29" s="1570">
        <f t="shared" ref="U29:U47" si="13">H29</f>
        <v>100</v>
      </c>
      <c r="V29" s="1569" t="s">
        <v>8</v>
      </c>
      <c r="W29" s="1570">
        <f t="shared" ref="W29:W47" si="14">J29</f>
        <v>100</v>
      </c>
      <c r="X29" s="1563"/>
      <c r="Y29" s="3407"/>
      <c r="Z29" s="1571">
        <f t="shared" ref="Z29:Z47" si="15">Q29</f>
        <v>111</v>
      </c>
      <c r="AA29" s="1572">
        <f t="shared" si="3"/>
        <v>1</v>
      </c>
      <c r="AB29" s="1572">
        <f t="shared" si="4"/>
        <v>1</v>
      </c>
      <c r="AC29" s="157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9"/>
      <c r="M30" s="2131"/>
      <c r="N30" s="2131"/>
      <c r="O30" s="2131"/>
      <c r="P30" s="3407"/>
      <c r="Q30" s="1568">
        <f t="shared" si="11"/>
        <v>111</v>
      </c>
      <c r="R30" s="1569" t="s">
        <v>8</v>
      </c>
      <c r="S30" s="1570">
        <f t="shared" si="12"/>
        <v>100</v>
      </c>
      <c r="T30" s="1569" t="s">
        <v>8</v>
      </c>
      <c r="U30" s="1570">
        <f t="shared" si="13"/>
        <v>100</v>
      </c>
      <c r="V30" s="1569" t="s">
        <v>8</v>
      </c>
      <c r="W30" s="1570">
        <f t="shared" si="14"/>
        <v>100</v>
      </c>
      <c r="X30" s="1563"/>
      <c r="Y30" s="3407"/>
      <c r="Z30" s="1571">
        <f t="shared" si="15"/>
        <v>111</v>
      </c>
      <c r="AA30" s="1572">
        <f t="shared" si="3"/>
        <v>1</v>
      </c>
      <c r="AB30" s="1572">
        <f t="shared" si="4"/>
        <v>1</v>
      </c>
      <c r="AC30" s="157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9"/>
      <c r="M31" s="2131"/>
      <c r="N31" s="2131"/>
      <c r="O31" s="2131"/>
      <c r="P31" s="3407"/>
      <c r="Q31" s="1568">
        <f t="shared" si="11"/>
        <v>111</v>
      </c>
      <c r="R31" s="1569" t="s">
        <v>8</v>
      </c>
      <c r="S31" s="1570">
        <f t="shared" si="12"/>
        <v>100</v>
      </c>
      <c r="T31" s="1569" t="s">
        <v>8</v>
      </c>
      <c r="U31" s="1570">
        <f t="shared" si="13"/>
        <v>100</v>
      </c>
      <c r="V31" s="1569" t="s">
        <v>8</v>
      </c>
      <c r="W31" s="1570">
        <f t="shared" si="14"/>
        <v>100</v>
      </c>
      <c r="X31" s="1563"/>
      <c r="Y31" s="3407"/>
      <c r="Z31" s="1571">
        <f t="shared" si="15"/>
        <v>111</v>
      </c>
      <c r="AA31" s="1572">
        <f t="shared" si="3"/>
        <v>1</v>
      </c>
      <c r="AB31" s="1572">
        <f t="shared" si="4"/>
        <v>1</v>
      </c>
      <c r="AC31" s="157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9"/>
      <c r="M32" s="2131"/>
      <c r="N32" s="2131"/>
      <c r="O32" s="2131"/>
      <c r="P32" s="3407"/>
      <c r="Q32" s="1568">
        <f t="shared" si="11"/>
        <v>111</v>
      </c>
      <c r="R32" s="1569" t="s">
        <v>8</v>
      </c>
      <c r="S32" s="1570">
        <f t="shared" si="12"/>
        <v>100</v>
      </c>
      <c r="T32" s="1569" t="s">
        <v>8</v>
      </c>
      <c r="U32" s="1570">
        <f t="shared" si="13"/>
        <v>100</v>
      </c>
      <c r="V32" s="1569" t="s">
        <v>8</v>
      </c>
      <c r="W32" s="1570">
        <f t="shared" si="14"/>
        <v>100</v>
      </c>
      <c r="X32" s="1563"/>
      <c r="Y32" s="3407"/>
      <c r="Z32" s="1571">
        <f t="shared" si="15"/>
        <v>111</v>
      </c>
      <c r="AA32" s="1572">
        <f t="shared" si="3"/>
        <v>1</v>
      </c>
      <c r="AB32" s="1572">
        <f t="shared" si="4"/>
        <v>1</v>
      </c>
      <c r="AC32" s="1572">
        <f t="shared" si="5"/>
        <v>1</v>
      </c>
    </row>
    <row r="33" spans="1:29" ht="15">
      <c r="A33" s="2928" t="s">
        <v>2755</v>
      </c>
      <c r="B33" s="172" t="s">
        <v>776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08" t="s">
        <v>546</v>
      </c>
      <c r="Q33" s="1568" t="str">
        <f t="shared" si="11"/>
        <v>建筑类型</v>
      </c>
      <c r="R33" s="1569" t="s">
        <v>8</v>
      </c>
      <c r="S33" s="1570">
        <f t="shared" si="12"/>
        <v>100</v>
      </c>
      <c r="T33" s="1569" t="s">
        <v>8</v>
      </c>
      <c r="U33" s="1570">
        <f t="shared" si="13"/>
        <v>100</v>
      </c>
      <c r="V33" s="1569" t="s">
        <v>8</v>
      </c>
      <c r="W33" s="1570">
        <f t="shared" si="14"/>
        <v>100</v>
      </c>
      <c r="X33" s="1563"/>
      <c r="Y33" s="3409" t="s">
        <v>546</v>
      </c>
      <c r="Z33" s="1571" t="str">
        <f t="shared" si="15"/>
        <v>建筑类型</v>
      </c>
      <c r="AA33" s="1572">
        <f t="shared" si="3"/>
        <v>1</v>
      </c>
      <c r="AB33" s="1572">
        <f t="shared" si="4"/>
        <v>1</v>
      </c>
      <c r="AC33" s="1572">
        <f t="shared" si="5"/>
        <v>1</v>
      </c>
    </row>
    <row r="34" spans="1:29" s="1338" customFormat="1" ht="15">
      <c r="A34" s="602"/>
      <c r="B34" s="526" t="s">
        <v>722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09"/>
      <c r="Q34" s="1601" t="str">
        <f t="shared" si="11"/>
        <v>项目建筑规模</v>
      </c>
      <c r="R34" s="1573" t="s">
        <v>8</v>
      </c>
      <c r="S34" s="1574" t="e">
        <f t="shared" si="12"/>
        <v>#N/A</v>
      </c>
      <c r="T34" s="1573" t="s">
        <v>8</v>
      </c>
      <c r="U34" s="1574" t="e">
        <f t="shared" si="13"/>
        <v>#N/A</v>
      </c>
      <c r="V34" s="1573" t="s">
        <v>8</v>
      </c>
      <c r="W34" s="1574" t="e">
        <f t="shared" si="14"/>
        <v>#N/A</v>
      </c>
      <c r="X34" s="1575"/>
      <c r="Y34" s="3409"/>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09"/>
      <c r="Q35" s="1568" t="str">
        <f t="shared" si="11"/>
        <v>建筑结构</v>
      </c>
      <c r="R35" s="1569" t="s">
        <v>8</v>
      </c>
      <c r="S35" s="1570">
        <f t="shared" si="12"/>
        <v>100</v>
      </c>
      <c r="T35" s="1569" t="s">
        <v>8</v>
      </c>
      <c r="U35" s="1570">
        <f t="shared" si="13"/>
        <v>100</v>
      </c>
      <c r="V35" s="1569" t="s">
        <v>8</v>
      </c>
      <c r="W35" s="1570">
        <f t="shared" si="14"/>
        <v>100</v>
      </c>
      <c r="X35" s="1563"/>
      <c r="Y35" s="3409"/>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09"/>
      <c r="Q36" s="1568" t="str">
        <f t="shared" si="11"/>
        <v>公共部分装修</v>
      </c>
      <c r="R36" s="1569" t="s">
        <v>8</v>
      </c>
      <c r="S36" s="1570">
        <f t="shared" si="12"/>
        <v>100</v>
      </c>
      <c r="T36" s="1569" t="s">
        <v>8</v>
      </c>
      <c r="U36" s="1570">
        <f t="shared" si="13"/>
        <v>100</v>
      </c>
      <c r="V36" s="1569" t="s">
        <v>8</v>
      </c>
      <c r="W36" s="1570">
        <f t="shared" si="14"/>
        <v>100</v>
      </c>
      <c r="X36" s="1563"/>
      <c r="Y36" s="3409"/>
      <c r="Z36" s="1571" t="str">
        <f t="shared" si="15"/>
        <v>公共部分装修</v>
      </c>
      <c r="AA36" s="1572">
        <f t="shared" si="3"/>
        <v>1</v>
      </c>
      <c r="AB36" s="1572">
        <f t="shared" si="4"/>
        <v>1</v>
      </c>
      <c r="AC36" s="1572">
        <f t="shared" si="5"/>
        <v>1</v>
      </c>
    </row>
    <row r="37" spans="1:29" ht="15">
      <c r="A37" s="593"/>
      <c r="B37" s="526" t="s">
        <v>760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09"/>
      <c r="Q37" s="1568" t="str">
        <f t="shared" si="11"/>
        <v>成新度</v>
      </c>
      <c r="R37" s="1569" t="s">
        <v>8</v>
      </c>
      <c r="S37" s="1570" t="e">
        <f t="shared" si="12"/>
        <v>#N/A</v>
      </c>
      <c r="T37" s="1569" t="s">
        <v>8</v>
      </c>
      <c r="U37" s="1570" t="e">
        <f t="shared" si="13"/>
        <v>#N/A</v>
      </c>
      <c r="V37" s="1569" t="s">
        <v>8</v>
      </c>
      <c r="W37" s="1570" t="e">
        <f t="shared" si="14"/>
        <v>#N/A</v>
      </c>
      <c r="X37" s="1563"/>
      <c r="Y37" s="3409"/>
      <c r="Z37" s="1571" t="str">
        <f t="shared" si="15"/>
        <v>成新度</v>
      </c>
      <c r="AA37" s="1572" t="e">
        <f t="shared" si="3"/>
        <v>#N/A</v>
      </c>
      <c r="AB37" s="1572" t="e">
        <f t="shared" si="4"/>
        <v>#N/A</v>
      </c>
      <c r="AC37" s="1572" t="e">
        <f t="shared" si="5"/>
        <v>#N/A</v>
      </c>
    </row>
    <row r="38" spans="1:29" s="1219"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09"/>
      <c r="Q38" s="1150" t="str">
        <f t="shared" si="11"/>
        <v>写字楼等级</v>
      </c>
      <c r="R38" s="1564" t="s">
        <v>8</v>
      </c>
      <c r="S38" s="1565">
        <f t="shared" si="12"/>
        <v>100</v>
      </c>
      <c r="T38" s="1564" t="s">
        <v>8</v>
      </c>
      <c r="U38" s="1565">
        <f t="shared" si="13"/>
        <v>100</v>
      </c>
      <c r="V38" s="1564" t="s">
        <v>8</v>
      </c>
      <c r="W38" s="1565">
        <f t="shared" si="14"/>
        <v>100</v>
      </c>
      <c r="X38" s="1566"/>
      <c r="Y38" s="3409"/>
      <c r="Z38" s="1149"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09" t="s">
        <v>546</v>
      </c>
      <c r="Q39" s="1568" t="str">
        <f t="shared" si="11"/>
        <v>物业管理</v>
      </c>
      <c r="R39" s="1569" t="s">
        <v>8</v>
      </c>
      <c r="S39" s="1570">
        <f t="shared" si="12"/>
        <v>100</v>
      </c>
      <c r="T39" s="1569" t="s">
        <v>8</v>
      </c>
      <c r="U39" s="1570">
        <f t="shared" si="13"/>
        <v>100</v>
      </c>
      <c r="V39" s="1569" t="s">
        <v>8</v>
      </c>
      <c r="W39" s="1570">
        <f t="shared" si="14"/>
        <v>100</v>
      </c>
      <c r="X39" s="1563"/>
      <c r="Y39" s="3409"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09"/>
      <c r="Q40" s="1568" t="str">
        <f t="shared" si="11"/>
        <v>市政基础设施</v>
      </c>
      <c r="R40" s="1569" t="s">
        <v>8</v>
      </c>
      <c r="S40" s="1570">
        <f t="shared" si="12"/>
        <v>100</v>
      </c>
      <c r="T40" s="1569" t="s">
        <v>8</v>
      </c>
      <c r="U40" s="1570">
        <f t="shared" si="13"/>
        <v>100</v>
      </c>
      <c r="V40" s="1569" t="s">
        <v>8</v>
      </c>
      <c r="W40" s="1570">
        <f t="shared" si="14"/>
        <v>100</v>
      </c>
      <c r="X40" s="1563"/>
      <c r="Y40" s="3409"/>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09"/>
      <c r="Q41" s="1568" t="str">
        <f t="shared" si="11"/>
        <v>层高</v>
      </c>
      <c r="R41" s="1569" t="s">
        <v>8</v>
      </c>
      <c r="S41" s="1570">
        <f t="shared" si="12"/>
        <v>100</v>
      </c>
      <c r="T41" s="1569" t="s">
        <v>8</v>
      </c>
      <c r="U41" s="1570">
        <f t="shared" si="13"/>
        <v>100</v>
      </c>
      <c r="V41" s="1569" t="s">
        <v>8</v>
      </c>
      <c r="W41" s="1570">
        <f t="shared" si="14"/>
        <v>100</v>
      </c>
      <c r="X41" s="1563"/>
      <c r="Y41" s="3409"/>
      <c r="Z41" s="1571" t="str">
        <f t="shared" si="15"/>
        <v>层高</v>
      </c>
      <c r="AA41" s="1572">
        <f t="shared" si="3"/>
        <v>1</v>
      </c>
      <c r="AB41" s="1572">
        <f t="shared" si="4"/>
        <v>1</v>
      </c>
      <c r="AC41" s="1572">
        <f t="shared" si="5"/>
        <v>1</v>
      </c>
    </row>
    <row r="42" spans="1:29" s="1338" customFormat="1" ht="15">
      <c r="A42" s="602"/>
      <c r="B42" s="903"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09"/>
      <c r="Q42" s="1601" t="str">
        <f t="shared" si="11"/>
        <v>单套建筑面积</v>
      </c>
      <c r="R42" s="1573" t="s">
        <v>8</v>
      </c>
      <c r="S42" s="1574">
        <f t="shared" si="12"/>
        <v>100</v>
      </c>
      <c r="T42" s="1573" t="s">
        <v>8</v>
      </c>
      <c r="U42" s="1574">
        <f t="shared" si="13"/>
        <v>100</v>
      </c>
      <c r="V42" s="1573" t="s">
        <v>8</v>
      </c>
      <c r="W42" s="1574">
        <f t="shared" si="14"/>
        <v>100</v>
      </c>
      <c r="X42" s="1575"/>
      <c r="Y42" s="3409"/>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09"/>
      <c r="Q43" s="1568" t="str">
        <f t="shared" si="11"/>
        <v>内部装修</v>
      </c>
      <c r="R43" s="1569" t="s">
        <v>8</v>
      </c>
      <c r="S43" s="1570">
        <f t="shared" si="12"/>
        <v>100</v>
      </c>
      <c r="T43" s="1569" t="s">
        <v>8</v>
      </c>
      <c r="U43" s="1570">
        <f t="shared" si="13"/>
        <v>100</v>
      </c>
      <c r="V43" s="1569" t="s">
        <v>8</v>
      </c>
      <c r="W43" s="1570">
        <f t="shared" si="14"/>
        <v>100</v>
      </c>
      <c r="X43" s="1563"/>
      <c r="Y43" s="3409"/>
      <c r="Z43" s="1571" t="str">
        <f t="shared" si="15"/>
        <v>内部装修</v>
      </c>
      <c r="AA43" s="1572">
        <f t="shared" si="3"/>
        <v>1</v>
      </c>
      <c r="AB43" s="1572">
        <f t="shared" si="4"/>
        <v>1</v>
      </c>
      <c r="AC43" s="1572">
        <f t="shared" si="5"/>
        <v>1</v>
      </c>
    </row>
    <row r="44" spans="1:29" ht="28.8">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09"/>
      <c r="Q44" s="1568" t="str">
        <f t="shared" si="11"/>
        <v>内部装修维护情况</v>
      </c>
      <c r="R44" s="1569" t="s">
        <v>8</v>
      </c>
      <c r="S44" s="1570">
        <f t="shared" si="12"/>
        <v>100</v>
      </c>
      <c r="T44" s="1569" t="s">
        <v>8</v>
      </c>
      <c r="U44" s="1570">
        <f t="shared" si="13"/>
        <v>100</v>
      </c>
      <c r="V44" s="1569" t="s">
        <v>8</v>
      </c>
      <c r="W44" s="1570">
        <f t="shared" si="14"/>
        <v>100</v>
      </c>
      <c r="X44" s="1563"/>
      <c r="Y44" s="3409"/>
      <c r="Z44" s="1571" t="str">
        <f t="shared" si="15"/>
        <v>内部装修维护情况</v>
      </c>
      <c r="AA44" s="1572">
        <f t="shared" si="3"/>
        <v>1</v>
      </c>
      <c r="AB44" s="1572">
        <f t="shared" si="4"/>
        <v>1</v>
      </c>
      <c r="AC44" s="1572">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09"/>
      <c r="Q45" s="1150">
        <f t="shared" si="11"/>
        <v>111</v>
      </c>
      <c r="R45" s="1564" t="s">
        <v>8</v>
      </c>
      <c r="S45" s="1565">
        <f t="shared" si="12"/>
        <v>100</v>
      </c>
      <c r="T45" s="1564" t="s">
        <v>8</v>
      </c>
      <c r="U45" s="1565">
        <f t="shared" si="13"/>
        <v>100</v>
      </c>
      <c r="V45" s="1564" t="s">
        <v>8</v>
      </c>
      <c r="W45" s="1565">
        <f t="shared" si="14"/>
        <v>100</v>
      </c>
      <c r="X45" s="1566"/>
      <c r="Y45" s="3409"/>
      <c r="Z45" s="1149">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09"/>
      <c r="Q46" s="1568">
        <f t="shared" si="11"/>
        <v>111</v>
      </c>
      <c r="R46" s="1569" t="s">
        <v>8</v>
      </c>
      <c r="S46" s="1570">
        <f t="shared" si="12"/>
        <v>100</v>
      </c>
      <c r="T46" s="1569" t="s">
        <v>8</v>
      </c>
      <c r="U46" s="1570">
        <f t="shared" si="13"/>
        <v>100</v>
      </c>
      <c r="V46" s="1569" t="s">
        <v>8</v>
      </c>
      <c r="W46" s="1570">
        <f t="shared" si="14"/>
        <v>100</v>
      </c>
      <c r="X46" s="1563"/>
      <c r="Y46" s="3409"/>
      <c r="Z46" s="1571">
        <f t="shared" si="15"/>
        <v>111</v>
      </c>
      <c r="AA46" s="1572">
        <f t="shared" si="3"/>
        <v>1</v>
      </c>
      <c r="AB46" s="1572">
        <f t="shared" si="4"/>
        <v>1</v>
      </c>
      <c r="AC46" s="157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80"/>
      <c r="Q47" s="1568">
        <f t="shared" si="11"/>
        <v>111</v>
      </c>
      <c r="R47" s="1569" t="s">
        <v>8</v>
      </c>
      <c r="S47" s="1570">
        <f t="shared" si="12"/>
        <v>100</v>
      </c>
      <c r="T47" s="1569" t="s">
        <v>8</v>
      </c>
      <c r="U47" s="1570">
        <f t="shared" si="13"/>
        <v>100</v>
      </c>
      <c r="V47" s="1569" t="s">
        <v>8</v>
      </c>
      <c r="W47" s="1570">
        <f t="shared" si="14"/>
        <v>100</v>
      </c>
      <c r="X47" s="1563"/>
      <c r="Y47" s="3480"/>
      <c r="Z47" s="1571">
        <f t="shared" si="15"/>
        <v>111</v>
      </c>
      <c r="AA47" s="1572">
        <f t="shared" si="3"/>
        <v>1</v>
      </c>
      <c r="AB47" s="1572">
        <f t="shared" si="4"/>
        <v>1</v>
      </c>
      <c r="AC47" s="1572">
        <f t="shared" si="5"/>
        <v>1</v>
      </c>
    </row>
    <row r="48" spans="1:29" ht="14.4">
      <c r="A48" s="606" t="s">
        <v>732</v>
      </c>
      <c r="B48" s="886"/>
      <c r="C48" s="2648" t="s">
        <v>1</v>
      </c>
      <c r="D48" s="2649"/>
      <c r="E48" s="2650"/>
      <c r="F48" s="2651"/>
      <c r="G48" s="2652"/>
      <c r="H48" s="2653"/>
      <c r="I48" s="2650"/>
      <c r="J48" s="2653"/>
      <c r="K48" s="1607"/>
      <c r="L48" s="2141"/>
      <c r="M48" s="2131"/>
      <c r="N48" s="2131"/>
      <c r="O48" s="2131"/>
      <c r="P48" s="3427" t="str">
        <f>A48</f>
        <v>成交单价（元/平方米）</v>
      </c>
      <c r="Q48" s="3404"/>
      <c r="R48" s="3479">
        <f>E48</f>
        <v>0</v>
      </c>
      <c r="S48" s="3479"/>
      <c r="T48" s="3479">
        <f>G48</f>
        <v>0</v>
      </c>
      <c r="U48" s="3479"/>
      <c r="V48" s="3479">
        <f>I48</f>
        <v>0</v>
      </c>
      <c r="W48" s="3479"/>
      <c r="X48" s="1555"/>
      <c r="Y48" s="1577"/>
      <c r="Z48" s="1555"/>
      <c r="AA48" s="1555"/>
      <c r="AB48" s="1555"/>
      <c r="AC48" s="1555"/>
    </row>
    <row r="49" spans="1:29" ht="15" thickBot="1">
      <c r="A49" s="614" t="s">
        <v>2760</v>
      </c>
      <c r="B49" s="887"/>
      <c r="C49" s="2654" t="e">
        <f>R50</f>
        <v>#DIV/0!</v>
      </c>
      <c r="D49" s="2655"/>
      <c r="E49" s="2656" t="e">
        <f>R49</f>
        <v>#DIV/0!</v>
      </c>
      <c r="F49" s="2656"/>
      <c r="G49" s="2654" t="e">
        <f>T49</f>
        <v>#DIV/0!</v>
      </c>
      <c r="H49" s="2655"/>
      <c r="I49" s="2656" t="e">
        <f>V49</f>
        <v>#DIV/0!</v>
      </c>
      <c r="J49" s="2655"/>
      <c r="K49" s="1608"/>
      <c r="L49" s="2141"/>
      <c r="M49" s="2131"/>
      <c r="N49" s="2131"/>
      <c r="O49" s="2131"/>
      <c r="P49" s="3427" t="str">
        <f>A49</f>
        <v>比较价格（元/平方米）</v>
      </c>
      <c r="Q49" s="3404"/>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5"/>
      <c r="Y49" s="1555"/>
      <c r="Z49" s="1555"/>
      <c r="AA49" s="1555"/>
      <c r="AB49" s="1555"/>
      <c r="AC49" s="1555"/>
    </row>
    <row r="50" spans="1:29" ht="15" thickBot="1">
      <c r="A50" s="620" t="s">
        <v>2927</v>
      </c>
      <c r="B50" s="621"/>
      <c r="C50" s="2657" t="e">
        <f>R50</f>
        <v>#DIV/0!</v>
      </c>
      <c r="D50" s="2657"/>
      <c r="E50" s="2657"/>
      <c r="F50" s="2657"/>
      <c r="G50" s="2657"/>
      <c r="H50" s="2657"/>
      <c r="I50" s="2657"/>
      <c r="J50" s="2657"/>
      <c r="K50" s="1609"/>
      <c r="L50" s="2141"/>
      <c r="M50" s="2131"/>
      <c r="N50" s="2131"/>
      <c r="O50" s="2131"/>
      <c r="P50" s="3484" t="str">
        <f>A50</f>
        <v>估价对象XX用房的比较价格（楼面单价，元/平方米）</v>
      </c>
      <c r="Q50" s="3427"/>
      <c r="R50" s="3478" t="e">
        <f>IF(F1="售价",ROUND(AVERAGE(R49:V49),0),ROUND(AVERAGE(R49:V49),1))</f>
        <v>#DIV/0!</v>
      </c>
      <c r="S50" s="3478"/>
      <c r="T50" s="3478"/>
      <c r="U50" s="3478"/>
      <c r="V50" s="3478"/>
      <c r="W50" s="3478"/>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6" customFormat="1" ht="14.4">
      <c r="A59" s="644" t="s">
        <v>525</v>
      </c>
      <c r="B59" s="645"/>
      <c r="C59" s="2823" t="str">
        <f>YEAR(C7)&amp;"-"&amp;MONTH(C7)</f>
        <v>2018-8</v>
      </c>
      <c r="D59" s="2825">
        <f>EDATE(C59,-1)</f>
        <v>43282</v>
      </c>
      <c r="E59" s="2825">
        <f t="shared" ref="E59:O59" si="16">EDATE(D59,-1)</f>
        <v>43252</v>
      </c>
      <c r="F59" s="2825">
        <f t="shared" si="16"/>
        <v>43221</v>
      </c>
      <c r="G59" s="2825">
        <f t="shared" si="16"/>
        <v>43191</v>
      </c>
      <c r="H59" s="2825">
        <f t="shared" si="16"/>
        <v>43160</v>
      </c>
      <c r="I59" s="2825">
        <f t="shared" si="16"/>
        <v>43132</v>
      </c>
      <c r="J59" s="2825">
        <f t="shared" si="16"/>
        <v>43101</v>
      </c>
      <c r="K59" s="2825">
        <f t="shared" si="16"/>
        <v>43070</v>
      </c>
      <c r="L59" s="2825">
        <f t="shared" si="16"/>
        <v>43040</v>
      </c>
      <c r="M59" s="2825">
        <f t="shared" si="16"/>
        <v>43009</v>
      </c>
      <c r="N59" s="2825">
        <f t="shared" si="16"/>
        <v>42979</v>
      </c>
      <c r="O59" s="2825">
        <f t="shared" si="16"/>
        <v>42948</v>
      </c>
      <c r="P59" s="2208"/>
      <c r="Q59" s="2158"/>
      <c r="R59" s="2158"/>
      <c r="S59" s="2158"/>
      <c r="T59" s="2158"/>
      <c r="U59" s="2158"/>
      <c r="V59" s="2158"/>
      <c r="W59" s="2158"/>
      <c r="X59" s="2158"/>
      <c r="Y59" s="2158"/>
      <c r="Z59" s="2158"/>
      <c r="AA59" s="2158"/>
      <c r="AB59" s="2158"/>
      <c r="AC59" s="2158"/>
    </row>
    <row r="60" spans="1:29" s="1219"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4.4">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4.4"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9.4" thickTop="1">
      <c r="A87" s="708"/>
      <c r="B87" s="672" t="s">
        <v>781</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4.4"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783</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5"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5"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517</v>
      </c>
      <c r="B4" s="512"/>
      <c r="C4" s="3410" t="s">
        <v>518</v>
      </c>
      <c r="D4" s="3411"/>
      <c r="E4" s="3435" t="s">
        <v>519</v>
      </c>
      <c r="F4" s="3436"/>
      <c r="G4" s="3410" t="s">
        <v>520</v>
      </c>
      <c r="H4" s="3411"/>
      <c r="I4" s="3410" t="s">
        <v>521</v>
      </c>
      <c r="J4" s="3411"/>
      <c r="K4" s="513" t="s">
        <v>522</v>
      </c>
      <c r="L4" s="2130"/>
      <c r="M4" s="2131"/>
      <c r="N4" s="2131"/>
      <c r="O4" s="2131"/>
      <c r="P4" s="3412" t="s">
        <v>523</v>
      </c>
      <c r="Q4" s="3413"/>
      <c r="R4" s="3398" t="s">
        <v>519</v>
      </c>
      <c r="S4" s="3399"/>
      <c r="T4" s="3398" t="s">
        <v>520</v>
      </c>
      <c r="U4" s="3399"/>
      <c r="V4" s="3418" t="s">
        <v>521</v>
      </c>
      <c r="W4" s="3418"/>
      <c r="X4" s="1563"/>
      <c r="Y4" s="3398" t="s">
        <v>523</v>
      </c>
      <c r="Z4" s="3399"/>
      <c r="AA4" s="3393" t="s">
        <v>519</v>
      </c>
      <c r="AB4" s="3394" t="s">
        <v>520</v>
      </c>
      <c r="AC4" s="3393" t="s">
        <v>521</v>
      </c>
    </row>
    <row r="5" spans="1:29">
      <c r="A5" s="514"/>
      <c r="B5" s="515"/>
      <c r="C5" s="3423" t="s">
        <v>2921</v>
      </c>
      <c r="D5" s="3422"/>
      <c r="E5" s="3437" t="s">
        <v>2922</v>
      </c>
      <c r="F5" s="3438"/>
      <c r="G5" s="3423" t="s">
        <v>2923</v>
      </c>
      <c r="H5" s="3422"/>
      <c r="I5" s="3423" t="s">
        <v>2924</v>
      </c>
      <c r="J5" s="3422"/>
      <c r="K5" s="513"/>
      <c r="L5" s="2130"/>
      <c r="M5" s="2131"/>
      <c r="N5" s="2131"/>
      <c r="O5" s="2131"/>
      <c r="P5" s="3414"/>
      <c r="Q5" s="3415"/>
      <c r="R5" s="3400"/>
      <c r="S5" s="3401"/>
      <c r="T5" s="3400"/>
      <c r="U5" s="3401"/>
      <c r="V5" s="3418"/>
      <c r="W5" s="3418"/>
      <c r="X5" s="1563"/>
      <c r="Y5" s="3400"/>
      <c r="Z5" s="3401"/>
      <c r="AA5" s="3394"/>
      <c r="AB5" s="3394"/>
      <c r="AC5" s="3394"/>
    </row>
    <row r="6" spans="1:29" ht="15" thickBot="1">
      <c r="A6" s="516"/>
      <c r="B6" s="517"/>
      <c r="C6" s="3419" t="s">
        <v>2925</v>
      </c>
      <c r="D6" s="3420"/>
      <c r="E6" s="3439" t="s">
        <v>2925</v>
      </c>
      <c r="F6" s="3440"/>
      <c r="G6" s="3419" t="s">
        <v>2925</v>
      </c>
      <c r="H6" s="3420"/>
      <c r="I6" s="3419" t="s">
        <v>2925</v>
      </c>
      <c r="J6" s="3420"/>
      <c r="K6" s="513" t="s">
        <v>524</v>
      </c>
      <c r="L6" s="2130"/>
      <c r="M6" s="2131"/>
      <c r="N6" s="2131"/>
      <c r="O6" s="2131"/>
      <c r="P6" s="3416"/>
      <c r="Q6" s="3417"/>
      <c r="R6" s="3400"/>
      <c r="S6" s="3401"/>
      <c r="T6" s="3402"/>
      <c r="U6" s="3403"/>
      <c r="V6" s="3418"/>
      <c r="W6" s="3418"/>
      <c r="X6" s="1563"/>
      <c r="Y6" s="3402"/>
      <c r="Z6" s="3403"/>
      <c r="AA6" s="3395"/>
      <c r="AB6" s="3395"/>
      <c r="AC6" s="3395"/>
    </row>
    <row r="7" spans="1:29" s="1219" customFormat="1" ht="15" thickBot="1">
      <c r="A7" s="2933"/>
      <c r="B7" s="2940" t="s">
        <v>525</v>
      </c>
      <c r="C7" s="518">
        <f>'数据-取费表'!B2</f>
        <v>43340</v>
      </c>
      <c r="D7" s="519">
        <v>100</v>
      </c>
      <c r="E7" s="520"/>
      <c r="F7" s="521">
        <f>SUMIF(52:52,YEAR(E7)&amp;"-"&amp;MONTH(E7),53:53)</f>
        <v>0</v>
      </c>
      <c r="G7" s="520"/>
      <c r="H7" s="519">
        <f>SUMIF(52:52,YEAR(G7)&amp;"-"&amp;MONTH(G7),53:53)</f>
        <v>0</v>
      </c>
      <c r="I7" s="520"/>
      <c r="J7" s="519">
        <f>SUMIF(52:52,YEAR(I7)&amp;"-"&amp;MONTH(I7),53:53)</f>
        <v>0</v>
      </c>
      <c r="K7" s="523"/>
      <c r="L7" s="2132"/>
      <c r="M7" s="2133"/>
      <c r="N7" s="2133"/>
      <c r="O7" s="2133"/>
      <c r="P7" s="3396" t="s">
        <v>526</v>
      </c>
      <c r="Q7" s="3405"/>
      <c r="R7" s="1564" t="s">
        <v>8</v>
      </c>
      <c r="S7" s="1565">
        <f t="shared" ref="S7:S15" si="0">F7</f>
        <v>0</v>
      </c>
      <c r="T7" s="1564" t="s">
        <v>8</v>
      </c>
      <c r="U7" s="1565">
        <f t="shared" ref="U7:U15" si="1">H7</f>
        <v>0</v>
      </c>
      <c r="V7" s="1564" t="s">
        <v>8</v>
      </c>
      <c r="W7" s="1565">
        <f t="shared" ref="W7:W15" si="2">J7</f>
        <v>0</v>
      </c>
      <c r="X7" s="1566"/>
      <c r="Y7" s="3396" t="s">
        <v>526</v>
      </c>
      <c r="Z7" s="3397"/>
      <c r="AA7" s="1567" t="e">
        <f>D7/F7</f>
        <v>#DIV/0!</v>
      </c>
      <c r="AB7" s="1567" t="e">
        <f>D7/H7</f>
        <v>#DIV/0!</v>
      </c>
      <c r="AC7" s="1567" t="e">
        <f>D7/J7</f>
        <v>#DIV/0!</v>
      </c>
    </row>
    <row r="8" spans="1:29" s="1219" customFormat="1" ht="1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396" t="s">
        <v>529</v>
      </c>
      <c r="Q8" s="3397"/>
      <c r="R8" s="1564" t="s">
        <v>8</v>
      </c>
      <c r="S8" s="1565">
        <f t="shared" si="0"/>
        <v>0</v>
      </c>
      <c r="T8" s="1564" t="s">
        <v>8</v>
      </c>
      <c r="U8" s="1565">
        <f t="shared" si="1"/>
        <v>0</v>
      </c>
      <c r="V8" s="1564" t="s">
        <v>8</v>
      </c>
      <c r="W8" s="1565">
        <f t="shared" si="2"/>
        <v>0</v>
      </c>
      <c r="X8" s="1566"/>
      <c r="Y8" s="3396" t="s">
        <v>529</v>
      </c>
      <c r="Z8" s="3397"/>
      <c r="AA8" s="1567" t="e">
        <f t="shared" ref="AA8:AA40" si="3">D8/F8</f>
        <v>#DIV/0!</v>
      </c>
      <c r="AB8" s="1567" t="e">
        <f t="shared" ref="AB8:AB40" si="4">D8/H8</f>
        <v>#DIV/0!</v>
      </c>
      <c r="AC8" s="1567" t="e">
        <f t="shared" ref="AC8:AC40" si="5">D8/J8</f>
        <v>#DIV/0!</v>
      </c>
    </row>
    <row r="9" spans="1:29" s="1219" customFormat="1" ht="14.4">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4" t="s">
        <v>531</v>
      </c>
      <c r="Q9" s="1150" t="str">
        <f t="shared" ref="Q9:Q15" si="6">B9</f>
        <v>用途</v>
      </c>
      <c r="R9" s="1564" t="s">
        <v>8</v>
      </c>
      <c r="S9" s="1565">
        <f t="shared" si="0"/>
        <v>100</v>
      </c>
      <c r="T9" s="1564" t="s">
        <v>8</v>
      </c>
      <c r="U9" s="1565">
        <f t="shared" si="1"/>
        <v>100</v>
      </c>
      <c r="V9" s="1564" t="s">
        <v>8</v>
      </c>
      <c r="W9" s="1565">
        <f t="shared" si="2"/>
        <v>100</v>
      </c>
      <c r="X9" s="1566"/>
      <c r="Y9" s="3361" t="s">
        <v>532</v>
      </c>
      <c r="Z9" s="1149" t="str">
        <f t="shared" ref="Z9:Z15" si="7">Q9</f>
        <v>用途</v>
      </c>
      <c r="AA9" s="1567">
        <f t="shared" si="3"/>
        <v>1</v>
      </c>
      <c r="AB9" s="1567">
        <f t="shared" si="4"/>
        <v>1</v>
      </c>
      <c r="AC9" s="1567">
        <f t="shared" si="5"/>
        <v>1</v>
      </c>
    </row>
    <row r="10" spans="1:29" s="1337" customFormat="1" ht="28.8">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4"/>
      <c r="Q10" s="1150" t="str">
        <f t="shared" si="6"/>
        <v>土地使用年限（年）</v>
      </c>
      <c r="R10" s="1564" t="s">
        <v>8</v>
      </c>
      <c r="S10" s="1565">
        <f t="shared" si="0"/>
        <v>100</v>
      </c>
      <c r="T10" s="1564" t="s">
        <v>8</v>
      </c>
      <c r="U10" s="1565">
        <f t="shared" si="1"/>
        <v>100</v>
      </c>
      <c r="V10" s="1564" t="s">
        <v>8</v>
      </c>
      <c r="W10" s="1565">
        <f t="shared" si="2"/>
        <v>100</v>
      </c>
      <c r="X10" s="1566"/>
      <c r="Y10" s="3361"/>
      <c r="Z10" s="1149"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4"/>
      <c r="Q11" s="1150" t="str">
        <f t="shared" si="6"/>
        <v>容积率</v>
      </c>
      <c r="R11" s="1564" t="s">
        <v>8</v>
      </c>
      <c r="S11" s="1565" t="e">
        <f t="shared" si="0"/>
        <v>#N/A</v>
      </c>
      <c r="T11" s="1564" t="s">
        <v>8</v>
      </c>
      <c r="U11" s="1565" t="e">
        <f t="shared" si="1"/>
        <v>#N/A</v>
      </c>
      <c r="V11" s="1564" t="s">
        <v>8</v>
      </c>
      <c r="W11" s="1565" t="e">
        <f t="shared" si="2"/>
        <v>#N/A</v>
      </c>
      <c r="X11" s="1566"/>
      <c r="Y11" s="3361"/>
      <c r="Z11" s="1149" t="str">
        <f t="shared" si="7"/>
        <v>容积率</v>
      </c>
      <c r="AA11" s="1567" t="e">
        <f t="shared" si="3"/>
        <v>#N/A</v>
      </c>
      <c r="AB11" s="1567" t="e">
        <f t="shared" si="4"/>
        <v>#N/A</v>
      </c>
      <c r="AC11" s="1567" t="e">
        <f t="shared" si="5"/>
        <v>#N/A</v>
      </c>
    </row>
    <row r="12" spans="1:29" s="1219" customFormat="1" ht="15">
      <c r="A12" s="2938"/>
      <c r="B12" s="2944">
        <v>111</v>
      </c>
      <c r="C12" s="527"/>
      <c r="D12" s="537">
        <v>100</v>
      </c>
      <c r="E12" s="538"/>
      <c r="F12" s="254">
        <f>SUMIF(64:64,E12,65:65)-SUMIF(64:64,C12,65:65)+100</f>
        <v>100</v>
      </c>
      <c r="G12" s="919"/>
      <c r="H12" s="254">
        <f>SUMIF(64:64,G12,65:65)-SUMIF(64:64,C12,65:65)+100</f>
        <v>100</v>
      </c>
      <c r="I12" s="879"/>
      <c r="J12" s="254">
        <f>SUMIF(64:64,I12,65:65)-SUMIF(64:64,C12,65:65)+100</f>
        <v>100</v>
      </c>
      <c r="K12" s="580"/>
      <c r="L12" s="2132"/>
      <c r="M12" s="2133"/>
      <c r="N12" s="2133"/>
      <c r="O12" s="2134"/>
      <c r="P12" s="3404"/>
      <c r="Q12" s="1150">
        <f t="shared" si="6"/>
        <v>111</v>
      </c>
      <c r="R12" s="1564" t="s">
        <v>8</v>
      </c>
      <c r="S12" s="1565">
        <f t="shared" si="0"/>
        <v>100</v>
      </c>
      <c r="T12" s="1564" t="s">
        <v>8</v>
      </c>
      <c r="U12" s="1565">
        <f t="shared" si="1"/>
        <v>100</v>
      </c>
      <c r="V12" s="1564" t="s">
        <v>8</v>
      </c>
      <c r="W12" s="1565">
        <f t="shared" si="2"/>
        <v>100</v>
      </c>
      <c r="X12" s="1566"/>
      <c r="Y12" s="3361"/>
      <c r="Z12" s="1149">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9"/>
      <c r="H13" s="539">
        <f>SUMIF(66:66,G13,67:67)-SUMIF(66:66,C13,67:67)+100</f>
        <v>100</v>
      </c>
      <c r="I13" s="879"/>
      <c r="J13" s="539">
        <f>SUMIF(66:66,I13,67:67)-SUMIF(66:66,C13,67:67)+100</f>
        <v>100</v>
      </c>
      <c r="K13" s="580"/>
      <c r="L13" s="2139"/>
      <c r="M13" s="2131"/>
      <c r="N13" s="2131"/>
      <c r="O13" s="2138"/>
      <c r="P13" s="3404"/>
      <c r="Q13" s="1150">
        <f t="shared" si="6"/>
        <v>111</v>
      </c>
      <c r="R13" s="1564" t="s">
        <v>8</v>
      </c>
      <c r="S13" s="1565">
        <f t="shared" si="0"/>
        <v>100</v>
      </c>
      <c r="T13" s="1564" t="s">
        <v>8</v>
      </c>
      <c r="U13" s="1565">
        <f t="shared" si="1"/>
        <v>100</v>
      </c>
      <c r="V13" s="1564" t="s">
        <v>8</v>
      </c>
      <c r="W13" s="1565">
        <f t="shared" si="2"/>
        <v>100</v>
      </c>
      <c r="X13" s="1566"/>
      <c r="Y13" s="3361"/>
      <c r="Z13" s="1149">
        <f t="shared" si="7"/>
        <v>111</v>
      </c>
      <c r="AA13" s="1567">
        <f t="shared" si="3"/>
        <v>1</v>
      </c>
      <c r="AB13" s="1567">
        <f t="shared" si="4"/>
        <v>1</v>
      </c>
      <c r="AC13" s="1567">
        <f t="shared" si="5"/>
        <v>1</v>
      </c>
    </row>
    <row r="14" spans="1:29" ht="15.6"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404"/>
      <c r="Q14" s="1150">
        <f t="shared" si="6"/>
        <v>111</v>
      </c>
      <c r="R14" s="1564" t="s">
        <v>8</v>
      </c>
      <c r="S14" s="1565">
        <f t="shared" si="0"/>
        <v>100</v>
      </c>
      <c r="T14" s="1564" t="s">
        <v>8</v>
      </c>
      <c r="U14" s="1565">
        <f t="shared" si="1"/>
        <v>100</v>
      </c>
      <c r="V14" s="1564" t="s">
        <v>8</v>
      </c>
      <c r="W14" s="1565">
        <f t="shared" si="2"/>
        <v>100</v>
      </c>
      <c r="X14" s="1566"/>
      <c r="Y14" s="3361"/>
      <c r="Z14" s="1149">
        <f t="shared" si="7"/>
        <v>111</v>
      </c>
      <c r="AA14" s="1567">
        <f t="shared" si="3"/>
        <v>1</v>
      </c>
      <c r="AB14" s="1567">
        <f t="shared" si="4"/>
        <v>1</v>
      </c>
      <c r="AC14" s="1567">
        <f t="shared" si="5"/>
        <v>1</v>
      </c>
    </row>
    <row r="15" spans="1:29" ht="82.8">
      <c r="A15" s="2931" t="s">
        <v>2754</v>
      </c>
      <c r="B15" s="166" t="s">
        <v>785</v>
      </c>
      <c r="C15" s="920" t="str">
        <f>估价对象房地状况!G3</f>
        <v>估价对象位于顺义区明珠大街75号，周边工业项目较少，产业集聚程度较差</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06" t="s">
        <v>536</v>
      </c>
      <c r="Q15" s="1568" t="str">
        <f t="shared" si="6"/>
        <v>产业集聚程度</v>
      </c>
      <c r="R15" s="1569" t="s">
        <v>8</v>
      </c>
      <c r="S15" s="1570">
        <f t="shared" si="0"/>
        <v>100</v>
      </c>
      <c r="T15" s="1569" t="s">
        <v>8</v>
      </c>
      <c r="U15" s="1570">
        <f t="shared" si="1"/>
        <v>100</v>
      </c>
      <c r="V15" s="1569" t="s">
        <v>8</v>
      </c>
      <c r="W15" s="1570">
        <f t="shared" si="2"/>
        <v>100</v>
      </c>
      <c r="X15" s="1563"/>
      <c r="Y15" s="3406"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8"/>
      <c r="L16" s="2139"/>
      <c r="M16" s="2131"/>
      <c r="N16" s="2131"/>
      <c r="O16" s="2138"/>
      <c r="P16" s="3407"/>
      <c r="Q16" s="1568"/>
      <c r="R16" s="1569"/>
      <c r="S16" s="1570"/>
      <c r="T16" s="1569"/>
      <c r="U16" s="1570"/>
      <c r="V16" s="1569"/>
      <c r="W16" s="1570"/>
      <c r="X16" s="1563"/>
      <c r="Y16" s="3407"/>
      <c r="Z16" s="1571"/>
      <c r="AA16" s="1572">
        <v>1</v>
      </c>
      <c r="AB16" s="1572">
        <v>1</v>
      </c>
      <c r="AC16" s="1572">
        <v>1</v>
      </c>
    </row>
    <row r="17" spans="1:29" ht="110.4">
      <c r="A17" s="531"/>
      <c r="B17" s="870" t="s">
        <v>292</v>
      </c>
      <c r="C17" s="871" t="str">
        <f>估价对象房地状况!G4</f>
        <v>估价对象周边道路状况、公共交通通达情况：882、顺18、停车便捷程度较好，综合评价交通便捷度较差</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07"/>
      <c r="Q17" s="1568" t="str">
        <f>B17</f>
        <v>交通便捷度</v>
      </c>
      <c r="R17" s="1569" t="s">
        <v>8</v>
      </c>
      <c r="S17" s="1570">
        <f>F17</f>
        <v>100</v>
      </c>
      <c r="T17" s="1569" t="s">
        <v>8</v>
      </c>
      <c r="U17" s="1570">
        <f>H17</f>
        <v>100</v>
      </c>
      <c r="V17" s="1569" t="s">
        <v>8</v>
      </c>
      <c r="W17" s="1570">
        <f>J17</f>
        <v>100</v>
      </c>
      <c r="X17" s="1563"/>
      <c r="Y17" s="3407"/>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9"/>
      <c r="M18" s="2131"/>
      <c r="N18" s="2131"/>
      <c r="O18" s="2138"/>
      <c r="P18" s="3407"/>
      <c r="Q18" s="1568"/>
      <c r="R18" s="1569"/>
      <c r="S18" s="1570"/>
      <c r="T18" s="1569"/>
      <c r="U18" s="1570"/>
      <c r="V18" s="1569"/>
      <c r="W18" s="1570"/>
      <c r="X18" s="1563"/>
      <c r="Y18" s="3407"/>
      <c r="Z18" s="1571"/>
      <c r="AA18" s="1572">
        <v>1</v>
      </c>
      <c r="AB18" s="1572">
        <v>1</v>
      </c>
      <c r="AC18" s="1572">
        <v>1</v>
      </c>
    </row>
    <row r="19" spans="1:29" ht="55.2">
      <c r="A19" s="531"/>
      <c r="B19" s="2624" t="s">
        <v>2546</v>
      </c>
      <c r="C19" s="871" t="str">
        <f>估价对象房地状况!G5</f>
        <v>估价对象所在区域公共配套设施齐备情况较差</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07"/>
      <c r="Q19" s="1568" t="str">
        <f>B19</f>
        <v>公共配套设施</v>
      </c>
      <c r="R19" s="1569" t="s">
        <v>8</v>
      </c>
      <c r="S19" s="1570">
        <f>F19</f>
        <v>100</v>
      </c>
      <c r="T19" s="1569" t="s">
        <v>8</v>
      </c>
      <c r="U19" s="1570">
        <f>H19</f>
        <v>100</v>
      </c>
      <c r="V19" s="1569" t="s">
        <v>8</v>
      </c>
      <c r="W19" s="1570">
        <f>J19</f>
        <v>100</v>
      </c>
      <c r="X19" s="1563"/>
      <c r="Y19" s="3407"/>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8"/>
      <c r="L20" s="2139"/>
      <c r="M20" s="2131"/>
      <c r="N20" s="2131"/>
      <c r="O20" s="2138"/>
      <c r="P20" s="3407"/>
      <c r="Q20" s="1568"/>
      <c r="R20" s="1569"/>
      <c r="S20" s="1570"/>
      <c r="T20" s="1569"/>
      <c r="U20" s="1570"/>
      <c r="V20" s="1569"/>
      <c r="W20" s="1570"/>
      <c r="X20" s="1563"/>
      <c r="Y20" s="3407"/>
      <c r="Z20" s="1571"/>
      <c r="AA20" s="1572">
        <v>1</v>
      </c>
      <c r="AB20" s="1572">
        <v>1</v>
      </c>
      <c r="AC20" s="1572">
        <v>1</v>
      </c>
    </row>
    <row r="21" spans="1:29" ht="15">
      <c r="A21" s="531"/>
      <c r="B21" s="2612" t="s">
        <v>2558</v>
      </c>
      <c r="C21" s="871" t="str">
        <f>估价对象房地状况!G6</f>
        <v>七通</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07"/>
      <c r="Q21" s="2600" t="str">
        <f>B21</f>
        <v>基础设施水平</v>
      </c>
      <c r="R21" s="1569" t="s">
        <v>8</v>
      </c>
      <c r="S21" s="1570">
        <f>F21</f>
        <v>100</v>
      </c>
      <c r="T21" s="1569" t="s">
        <v>8</v>
      </c>
      <c r="U21" s="1570">
        <f>H21</f>
        <v>100</v>
      </c>
      <c r="V21" s="1569" t="s">
        <v>8</v>
      </c>
      <c r="W21" s="1570">
        <f>J21</f>
        <v>100</v>
      </c>
      <c r="X21" s="2602"/>
      <c r="Y21" s="3407"/>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07"/>
      <c r="Q22" s="2600"/>
      <c r="R22" s="1569"/>
      <c r="S22" s="1570"/>
      <c r="T22" s="1569"/>
      <c r="U22" s="1570"/>
      <c r="V22" s="1569"/>
      <c r="W22" s="1570"/>
      <c r="X22" s="2602"/>
      <c r="Y22" s="3407"/>
      <c r="Z22" s="2601"/>
      <c r="AA22" s="1572">
        <v>1</v>
      </c>
      <c r="AB22" s="1572">
        <v>1</v>
      </c>
      <c r="AC22" s="1572">
        <v>1</v>
      </c>
    </row>
    <row r="23" spans="1:29" ht="82.8">
      <c r="A23" s="531"/>
      <c r="B23" s="870" t="s">
        <v>774</v>
      </c>
      <c r="C23" s="871" t="str">
        <f>估价对象房地状况!G7</f>
        <v>该园区内是否有污染型企业，绿化情况，卫生条件，整体环境状况判断一般</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07"/>
      <c r="Q23" s="1568" t="str">
        <f>B23</f>
        <v>环境质量</v>
      </c>
      <c r="R23" s="1569" t="s">
        <v>8</v>
      </c>
      <c r="S23" s="1570">
        <f>F23</f>
        <v>100</v>
      </c>
      <c r="T23" s="1569" t="s">
        <v>8</v>
      </c>
      <c r="U23" s="1570">
        <f>H23</f>
        <v>100</v>
      </c>
      <c r="V23" s="1569" t="s">
        <v>8</v>
      </c>
      <c r="W23" s="1570">
        <f>J23</f>
        <v>100</v>
      </c>
      <c r="X23" s="1563"/>
      <c r="Y23" s="3407"/>
      <c r="Z23" s="1571" t="str">
        <f>Q23</f>
        <v>环境质量</v>
      </c>
      <c r="AA23" s="1572">
        <f t="shared" si="3"/>
        <v>1</v>
      </c>
      <c r="AB23" s="1572">
        <f t="shared" si="4"/>
        <v>1</v>
      </c>
      <c r="AC23" s="1572">
        <f t="shared" si="5"/>
        <v>1</v>
      </c>
    </row>
    <row r="24" spans="1:29" ht="15">
      <c r="A24" s="531"/>
      <c r="B24" s="921"/>
      <c r="C24" s="575"/>
      <c r="D24" s="554"/>
      <c r="E24" s="555"/>
      <c r="F24" s="556"/>
      <c r="G24" s="557"/>
      <c r="H24" s="554"/>
      <c r="I24" s="555"/>
      <c r="J24" s="554"/>
      <c r="K24" s="898"/>
      <c r="L24" s="2139"/>
      <c r="M24" s="2131"/>
      <c r="N24" s="2131"/>
      <c r="O24" s="2138"/>
      <c r="P24" s="3407"/>
      <c r="Q24" s="1568"/>
      <c r="R24" s="1569"/>
      <c r="S24" s="1570"/>
      <c r="T24" s="1569"/>
      <c r="U24" s="1570"/>
      <c r="V24" s="1569"/>
      <c r="W24" s="1570"/>
      <c r="X24" s="1563"/>
      <c r="Y24" s="3407"/>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07"/>
      <c r="Q25" s="1568">
        <f>B25</f>
        <v>111</v>
      </c>
      <c r="R25" s="1569" t="s">
        <v>8</v>
      </c>
      <c r="S25" s="1570">
        <f>F25</f>
        <v>100</v>
      </c>
      <c r="T25" s="1569" t="s">
        <v>8</v>
      </c>
      <c r="U25" s="1570">
        <f>H25</f>
        <v>100</v>
      </c>
      <c r="V25" s="1569" t="s">
        <v>8</v>
      </c>
      <c r="W25" s="1570">
        <f>J25</f>
        <v>100</v>
      </c>
      <c r="X25" s="1563"/>
      <c r="Y25" s="3407"/>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07"/>
      <c r="Q26" s="1568">
        <f t="shared" ref="Q26:Q40" si="11">B26</f>
        <v>111</v>
      </c>
      <c r="R26" s="1569" t="s">
        <v>8</v>
      </c>
      <c r="S26" s="1570">
        <f>F26</f>
        <v>100</v>
      </c>
      <c r="T26" s="1569" t="s">
        <v>8</v>
      </c>
      <c r="U26" s="1570">
        <f>H26</f>
        <v>100</v>
      </c>
      <c r="V26" s="1569" t="s">
        <v>8</v>
      </c>
      <c r="W26" s="1570">
        <f>J26</f>
        <v>100</v>
      </c>
      <c r="X26" s="1563"/>
      <c r="Y26" s="3407"/>
      <c r="Z26" s="1571">
        <f>Q26</f>
        <v>111</v>
      </c>
      <c r="AA26" s="1572">
        <f t="shared" si="3"/>
        <v>1</v>
      </c>
      <c r="AB26" s="1572">
        <f t="shared" si="4"/>
        <v>1</v>
      </c>
      <c r="AC26" s="1572">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07"/>
      <c r="Q27" s="1150">
        <f t="shared" si="11"/>
        <v>111</v>
      </c>
      <c r="R27" s="1564" t="s">
        <v>8</v>
      </c>
      <c r="S27" s="1565">
        <f>F27</f>
        <v>100</v>
      </c>
      <c r="T27" s="1564" t="s">
        <v>8</v>
      </c>
      <c r="U27" s="1565">
        <f>H27</f>
        <v>100</v>
      </c>
      <c r="V27" s="1564" t="s">
        <v>8</v>
      </c>
      <c r="W27" s="1565">
        <f>J27</f>
        <v>100</v>
      </c>
      <c r="X27" s="1566"/>
      <c r="Y27" s="3407"/>
      <c r="Z27" s="1149">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07"/>
      <c r="Q28" s="1568">
        <f t="shared" si="11"/>
        <v>111</v>
      </c>
      <c r="R28" s="1569" t="s">
        <v>8</v>
      </c>
      <c r="S28" s="1570">
        <f t="shared" ref="S28:S40" si="12">F28</f>
        <v>100</v>
      </c>
      <c r="T28" s="1569" t="s">
        <v>8</v>
      </c>
      <c r="U28" s="1570">
        <f t="shared" ref="U28:U40" si="13">H28</f>
        <v>100</v>
      </c>
      <c r="V28" s="1569" t="s">
        <v>8</v>
      </c>
      <c r="W28" s="1570">
        <f t="shared" ref="W28:W40" si="14">J28</f>
        <v>100</v>
      </c>
      <c r="X28" s="1563"/>
      <c r="Y28" s="3407"/>
      <c r="Z28" s="1571">
        <f t="shared" ref="Z28:Z40" si="15">Q28</f>
        <v>111</v>
      </c>
      <c r="AA28" s="1572">
        <f t="shared" si="3"/>
        <v>1</v>
      </c>
      <c r="AB28" s="1572">
        <f t="shared" si="4"/>
        <v>1</v>
      </c>
      <c r="AC28" s="1572">
        <f t="shared" si="5"/>
        <v>1</v>
      </c>
    </row>
    <row r="29" spans="1:29" ht="15">
      <c r="A29" s="2928" t="s">
        <v>2755</v>
      </c>
      <c r="B29" s="172" t="s">
        <v>776</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08" t="s">
        <v>546</v>
      </c>
      <c r="Q29" s="1568" t="str">
        <f t="shared" si="11"/>
        <v>建筑类型</v>
      </c>
      <c r="R29" s="1569" t="s">
        <v>8</v>
      </c>
      <c r="S29" s="1570">
        <f t="shared" si="12"/>
        <v>100</v>
      </c>
      <c r="T29" s="1569" t="s">
        <v>8</v>
      </c>
      <c r="U29" s="1570">
        <f t="shared" si="13"/>
        <v>100</v>
      </c>
      <c r="V29" s="1569" t="s">
        <v>8</v>
      </c>
      <c r="W29" s="1570">
        <f t="shared" si="14"/>
        <v>100</v>
      </c>
      <c r="X29" s="1563"/>
      <c r="Y29" s="3409" t="s">
        <v>546</v>
      </c>
      <c r="Z29" s="1571" t="str">
        <f t="shared" si="15"/>
        <v>建筑类型</v>
      </c>
      <c r="AA29" s="1572">
        <f t="shared" si="3"/>
        <v>1</v>
      </c>
      <c r="AB29" s="1572">
        <f t="shared" si="4"/>
        <v>1</v>
      </c>
      <c r="AC29" s="1572">
        <f t="shared" si="5"/>
        <v>1</v>
      </c>
    </row>
    <row r="30" spans="1:29" s="1338" customFormat="1" ht="15">
      <c r="A30" s="602"/>
      <c r="B30" s="526" t="s">
        <v>722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09"/>
      <c r="Q30" s="1601" t="str">
        <f t="shared" si="11"/>
        <v>项目建筑规模</v>
      </c>
      <c r="R30" s="1573" t="s">
        <v>8</v>
      </c>
      <c r="S30" s="1574" t="e">
        <f t="shared" si="12"/>
        <v>#N/A</v>
      </c>
      <c r="T30" s="1573" t="s">
        <v>8</v>
      </c>
      <c r="U30" s="1574" t="e">
        <f t="shared" si="13"/>
        <v>#N/A</v>
      </c>
      <c r="V30" s="1573" t="s">
        <v>8</v>
      </c>
      <c r="W30" s="1574" t="e">
        <f t="shared" si="14"/>
        <v>#N/A</v>
      </c>
      <c r="X30" s="1575"/>
      <c r="Y30" s="3409"/>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09"/>
      <c r="Q31" s="1568" t="str">
        <f t="shared" si="11"/>
        <v>建筑结构</v>
      </c>
      <c r="R31" s="1569" t="s">
        <v>8</v>
      </c>
      <c r="S31" s="1570">
        <f t="shared" si="12"/>
        <v>100</v>
      </c>
      <c r="T31" s="1569" t="s">
        <v>8</v>
      </c>
      <c r="U31" s="1570">
        <f t="shared" si="13"/>
        <v>100</v>
      </c>
      <c r="V31" s="1569" t="s">
        <v>8</v>
      </c>
      <c r="W31" s="1570">
        <f t="shared" si="14"/>
        <v>100</v>
      </c>
      <c r="X31" s="1563"/>
      <c r="Y31" s="3409"/>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09"/>
      <c r="Q32" s="1568" t="str">
        <f t="shared" si="11"/>
        <v>公共部分装修</v>
      </c>
      <c r="R32" s="1569" t="s">
        <v>8</v>
      </c>
      <c r="S32" s="1570">
        <f t="shared" si="12"/>
        <v>100</v>
      </c>
      <c r="T32" s="1569" t="s">
        <v>8</v>
      </c>
      <c r="U32" s="1570">
        <f t="shared" si="13"/>
        <v>100</v>
      </c>
      <c r="V32" s="1569" t="s">
        <v>8</v>
      </c>
      <c r="W32" s="1570">
        <f t="shared" si="14"/>
        <v>100</v>
      </c>
      <c r="X32" s="1563"/>
      <c r="Y32" s="3409"/>
      <c r="Z32" s="1571" t="str">
        <f t="shared" si="15"/>
        <v>公共部分装修</v>
      </c>
      <c r="AA32" s="1572">
        <f t="shared" si="3"/>
        <v>1</v>
      </c>
      <c r="AB32" s="1572">
        <f t="shared" si="4"/>
        <v>1</v>
      </c>
      <c r="AC32" s="1572">
        <f t="shared" si="5"/>
        <v>1</v>
      </c>
    </row>
    <row r="33" spans="1:29" ht="15">
      <c r="A33" s="593"/>
      <c r="B33" s="526" t="s">
        <v>760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09"/>
      <c r="Q33" s="1568" t="str">
        <f t="shared" si="11"/>
        <v>成新度</v>
      </c>
      <c r="R33" s="1569" t="s">
        <v>8</v>
      </c>
      <c r="S33" s="1570" t="e">
        <f t="shared" si="12"/>
        <v>#N/A</v>
      </c>
      <c r="T33" s="1569" t="s">
        <v>8</v>
      </c>
      <c r="U33" s="1570" t="e">
        <f t="shared" si="13"/>
        <v>#N/A</v>
      </c>
      <c r="V33" s="1569" t="s">
        <v>8</v>
      </c>
      <c r="W33" s="1570" t="e">
        <f t="shared" si="14"/>
        <v>#N/A</v>
      </c>
      <c r="X33" s="1563"/>
      <c r="Y33" s="3409"/>
      <c r="Z33" s="1571" t="str">
        <f t="shared" si="15"/>
        <v>成新度</v>
      </c>
      <c r="AA33" s="1572" t="e">
        <f t="shared" si="3"/>
        <v>#N/A</v>
      </c>
      <c r="AB33" s="1572" t="e">
        <f t="shared" si="4"/>
        <v>#N/A</v>
      </c>
      <c r="AC33" s="1572" t="e">
        <f t="shared" si="5"/>
        <v>#N/A</v>
      </c>
    </row>
    <row r="34" spans="1:29" s="1219"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09"/>
      <c r="Q34" s="1150" t="str">
        <f t="shared" si="11"/>
        <v>物业管理</v>
      </c>
      <c r="R34" s="1564" t="s">
        <v>8</v>
      </c>
      <c r="S34" s="1565">
        <f t="shared" si="12"/>
        <v>100</v>
      </c>
      <c r="T34" s="1564" t="s">
        <v>8</v>
      </c>
      <c r="U34" s="1565">
        <f t="shared" si="13"/>
        <v>100</v>
      </c>
      <c r="V34" s="1564" t="s">
        <v>8</v>
      </c>
      <c r="W34" s="1565">
        <f t="shared" si="14"/>
        <v>100</v>
      </c>
      <c r="X34" s="1566"/>
      <c r="Y34" s="3409"/>
      <c r="Z34" s="1149"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09" t="s">
        <v>546</v>
      </c>
      <c r="Q35" s="1568" t="str">
        <f t="shared" si="11"/>
        <v>市政基础设施</v>
      </c>
      <c r="R35" s="1569" t="s">
        <v>8</v>
      </c>
      <c r="S35" s="1570">
        <f t="shared" si="12"/>
        <v>100</v>
      </c>
      <c r="T35" s="1569" t="s">
        <v>8</v>
      </c>
      <c r="U35" s="1570">
        <f t="shared" si="13"/>
        <v>100</v>
      </c>
      <c r="V35" s="1569" t="s">
        <v>8</v>
      </c>
      <c r="W35" s="1570">
        <f t="shared" si="14"/>
        <v>100</v>
      </c>
      <c r="X35" s="1563"/>
      <c r="Y35" s="3409"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09"/>
      <c r="Q36" s="1568" t="str">
        <f t="shared" si="11"/>
        <v>内部装修</v>
      </c>
      <c r="R36" s="1569" t="s">
        <v>8</v>
      </c>
      <c r="S36" s="1570">
        <f t="shared" si="12"/>
        <v>100</v>
      </c>
      <c r="T36" s="1569" t="s">
        <v>8</v>
      </c>
      <c r="U36" s="1570">
        <f t="shared" si="13"/>
        <v>100</v>
      </c>
      <c r="V36" s="1569" t="s">
        <v>8</v>
      </c>
      <c r="W36" s="1570">
        <f t="shared" si="14"/>
        <v>100</v>
      </c>
      <c r="X36" s="1563"/>
      <c r="Y36" s="3409"/>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09"/>
      <c r="Q37" s="1568" t="str">
        <f t="shared" si="11"/>
        <v>内部装修状况</v>
      </c>
      <c r="R37" s="1569" t="s">
        <v>8</v>
      </c>
      <c r="S37" s="1570">
        <f t="shared" si="12"/>
        <v>100</v>
      </c>
      <c r="T37" s="1569" t="s">
        <v>8</v>
      </c>
      <c r="U37" s="1570">
        <f t="shared" si="13"/>
        <v>100</v>
      </c>
      <c r="V37" s="1569" t="s">
        <v>8</v>
      </c>
      <c r="W37" s="1570">
        <f t="shared" si="14"/>
        <v>100</v>
      </c>
      <c r="X37" s="1563"/>
      <c r="Y37" s="3409"/>
      <c r="Z37" s="1571" t="str">
        <f t="shared" si="15"/>
        <v>内部装修状况</v>
      </c>
      <c r="AA37" s="1572">
        <f t="shared" si="3"/>
        <v>1</v>
      </c>
      <c r="AB37" s="1572">
        <f t="shared" si="4"/>
        <v>1</v>
      </c>
      <c r="AC37" s="1572">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09"/>
      <c r="Q38" s="1601">
        <f t="shared" si="11"/>
        <v>111</v>
      </c>
      <c r="R38" s="1573" t="s">
        <v>8</v>
      </c>
      <c r="S38" s="1574">
        <f t="shared" si="12"/>
        <v>100</v>
      </c>
      <c r="T38" s="1573" t="s">
        <v>8</v>
      </c>
      <c r="U38" s="1574">
        <f t="shared" si="13"/>
        <v>100</v>
      </c>
      <c r="V38" s="1573" t="s">
        <v>8</v>
      </c>
      <c r="W38" s="1574">
        <f t="shared" si="14"/>
        <v>100</v>
      </c>
      <c r="X38" s="1575"/>
      <c r="Y38" s="3409"/>
      <c r="Z38" s="1576">
        <f t="shared" si="15"/>
        <v>111</v>
      </c>
      <c r="AA38" s="1572">
        <f t="shared" si="3"/>
        <v>1</v>
      </c>
      <c r="AB38" s="1572">
        <f t="shared" si="4"/>
        <v>1</v>
      </c>
      <c r="AC38" s="157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09"/>
      <c r="Q39" s="1568">
        <f t="shared" si="11"/>
        <v>111</v>
      </c>
      <c r="R39" s="1569" t="s">
        <v>8</v>
      </c>
      <c r="S39" s="1570">
        <f t="shared" si="12"/>
        <v>100</v>
      </c>
      <c r="T39" s="1569" t="s">
        <v>8</v>
      </c>
      <c r="U39" s="1570">
        <f t="shared" si="13"/>
        <v>100</v>
      </c>
      <c r="V39" s="1569" t="s">
        <v>8</v>
      </c>
      <c r="W39" s="1570">
        <f t="shared" si="14"/>
        <v>100</v>
      </c>
      <c r="X39" s="1563"/>
      <c r="Y39" s="3409"/>
      <c r="Z39" s="1571">
        <f t="shared" si="15"/>
        <v>111</v>
      </c>
      <c r="AA39" s="1572">
        <f t="shared" si="3"/>
        <v>1</v>
      </c>
      <c r="AB39" s="1572">
        <f t="shared" si="4"/>
        <v>1</v>
      </c>
      <c r="AC39" s="157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80"/>
      <c r="Q40" s="1568">
        <f t="shared" si="11"/>
        <v>111</v>
      </c>
      <c r="R40" s="1569" t="s">
        <v>8</v>
      </c>
      <c r="S40" s="1570">
        <f t="shared" si="12"/>
        <v>100</v>
      </c>
      <c r="T40" s="1569" t="s">
        <v>8</v>
      </c>
      <c r="U40" s="1570">
        <f t="shared" si="13"/>
        <v>100</v>
      </c>
      <c r="V40" s="1569" t="s">
        <v>8</v>
      </c>
      <c r="W40" s="1570">
        <f t="shared" si="14"/>
        <v>100</v>
      </c>
      <c r="X40" s="1563"/>
      <c r="Y40" s="3480"/>
      <c r="Z40" s="1571">
        <f t="shared" si="15"/>
        <v>111</v>
      </c>
      <c r="AA40" s="1572">
        <f t="shared" si="3"/>
        <v>1</v>
      </c>
      <c r="AB40" s="1572">
        <f t="shared" si="4"/>
        <v>1</v>
      </c>
      <c r="AC40" s="1572">
        <f t="shared" si="5"/>
        <v>1</v>
      </c>
    </row>
    <row r="41" spans="1:29" ht="14.4">
      <c r="A41" s="606" t="s">
        <v>732</v>
      </c>
      <c r="B41" s="886"/>
      <c r="C41" s="2648" t="s">
        <v>1</v>
      </c>
      <c r="D41" s="2649"/>
      <c r="E41" s="2650"/>
      <c r="F41" s="2651"/>
      <c r="G41" s="2652"/>
      <c r="H41" s="2653"/>
      <c r="I41" s="2650"/>
      <c r="J41" s="2653"/>
      <c r="K41" s="1607"/>
      <c r="L41" s="2141"/>
      <c r="M41" s="2142"/>
      <c r="N41" s="2131"/>
      <c r="O41" s="2142"/>
      <c r="P41" s="3404" t="str">
        <f>A41</f>
        <v>成交单价（元/平方米）</v>
      </c>
      <c r="Q41" s="3404"/>
      <c r="R41" s="3479">
        <f>E41</f>
        <v>0</v>
      </c>
      <c r="S41" s="3479"/>
      <c r="T41" s="3479">
        <f>G41</f>
        <v>0</v>
      </c>
      <c r="U41" s="3479"/>
      <c r="V41" s="3479">
        <f>I41</f>
        <v>0</v>
      </c>
      <c r="W41" s="3479"/>
      <c r="X41" s="1555"/>
      <c r="Y41" s="1577"/>
      <c r="Z41" s="1555"/>
      <c r="AA41" s="1555"/>
      <c r="AB41" s="1555"/>
      <c r="AC41" s="1555"/>
    </row>
    <row r="42" spans="1:29" ht="15" thickBot="1">
      <c r="A42" s="614" t="s">
        <v>2760</v>
      </c>
      <c r="B42" s="887"/>
      <c r="C42" s="2654" t="e">
        <f>R43</f>
        <v>#DIV/0!</v>
      </c>
      <c r="D42" s="2655"/>
      <c r="E42" s="2656" t="e">
        <f>R42</f>
        <v>#DIV/0!</v>
      </c>
      <c r="F42" s="2656"/>
      <c r="G42" s="2654" t="e">
        <f>T42</f>
        <v>#DIV/0!</v>
      </c>
      <c r="H42" s="2655"/>
      <c r="I42" s="2656" t="e">
        <f>V42</f>
        <v>#DIV/0!</v>
      </c>
      <c r="J42" s="2655"/>
      <c r="K42" s="1608"/>
      <c r="L42" s="2141"/>
      <c r="M42" s="2142"/>
      <c r="N42" s="2131"/>
      <c r="O42" s="2142"/>
      <c r="P42" s="3404" t="str">
        <f>A42</f>
        <v>比较价格（元/平方米）</v>
      </c>
      <c r="Q42" s="3404"/>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5"/>
      <c r="Y42" s="1555"/>
      <c r="Z42" s="1555"/>
      <c r="AA42" s="1555"/>
      <c r="AB42" s="1555"/>
      <c r="AC42" s="1555"/>
    </row>
    <row r="43" spans="1:29" ht="15" thickBot="1">
      <c r="A43" s="620" t="s">
        <v>2927</v>
      </c>
      <c r="B43" s="621"/>
      <c r="C43" s="2657" t="e">
        <f>R43</f>
        <v>#DIV/0!</v>
      </c>
      <c r="D43" s="2657"/>
      <c r="E43" s="2657"/>
      <c r="F43" s="2657"/>
      <c r="G43" s="2657"/>
      <c r="H43" s="2657"/>
      <c r="I43" s="2657"/>
      <c r="J43" s="2657"/>
      <c r="K43" s="1609"/>
      <c r="L43" s="2141"/>
      <c r="M43" s="2142"/>
      <c r="N43" s="2142"/>
      <c r="O43" s="2142"/>
      <c r="P43" s="3426" t="str">
        <f>A43</f>
        <v>估价对象XX用房的比较价格（楼面单价，元/平方米）</v>
      </c>
      <c r="Q43" s="3427"/>
      <c r="R43" s="3478" t="e">
        <f>IF(F1="售价",ROUND(AVERAGE(R42:V42),0),ROUND(AVERAGE(R42:V42),1))</f>
        <v>#DIV/0!</v>
      </c>
      <c r="S43" s="3478"/>
      <c r="T43" s="3478"/>
      <c r="U43" s="3478"/>
      <c r="V43" s="3478"/>
      <c r="W43" s="3478"/>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6" customFormat="1" ht="14.4">
      <c r="A52" s="644" t="s">
        <v>525</v>
      </c>
      <c r="B52" s="645"/>
      <c r="C52" s="2823" t="str">
        <f>YEAR(C7)&amp;"-"&amp;MONTH(C7)</f>
        <v>2018-8</v>
      </c>
      <c r="D52" s="2825">
        <f>EDATE(C52,-1)</f>
        <v>43282</v>
      </c>
      <c r="E52" s="2825">
        <f t="shared" ref="E52:O52" si="16">EDATE(D52,-1)</f>
        <v>43252</v>
      </c>
      <c r="F52" s="2825">
        <f t="shared" si="16"/>
        <v>43221</v>
      </c>
      <c r="G52" s="2825">
        <f t="shared" si="16"/>
        <v>43191</v>
      </c>
      <c r="H52" s="2825">
        <f t="shared" si="16"/>
        <v>43160</v>
      </c>
      <c r="I52" s="2825">
        <f t="shared" si="16"/>
        <v>43132</v>
      </c>
      <c r="J52" s="2825">
        <f t="shared" si="16"/>
        <v>43101</v>
      </c>
      <c r="K52" s="2825">
        <f t="shared" si="16"/>
        <v>43070</v>
      </c>
      <c r="L52" s="2825">
        <f t="shared" si="16"/>
        <v>43040</v>
      </c>
      <c r="M52" s="2825">
        <f t="shared" si="16"/>
        <v>43009</v>
      </c>
      <c r="N52" s="2825">
        <f t="shared" si="16"/>
        <v>42979</v>
      </c>
      <c r="O52" s="2825">
        <f t="shared" si="16"/>
        <v>42948</v>
      </c>
      <c r="P52" s="2157"/>
      <c r="Q52" s="2158"/>
      <c r="R52" s="2158"/>
      <c r="S52" s="2158"/>
      <c r="T52" s="2158"/>
      <c r="U52" s="2158"/>
      <c r="V52" s="2158"/>
      <c r="W52" s="2158"/>
      <c r="X52" s="2158"/>
      <c r="Y52" s="2158"/>
      <c r="Z52" s="2158"/>
      <c r="AA52" s="2158"/>
      <c r="AB52" s="2158"/>
      <c r="AC52" s="2158"/>
    </row>
    <row r="53" spans="1:29" s="1219"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4.4">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2558</v>
      </c>
      <c r="C76" s="2619" t="s">
        <v>2559</v>
      </c>
      <c r="D76" s="2619" t="s">
        <v>2560</v>
      </c>
      <c r="E76" s="2619" t="s">
        <v>2561</v>
      </c>
      <c r="F76" s="2619" t="s">
        <v>2562</v>
      </c>
      <c r="G76" s="2619" t="s">
        <v>2563</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4.4"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4.4"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4.4"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6"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16" stopIfTrue="1" operator="containsText" text="超过">
      <formula>NOT(ISERROR(SEARCH("超过",F46)))</formula>
    </cfRule>
  </conditionalFormatting>
  <conditionalFormatting sqref="H48">
    <cfRule type="containsText" dxfId="54" priority="15" stopIfTrue="1" operator="containsText" text="超过">
      <formula>NOT(ISERROR(SEARCH("超过",H48)))</formula>
    </cfRule>
  </conditionalFormatting>
  <conditionalFormatting sqref="F48">
    <cfRule type="containsText" dxfId="53" priority="14" stopIfTrue="1" operator="containsText" text="超过">
      <formula>NOT(ISERROR(SEARCH("超过",F48)))</formula>
    </cfRule>
  </conditionalFormatting>
  <conditionalFormatting sqref="F47 H47">
    <cfRule type="containsText" dxfId="52" priority="13" stopIfTrue="1" operator="containsText" text="超过">
      <formula>NOT(ISERROR(SEARCH("超过",F47)))</formula>
    </cfRule>
  </conditionalFormatting>
  <conditionalFormatting sqref="E46">
    <cfRule type="expression" dxfId="51" priority="12" stopIfTrue="1">
      <formula>$F$46="超过30%"</formula>
    </cfRule>
  </conditionalFormatting>
  <conditionalFormatting sqref="E47">
    <cfRule type="expression" dxfId="50" priority="11" stopIfTrue="1">
      <formula>$F$47="超过20%"</formula>
    </cfRule>
  </conditionalFormatting>
  <conditionalFormatting sqref="E48">
    <cfRule type="expression" dxfId="49" priority="10" stopIfTrue="1">
      <formula>$F$48="超过30%"</formula>
    </cfRule>
  </conditionalFormatting>
  <conditionalFormatting sqref="G48">
    <cfRule type="expression" dxfId="48" priority="9" stopIfTrue="1">
      <formula>$H$48="超过30%"</formula>
    </cfRule>
  </conditionalFormatting>
  <conditionalFormatting sqref="G46">
    <cfRule type="expression" dxfId="47" priority="8" stopIfTrue="1">
      <formula>$H$46="超过30%"</formula>
    </cfRule>
  </conditionalFormatting>
  <conditionalFormatting sqref="G47">
    <cfRule type="expression" dxfId="46" priority="7" stopIfTrue="1">
      <formula>$H$47="超过20%"</formula>
    </cfRule>
  </conditionalFormatting>
  <conditionalFormatting sqref="J46">
    <cfRule type="containsText" dxfId="45" priority="6" stopIfTrue="1" operator="containsText" text="超过">
      <formula>NOT(ISERROR(SEARCH("超过",J46)))</formula>
    </cfRule>
  </conditionalFormatting>
  <conditionalFormatting sqref="J48">
    <cfRule type="containsText" dxfId="44" priority="5" stopIfTrue="1" operator="containsText" text="超过">
      <formula>NOT(ISERROR(SEARCH("超过",J48)))</formula>
    </cfRule>
  </conditionalFormatting>
  <conditionalFormatting sqref="J47">
    <cfRule type="containsText" dxfId="43" priority="4" stopIfTrue="1" operator="containsText" text="超过">
      <formula>NOT(ISERROR(SEARCH("超过",J47)))</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D38" sqref="D38"/>
    </sheetView>
  </sheetViews>
  <sheetFormatPr defaultColWidth="9" defaultRowHeight="13.8"/>
  <cols>
    <col min="1" max="1" width="10.44140625" style="1336" customWidth="1"/>
    <col min="2" max="2" width="15.77734375" style="1336" customWidth="1"/>
    <col min="3" max="3" width="19.66406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714</v>
      </c>
      <c r="B1" s="922" t="s">
        <v>3057</v>
      </c>
      <c r="C1" s="503" t="s">
        <v>788</v>
      </c>
      <c r="D1" s="848" t="s">
        <v>35</v>
      </c>
      <c r="E1" s="505"/>
      <c r="F1" s="2828" t="s">
        <v>3092</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790</v>
      </c>
      <c r="B2" s="849">
        <f>IF(B37="元/平方米",ROUND(B3*D3/10000,0),ROUND(F3*C39/10000,0))</f>
        <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thickBot="1">
      <c r="A3" s="508" t="s">
        <v>791</v>
      </c>
      <c r="B3" s="509" t="e">
        <f>IF(B37="元/平方米",C39,ROUND(B2*10000/D3,0))</f>
        <v>#DIV/0!</v>
      </c>
      <c r="C3" s="851" t="s">
        <v>792</v>
      </c>
      <c r="D3" s="850">
        <f>SUMIF('数据-汇总表'!$C19:$C33,D1,'数据-汇总表'!$E19:$E33)</f>
        <v>0</v>
      </c>
      <c r="E3" s="1845" t="s">
        <v>2075</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10" t="s">
        <v>794</v>
      </c>
      <c r="D4" s="3411"/>
      <c r="E4" s="3410" t="s">
        <v>795</v>
      </c>
      <c r="F4" s="3411"/>
      <c r="G4" s="3410" t="s">
        <v>796</v>
      </c>
      <c r="H4" s="3411"/>
      <c r="I4" s="3410" t="s">
        <v>797</v>
      </c>
      <c r="J4" s="3411"/>
      <c r="K4" s="513" t="s">
        <v>798</v>
      </c>
      <c r="L4" s="2130"/>
      <c r="M4" s="2131"/>
      <c r="N4" s="2131"/>
      <c r="O4" s="2131"/>
      <c r="P4" s="3412" t="s">
        <v>799</v>
      </c>
      <c r="Q4" s="3413"/>
      <c r="R4" s="3398" t="s">
        <v>795</v>
      </c>
      <c r="S4" s="3399"/>
      <c r="T4" s="3398" t="s">
        <v>796</v>
      </c>
      <c r="U4" s="3399"/>
      <c r="V4" s="3418" t="s">
        <v>797</v>
      </c>
      <c r="W4" s="3418"/>
      <c r="X4" s="1563"/>
      <c r="Y4" s="3398" t="s">
        <v>799</v>
      </c>
      <c r="Z4" s="3399"/>
      <c r="AA4" s="3393" t="s">
        <v>795</v>
      </c>
      <c r="AB4" s="3394" t="s">
        <v>796</v>
      </c>
      <c r="AC4" s="3393" t="s">
        <v>797</v>
      </c>
    </row>
    <row r="5" spans="1:29">
      <c r="A5" s="514"/>
      <c r="B5" s="515"/>
      <c r="C5" s="3423" t="s">
        <v>2921</v>
      </c>
      <c r="D5" s="3422"/>
      <c r="E5" s="3485" t="s">
        <v>3096</v>
      </c>
      <c r="F5" s="3422"/>
      <c r="G5" s="3485" t="s">
        <v>3097</v>
      </c>
      <c r="H5" s="3422"/>
      <c r="I5" s="3485" t="s">
        <v>3098</v>
      </c>
      <c r="J5" s="3422"/>
      <c r="K5" s="513"/>
      <c r="L5" s="2130"/>
      <c r="M5" s="2131"/>
      <c r="N5" s="2131"/>
      <c r="O5" s="2131"/>
      <c r="P5" s="3414"/>
      <c r="Q5" s="3415"/>
      <c r="R5" s="3400"/>
      <c r="S5" s="3401"/>
      <c r="T5" s="3400"/>
      <c r="U5" s="3401"/>
      <c r="V5" s="3418"/>
      <c r="W5" s="3418"/>
      <c r="X5" s="1563"/>
      <c r="Y5" s="3400"/>
      <c r="Z5" s="3401"/>
      <c r="AA5" s="3394"/>
      <c r="AB5" s="3394"/>
      <c r="AC5" s="3394"/>
    </row>
    <row r="6" spans="1:29" ht="15" thickBot="1">
      <c r="A6" s="516"/>
      <c r="B6" s="517"/>
      <c r="C6" s="3419" t="s">
        <v>2925</v>
      </c>
      <c r="D6" s="3420"/>
      <c r="E6" s="3424" t="s">
        <v>2925</v>
      </c>
      <c r="F6" s="3425"/>
      <c r="G6" s="3419" t="s">
        <v>2925</v>
      </c>
      <c r="H6" s="3420"/>
      <c r="I6" s="3419" t="s">
        <v>2925</v>
      </c>
      <c r="J6" s="3420"/>
      <c r="K6" s="513" t="s">
        <v>524</v>
      </c>
      <c r="L6" s="2130"/>
      <c r="M6" s="2131"/>
      <c r="N6" s="2131"/>
      <c r="O6" s="2131"/>
      <c r="P6" s="3416"/>
      <c r="Q6" s="3417"/>
      <c r="R6" s="3400"/>
      <c r="S6" s="3401"/>
      <c r="T6" s="3402"/>
      <c r="U6" s="3403"/>
      <c r="V6" s="3418"/>
      <c r="W6" s="3418"/>
      <c r="X6" s="1563"/>
      <c r="Y6" s="3402"/>
      <c r="Z6" s="3403"/>
      <c r="AA6" s="3395"/>
      <c r="AB6" s="3395"/>
      <c r="AC6" s="3395"/>
    </row>
    <row r="7" spans="1:29" s="1219" customFormat="1" ht="15" thickBot="1">
      <c r="A7" s="2933"/>
      <c r="B7" s="2940" t="s">
        <v>525</v>
      </c>
      <c r="C7" s="518">
        <f>'数据-取费表'!B2</f>
        <v>43340</v>
      </c>
      <c r="D7" s="519">
        <v>100</v>
      </c>
      <c r="E7" s="520">
        <v>43221</v>
      </c>
      <c r="F7" s="521">
        <f>SUMIF(48:48,YEAR(E7)&amp;"-"&amp;MONTH(E7),49:49)</f>
        <v>99.5</v>
      </c>
      <c r="G7" s="522">
        <v>43160</v>
      </c>
      <c r="H7" s="519">
        <f>SUMIF(48:48,YEAR(G7)&amp;"-"&amp;MONTH(G7),49:49)</f>
        <v>99</v>
      </c>
      <c r="I7" s="522">
        <v>43221</v>
      </c>
      <c r="J7" s="519">
        <f>SUMIF(48:48,YEAR(I7)&amp;"-"&amp;MONTH(I7),49:49)</f>
        <v>99.5</v>
      </c>
      <c r="K7" s="523"/>
      <c r="L7" s="2132"/>
      <c r="M7" s="2133"/>
      <c r="N7" s="2133"/>
      <c r="O7" s="2133"/>
      <c r="P7" s="3396" t="s">
        <v>526</v>
      </c>
      <c r="Q7" s="3405"/>
      <c r="R7" s="1564" t="s">
        <v>8</v>
      </c>
      <c r="S7" s="1565">
        <f t="shared" ref="S7:S14" si="0">F7</f>
        <v>99.5</v>
      </c>
      <c r="T7" s="1564" t="s">
        <v>8</v>
      </c>
      <c r="U7" s="1565">
        <f t="shared" ref="U7:U14" si="1">H7</f>
        <v>99</v>
      </c>
      <c r="V7" s="1564" t="s">
        <v>8</v>
      </c>
      <c r="W7" s="1565">
        <f t="shared" ref="W7:W14" si="2">J7</f>
        <v>99.5</v>
      </c>
      <c r="X7" s="1566"/>
      <c r="Y7" s="3396" t="s">
        <v>526</v>
      </c>
      <c r="Z7" s="3397"/>
      <c r="AA7" s="1567">
        <f>D7/F7</f>
        <v>1.0050251256281406</v>
      </c>
      <c r="AB7" s="1567">
        <f>D7/H7</f>
        <v>1.0101010101010102</v>
      </c>
      <c r="AC7" s="1567">
        <f>D7/J7</f>
        <v>1.0050251256281406</v>
      </c>
    </row>
    <row r="8" spans="1:29" s="1219" customFormat="1" ht="1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396" t="s">
        <v>529</v>
      </c>
      <c r="Q8" s="3397"/>
      <c r="R8" s="1564" t="s">
        <v>8</v>
      </c>
      <c r="S8" s="1565">
        <f t="shared" si="0"/>
        <v>100</v>
      </c>
      <c r="T8" s="1564" t="s">
        <v>8</v>
      </c>
      <c r="U8" s="1565">
        <f t="shared" si="1"/>
        <v>100</v>
      </c>
      <c r="V8" s="1564" t="s">
        <v>8</v>
      </c>
      <c r="W8" s="1565">
        <f t="shared" si="2"/>
        <v>100</v>
      </c>
      <c r="X8" s="1566"/>
      <c r="Y8" s="3396" t="s">
        <v>529</v>
      </c>
      <c r="Z8" s="3397"/>
      <c r="AA8" s="1567">
        <f t="shared" ref="AA8:AA36" si="3">D8/F8</f>
        <v>1</v>
      </c>
      <c r="AB8" s="1567">
        <f t="shared" ref="AB8:AB36" si="4">D8/H8</f>
        <v>1</v>
      </c>
      <c r="AC8" s="1567">
        <f t="shared" ref="AC8:AC36" si="5">D8/J8</f>
        <v>1</v>
      </c>
    </row>
    <row r="9" spans="1:29" s="1219" customFormat="1" ht="14.4">
      <c r="A9" s="2935"/>
      <c r="B9" s="2942" t="s">
        <v>2756</v>
      </c>
      <c r="C9" s="3205" t="s">
        <v>3093</v>
      </c>
      <c r="D9" s="253">
        <v>100</v>
      </c>
      <c r="E9" s="859" t="s">
        <v>3057</v>
      </c>
      <c r="F9" s="253">
        <f>SUMIF(53:53,E9,54:54)-SUMIF(53:53,C9,54:54)+100</f>
        <v>100</v>
      </c>
      <c r="G9" s="859" t="s">
        <v>3057</v>
      </c>
      <c r="H9" s="253">
        <f>SUMIF(53:53,G9,54:54)-SUMIF(53:53,C9,54:54)+100</f>
        <v>100</v>
      </c>
      <c r="I9" s="859" t="s">
        <v>3057</v>
      </c>
      <c r="J9" s="253">
        <f>SUMIF(53:53,I9,54:54)-SUMIF(53:53,C9,54:54)+100</f>
        <v>100</v>
      </c>
      <c r="K9" s="523"/>
      <c r="L9" s="2132"/>
      <c r="M9" s="2133"/>
      <c r="N9" s="2133"/>
      <c r="O9" s="2134"/>
      <c r="P9" s="3404" t="s">
        <v>531</v>
      </c>
      <c r="Q9" s="1150" t="str">
        <f t="shared" ref="Q9:Q14" si="6">B9</f>
        <v>用途</v>
      </c>
      <c r="R9" s="1564" t="s">
        <v>8</v>
      </c>
      <c r="S9" s="1565">
        <f t="shared" si="0"/>
        <v>100</v>
      </c>
      <c r="T9" s="1564" t="s">
        <v>8</v>
      </c>
      <c r="U9" s="1565">
        <f t="shared" si="1"/>
        <v>100</v>
      </c>
      <c r="V9" s="1564" t="s">
        <v>8</v>
      </c>
      <c r="W9" s="1565">
        <f t="shared" si="2"/>
        <v>100</v>
      </c>
      <c r="X9" s="1566"/>
      <c r="Y9" s="3361" t="s">
        <v>532</v>
      </c>
      <c r="Z9" s="1149" t="str">
        <f t="shared" ref="Z9:Z14" si="7">Q9</f>
        <v>用途</v>
      </c>
      <c r="AA9" s="1567">
        <f t="shared" si="3"/>
        <v>1</v>
      </c>
      <c r="AB9" s="1567">
        <f t="shared" si="4"/>
        <v>1</v>
      </c>
      <c r="AC9" s="1567">
        <f t="shared" si="5"/>
        <v>1</v>
      </c>
    </row>
    <row r="10" spans="1:29" s="1337" customFormat="1" ht="28.8">
      <c r="A10" s="2936"/>
      <c r="B10" s="2941" t="s">
        <v>2757</v>
      </c>
      <c r="C10" s="860" t="s">
        <v>3094</v>
      </c>
      <c r="D10" s="254">
        <v>100</v>
      </c>
      <c r="E10" s="860" t="s">
        <v>3094</v>
      </c>
      <c r="F10" s="254">
        <f>SUMIF(55:55,E10,56:56)-SUMIF(55:55,C10,56:56)+100</f>
        <v>100</v>
      </c>
      <c r="G10" s="860" t="s">
        <v>3094</v>
      </c>
      <c r="H10" s="254">
        <f>SUMIF(55:55,G10,56:56)-SUMIF(55:55,C10,56:56)+100</f>
        <v>100</v>
      </c>
      <c r="I10" s="860" t="s">
        <v>3094</v>
      </c>
      <c r="J10" s="254">
        <f>SUMIF(55:55,I10,56:56)-SUMIF(55:55,C10,56:56)+100</f>
        <v>100</v>
      </c>
      <c r="K10" s="583">
        <v>1</v>
      </c>
      <c r="L10" s="2135"/>
      <c r="M10" s="2175"/>
      <c r="N10" s="2175"/>
      <c r="O10" s="2136"/>
      <c r="P10" s="3404"/>
      <c r="Q10" s="1150" t="str">
        <f t="shared" si="6"/>
        <v>土地使用年限（年）</v>
      </c>
      <c r="R10" s="1564" t="s">
        <v>8</v>
      </c>
      <c r="S10" s="1565">
        <f t="shared" si="0"/>
        <v>100</v>
      </c>
      <c r="T10" s="1564" t="s">
        <v>8</v>
      </c>
      <c r="U10" s="1565">
        <f t="shared" si="1"/>
        <v>100</v>
      </c>
      <c r="V10" s="1564" t="s">
        <v>8</v>
      </c>
      <c r="W10" s="1565">
        <f t="shared" si="2"/>
        <v>100</v>
      </c>
      <c r="X10" s="1566"/>
      <c r="Y10" s="3361"/>
      <c r="Z10" s="1149"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4"/>
      <c r="Q11" s="1150">
        <f t="shared" si="6"/>
        <v>111</v>
      </c>
      <c r="R11" s="1564" t="s">
        <v>8</v>
      </c>
      <c r="S11" s="1565">
        <f t="shared" si="0"/>
        <v>100</v>
      </c>
      <c r="T11" s="1564" t="s">
        <v>8</v>
      </c>
      <c r="U11" s="1565">
        <f t="shared" si="1"/>
        <v>100</v>
      </c>
      <c r="V11" s="1564" t="s">
        <v>8</v>
      </c>
      <c r="W11" s="1565">
        <f t="shared" si="2"/>
        <v>100</v>
      </c>
      <c r="X11" s="1566"/>
      <c r="Y11" s="3361"/>
      <c r="Z11" s="1149">
        <f t="shared" si="7"/>
        <v>111</v>
      </c>
      <c r="AA11" s="1567">
        <f t="shared" si="3"/>
        <v>1</v>
      </c>
      <c r="AB11" s="1567">
        <f t="shared" si="4"/>
        <v>1</v>
      </c>
      <c r="AC11" s="1567">
        <f t="shared" si="5"/>
        <v>1</v>
      </c>
    </row>
    <row r="12" spans="1:29" s="1219"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4"/>
      <c r="Q12" s="1150">
        <f t="shared" si="6"/>
        <v>111</v>
      </c>
      <c r="R12" s="1564" t="s">
        <v>8</v>
      </c>
      <c r="S12" s="1565">
        <f t="shared" si="0"/>
        <v>100</v>
      </c>
      <c r="T12" s="1564" t="s">
        <v>8</v>
      </c>
      <c r="U12" s="1565">
        <f t="shared" si="1"/>
        <v>100</v>
      </c>
      <c r="V12" s="1564" t="s">
        <v>8</v>
      </c>
      <c r="W12" s="1565">
        <f t="shared" si="2"/>
        <v>100</v>
      </c>
      <c r="X12" s="1566"/>
      <c r="Y12" s="3361"/>
      <c r="Z12" s="1149">
        <f t="shared" si="7"/>
        <v>111</v>
      </c>
      <c r="AA12" s="1567">
        <f>D12/F12</f>
        <v>1</v>
      </c>
      <c r="AB12" s="1567">
        <f>D12/H12</f>
        <v>1</v>
      </c>
      <c r="AC12" s="1567">
        <f>D12/J12</f>
        <v>1</v>
      </c>
    </row>
    <row r="13" spans="1:29" ht="15.6"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4"/>
      <c r="Q13" s="1150">
        <f t="shared" si="6"/>
        <v>111</v>
      </c>
      <c r="R13" s="1564" t="s">
        <v>8</v>
      </c>
      <c r="S13" s="1565">
        <f t="shared" si="0"/>
        <v>100</v>
      </c>
      <c r="T13" s="1564" t="s">
        <v>8</v>
      </c>
      <c r="U13" s="1565">
        <f t="shared" si="1"/>
        <v>100</v>
      </c>
      <c r="V13" s="1564" t="s">
        <v>8</v>
      </c>
      <c r="W13" s="1565">
        <f t="shared" si="2"/>
        <v>100</v>
      </c>
      <c r="X13" s="1566"/>
      <c r="Y13" s="3361"/>
      <c r="Z13" s="1149">
        <f t="shared" si="7"/>
        <v>111</v>
      </c>
      <c r="AA13" s="1567">
        <f t="shared" si="3"/>
        <v>1</v>
      </c>
      <c r="AB13" s="1567">
        <f t="shared" si="4"/>
        <v>1</v>
      </c>
      <c r="AC13" s="1567">
        <f t="shared" si="5"/>
        <v>1</v>
      </c>
    </row>
    <row r="14" spans="1:29" ht="89.25" customHeight="1">
      <c r="A14" s="2931" t="s">
        <v>2754</v>
      </c>
      <c r="B14" s="546" t="s">
        <v>539</v>
      </c>
      <c r="C14" s="920" t="str">
        <f>IF(B1="工业",估价对象房地状况!G4,估价对象房地状况!C6)</f>
        <v>交通便捷度较差</v>
      </c>
      <c r="D14" s="548">
        <v>100</v>
      </c>
      <c r="E14" s="3206" t="s">
        <v>3095</v>
      </c>
      <c r="F14" s="550">
        <f>SUMIF(63:63,E15,64:64)-SUMIF(63:63,C15,64:64)+100</f>
        <v>102</v>
      </c>
      <c r="G14" s="3206" t="s">
        <v>3095</v>
      </c>
      <c r="H14" s="548">
        <f>SUMIF(63:63,G15,64:64)-SUMIF(63:63,C15,64:64)+100</f>
        <v>102</v>
      </c>
      <c r="I14" s="549"/>
      <c r="J14" s="548">
        <f>SUMIF(63:63,I15,64:64)-SUMIF(63:63,C15,64:64)+100</f>
        <v>100</v>
      </c>
      <c r="K14" s="897">
        <f>'比较法-住宅、综合'!K23</f>
        <v>2</v>
      </c>
      <c r="L14" s="2139"/>
      <c r="M14" s="2131"/>
      <c r="N14" s="2131"/>
      <c r="O14" s="2138"/>
      <c r="P14" s="3406" t="s">
        <v>536</v>
      </c>
      <c r="Q14" s="1568" t="str">
        <f t="shared" si="6"/>
        <v>交通便捷度</v>
      </c>
      <c r="R14" s="1569" t="s">
        <v>8</v>
      </c>
      <c r="S14" s="1570">
        <f t="shared" si="0"/>
        <v>102</v>
      </c>
      <c r="T14" s="1569" t="s">
        <v>8</v>
      </c>
      <c r="U14" s="1570">
        <f t="shared" si="1"/>
        <v>102</v>
      </c>
      <c r="V14" s="1569" t="s">
        <v>8</v>
      </c>
      <c r="W14" s="1570">
        <f t="shared" si="2"/>
        <v>100</v>
      </c>
      <c r="X14" s="1563"/>
      <c r="Y14" s="3406" t="s">
        <v>536</v>
      </c>
      <c r="Z14" s="1571" t="str">
        <f t="shared" si="7"/>
        <v>交通便捷度</v>
      </c>
      <c r="AA14" s="1572">
        <f t="shared" si="3"/>
        <v>0.98039215686274506</v>
      </c>
      <c r="AB14" s="1572">
        <f t="shared" si="4"/>
        <v>0.98039215686274506</v>
      </c>
      <c r="AC14" s="1572">
        <f t="shared" si="5"/>
        <v>1</v>
      </c>
    </row>
    <row r="15" spans="1:29" ht="15">
      <c r="A15" s="514"/>
      <c r="B15" s="923"/>
      <c r="C15" s="575" t="s">
        <v>3066</v>
      </c>
      <c r="D15" s="554"/>
      <c r="E15" s="575" t="s">
        <v>3068</v>
      </c>
      <c r="F15" s="556"/>
      <c r="G15" s="575" t="s">
        <v>3068</v>
      </c>
      <c r="H15" s="558"/>
      <c r="I15" s="575" t="s">
        <v>3066</v>
      </c>
      <c r="J15" s="554"/>
      <c r="K15" s="898"/>
      <c r="L15" s="2139"/>
      <c r="M15" s="2131"/>
      <c r="N15" s="2131"/>
      <c r="O15" s="2138"/>
      <c r="P15" s="3407"/>
      <c r="Q15" s="1568"/>
      <c r="R15" s="1569"/>
      <c r="S15" s="1570"/>
      <c r="T15" s="1569"/>
      <c r="U15" s="1570"/>
      <c r="V15" s="1569"/>
      <c r="W15" s="1570"/>
      <c r="X15" s="1563"/>
      <c r="Y15" s="3407"/>
      <c r="Z15" s="1571"/>
      <c r="AA15" s="1572">
        <v>1</v>
      </c>
      <c r="AB15" s="1572">
        <v>1</v>
      </c>
      <c r="AC15" s="1572">
        <v>1</v>
      </c>
    </row>
    <row r="16" spans="1:29" ht="27.6">
      <c r="A16" s="514"/>
      <c r="B16" s="2624" t="s">
        <v>2546</v>
      </c>
      <c r="C16" s="871" t="str">
        <f>IF(B1="工业",估价对象房地状况!G5,估价对象房地状况!C7)</f>
        <v>公共配套设施齐备度较差</v>
      </c>
      <c r="D16" s="564">
        <v>100</v>
      </c>
      <c r="E16" s="571"/>
      <c r="F16" s="570">
        <f>SUMIF(65:65,E17,66:66)-SUMIF(65:65,C17,66:66)+100</f>
        <v>100</v>
      </c>
      <c r="G16" s="571"/>
      <c r="H16" s="564">
        <f>SUMIF(65:65,G17,66:66)-SUMIF(65:65,C17,66:66)+100</f>
        <v>100</v>
      </c>
      <c r="I16" s="569"/>
      <c r="J16" s="564">
        <f>SUMIF(65:65,I17,66:66)-SUMIF(65:65,C17,66:66)+100</f>
        <v>100</v>
      </c>
      <c r="K16" s="897">
        <f>'比较法-住宅、综合'!K29</f>
        <v>1</v>
      </c>
      <c r="L16" s="2139"/>
      <c r="M16" s="2131"/>
      <c r="N16" s="2131"/>
      <c r="O16" s="2138"/>
      <c r="P16" s="3407"/>
      <c r="Q16" s="1568" t="str">
        <f>B16</f>
        <v>公共配套设施</v>
      </c>
      <c r="R16" s="1569" t="s">
        <v>8</v>
      </c>
      <c r="S16" s="1570">
        <f>F16</f>
        <v>100</v>
      </c>
      <c r="T16" s="1569" t="s">
        <v>8</v>
      </c>
      <c r="U16" s="1570">
        <f>H16</f>
        <v>100</v>
      </c>
      <c r="V16" s="1569" t="s">
        <v>8</v>
      </c>
      <c r="W16" s="1570">
        <f>J16</f>
        <v>100</v>
      </c>
      <c r="X16" s="1563"/>
      <c r="Y16" s="3407"/>
      <c r="Z16" s="1571" t="str">
        <f>Q16</f>
        <v>公共配套设施</v>
      </c>
      <c r="AA16" s="1572">
        <f t="shared" si="3"/>
        <v>1</v>
      </c>
      <c r="AB16" s="1572">
        <f t="shared" si="4"/>
        <v>1</v>
      </c>
      <c r="AC16" s="1572">
        <f t="shared" si="5"/>
        <v>1</v>
      </c>
    </row>
    <row r="17" spans="1:29" ht="15">
      <c r="A17" s="514"/>
      <c r="B17" s="565"/>
      <c r="C17" s="872" t="s">
        <v>3066</v>
      </c>
      <c r="D17" s="554"/>
      <c r="E17" s="872" t="s">
        <v>3066</v>
      </c>
      <c r="F17" s="556"/>
      <c r="G17" s="575" t="s">
        <v>3066</v>
      </c>
      <c r="H17" s="554"/>
      <c r="I17" s="575" t="s">
        <v>3066</v>
      </c>
      <c r="J17" s="554"/>
      <c r="K17" s="898"/>
      <c r="L17" s="2139"/>
      <c r="M17" s="2131"/>
      <c r="N17" s="2131"/>
      <c r="O17" s="2138"/>
      <c r="P17" s="3407"/>
      <c r="Q17" s="1568"/>
      <c r="R17" s="1569"/>
      <c r="S17" s="1570"/>
      <c r="T17" s="1569"/>
      <c r="U17" s="1570"/>
      <c r="V17" s="1569"/>
      <c r="W17" s="1570"/>
      <c r="X17" s="1563"/>
      <c r="Y17" s="3407"/>
      <c r="Z17" s="1571"/>
      <c r="AA17" s="1572">
        <v>1</v>
      </c>
      <c r="AB17" s="1572">
        <v>1</v>
      </c>
      <c r="AC17" s="1572">
        <v>1</v>
      </c>
    </row>
    <row r="18" spans="1:29" ht="15">
      <c r="A18" s="514"/>
      <c r="B18" s="2612" t="s">
        <v>2558</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f>'比较法-住宅、综合'!K31</f>
        <v>1</v>
      </c>
      <c r="L18" s="2139"/>
      <c r="M18" s="2131"/>
      <c r="N18" s="2131"/>
      <c r="O18" s="2138"/>
      <c r="P18" s="3407"/>
      <c r="Q18" s="2600" t="str">
        <f>B18</f>
        <v>基础设施水平</v>
      </c>
      <c r="R18" s="1569" t="s">
        <v>8</v>
      </c>
      <c r="S18" s="1570">
        <f>F18</f>
        <v>100</v>
      </c>
      <c r="T18" s="1569" t="s">
        <v>8</v>
      </c>
      <c r="U18" s="1570">
        <f>H18</f>
        <v>100</v>
      </c>
      <c r="V18" s="1569" t="s">
        <v>8</v>
      </c>
      <c r="W18" s="1570">
        <f>J18</f>
        <v>100</v>
      </c>
      <c r="X18" s="2602"/>
      <c r="Y18" s="3407"/>
      <c r="Z18" s="2601" t="str">
        <f>Q18</f>
        <v>基础设施水平</v>
      </c>
      <c r="AA18" s="1572">
        <f t="shared" ref="AA18" si="8">D18/F18</f>
        <v>1</v>
      </c>
      <c r="AB18" s="1572">
        <f t="shared" ref="AB18" si="9">D18/H18</f>
        <v>1</v>
      </c>
      <c r="AC18" s="1572">
        <f t="shared" ref="AC18" si="10">D18/J18</f>
        <v>1</v>
      </c>
    </row>
    <row r="19" spans="1:29" ht="15">
      <c r="A19" s="514"/>
      <c r="B19" s="577"/>
      <c r="C19" s="872" t="s">
        <v>3071</v>
      </c>
      <c r="D19" s="558"/>
      <c r="E19" s="872" t="s">
        <v>3071</v>
      </c>
      <c r="F19" s="556"/>
      <c r="G19" s="872" t="s">
        <v>3071</v>
      </c>
      <c r="H19" s="554"/>
      <c r="I19" s="872" t="s">
        <v>3071</v>
      </c>
      <c r="J19" s="554"/>
      <c r="K19" s="2623"/>
      <c r="L19" s="2139"/>
      <c r="M19" s="2131"/>
      <c r="N19" s="2131"/>
      <c r="O19" s="2138"/>
      <c r="P19" s="3407"/>
      <c r="Q19" s="2600"/>
      <c r="R19" s="1569"/>
      <c r="S19" s="1570"/>
      <c r="T19" s="1569"/>
      <c r="U19" s="1570"/>
      <c r="V19" s="1569"/>
      <c r="W19" s="1570"/>
      <c r="X19" s="2602"/>
      <c r="Y19" s="3407"/>
      <c r="Z19" s="2601"/>
      <c r="AA19" s="1572">
        <v>1</v>
      </c>
      <c r="AB19" s="1572">
        <v>1</v>
      </c>
      <c r="AC19" s="1572">
        <v>1</v>
      </c>
    </row>
    <row r="20" spans="1:29" ht="15">
      <c r="A20" s="514"/>
      <c r="B20" s="559" t="s">
        <v>800</v>
      </c>
      <c r="C20" s="871" t="str">
        <f>IF(B1="工业",估价对象房地状况!G7,估价对象房地状况!C9)</f>
        <v>自然人文环境较差</v>
      </c>
      <c r="D20" s="564">
        <v>100</v>
      </c>
      <c r="E20" s="561"/>
      <c r="F20" s="562">
        <f>SUMIF(69:69,E21,70:70)-SUMIF(69:69,C21,70:70)+100</f>
        <v>99</v>
      </c>
      <c r="G20" s="563"/>
      <c r="H20" s="558">
        <f>SUMIF(69:69,G21,70:70)-SUMIF(69:69,C21,70:70)+100</f>
        <v>99</v>
      </c>
      <c r="I20" s="561"/>
      <c r="J20" s="558">
        <f>SUMIF(69:69,I21,70:70)-SUMIF(69:69,C21,70:70)+100</f>
        <v>100</v>
      </c>
      <c r="K20" s="897">
        <f>'比较法-住宅、综合'!K27</f>
        <v>1</v>
      </c>
      <c r="L20" s="2139"/>
      <c r="M20" s="2131"/>
      <c r="N20" s="2131"/>
      <c r="O20" s="2138"/>
      <c r="P20" s="3407"/>
      <c r="Q20" s="1568" t="str">
        <f>B20</f>
        <v>自然及人文环境</v>
      </c>
      <c r="R20" s="1569" t="s">
        <v>8</v>
      </c>
      <c r="S20" s="1570">
        <f>F20</f>
        <v>99</v>
      </c>
      <c r="T20" s="1569" t="s">
        <v>8</v>
      </c>
      <c r="U20" s="1570">
        <f>H20</f>
        <v>99</v>
      </c>
      <c r="V20" s="1569" t="s">
        <v>8</v>
      </c>
      <c r="W20" s="1570">
        <f>J20</f>
        <v>100</v>
      </c>
      <c r="X20" s="1563"/>
      <c r="Y20" s="3407"/>
      <c r="Z20" s="1571" t="str">
        <f>Q20</f>
        <v>自然及人文环境</v>
      </c>
      <c r="AA20" s="1572">
        <f t="shared" si="3"/>
        <v>1.0101010101010102</v>
      </c>
      <c r="AB20" s="1572">
        <f t="shared" si="4"/>
        <v>1.0101010101010102</v>
      </c>
      <c r="AC20" s="1572">
        <f t="shared" si="5"/>
        <v>1</v>
      </c>
    </row>
    <row r="21" spans="1:29" ht="15">
      <c r="A21" s="514"/>
      <c r="B21" s="565"/>
      <c r="C21" s="575" t="s">
        <v>3068</v>
      </c>
      <c r="D21" s="554"/>
      <c r="E21" s="575" t="s">
        <v>3066</v>
      </c>
      <c r="F21" s="556"/>
      <c r="G21" s="575" t="s">
        <v>3066</v>
      </c>
      <c r="H21" s="554"/>
      <c r="I21" s="575" t="s">
        <v>3068</v>
      </c>
      <c r="J21" s="554"/>
      <c r="K21" s="898"/>
      <c r="L21" s="2139"/>
      <c r="M21" s="2131"/>
      <c r="N21" s="2131"/>
      <c r="O21" s="2138"/>
      <c r="P21" s="3407"/>
      <c r="Q21" s="1568"/>
      <c r="R21" s="1569"/>
      <c r="S21" s="1570"/>
      <c r="T21" s="1569"/>
      <c r="U21" s="1570"/>
      <c r="V21" s="1569"/>
      <c r="W21" s="1570"/>
      <c r="X21" s="1563"/>
      <c r="Y21" s="3407"/>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07"/>
      <c r="Q22" s="1568" t="str">
        <f>B22</f>
        <v>楼层</v>
      </c>
      <c r="R22" s="1569" t="s">
        <v>8</v>
      </c>
      <c r="S22" s="1570">
        <f>F22</f>
        <v>100</v>
      </c>
      <c r="T22" s="1569" t="s">
        <v>8</v>
      </c>
      <c r="U22" s="1570">
        <f>H22</f>
        <v>100</v>
      </c>
      <c r="V22" s="1569" t="s">
        <v>8</v>
      </c>
      <c r="W22" s="1570">
        <f>J22</f>
        <v>100</v>
      </c>
      <c r="X22" s="1563"/>
      <c r="Y22" s="3407"/>
      <c r="Z22" s="1571" t="str">
        <f>Q22</f>
        <v>楼层</v>
      </c>
      <c r="AA22" s="1572">
        <f t="shared" si="3"/>
        <v>1</v>
      </c>
      <c r="AB22" s="1572">
        <f t="shared" si="4"/>
        <v>1</v>
      </c>
      <c r="AC22" s="1572">
        <f t="shared" si="5"/>
        <v>1</v>
      </c>
    </row>
    <row r="23" spans="1:29" ht="15">
      <c r="A23" s="514"/>
      <c r="B23" s="924"/>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07"/>
      <c r="Q23" s="1568">
        <f>B23</f>
        <v>0</v>
      </c>
      <c r="R23" s="1569" t="s">
        <v>8</v>
      </c>
      <c r="S23" s="1570">
        <f>F23</f>
        <v>100</v>
      </c>
      <c r="T23" s="1569" t="s">
        <v>8</v>
      </c>
      <c r="U23" s="1570">
        <f>H23</f>
        <v>100</v>
      </c>
      <c r="V23" s="1569" t="s">
        <v>8</v>
      </c>
      <c r="W23" s="1570">
        <f>J23</f>
        <v>100</v>
      </c>
      <c r="X23" s="1563"/>
      <c r="Y23" s="3407"/>
      <c r="Z23" s="1571">
        <f>Q23</f>
        <v>0</v>
      </c>
      <c r="AA23" s="1572">
        <f t="shared" si="3"/>
        <v>1</v>
      </c>
      <c r="AB23" s="1572">
        <f t="shared" si="4"/>
        <v>1</v>
      </c>
      <c r="AC23" s="1572">
        <f t="shared" si="5"/>
        <v>1</v>
      </c>
    </row>
    <row r="24" spans="1:29" ht="15">
      <c r="A24" s="514"/>
      <c r="B24" s="924"/>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07"/>
      <c r="Q24" s="1568">
        <f t="shared" ref="Q24:Q36" si="11">B24</f>
        <v>0</v>
      </c>
      <c r="R24" s="1569" t="s">
        <v>8</v>
      </c>
      <c r="S24" s="1570">
        <f>F24</f>
        <v>100</v>
      </c>
      <c r="T24" s="1569" t="s">
        <v>8</v>
      </c>
      <c r="U24" s="1570">
        <f>H24</f>
        <v>100</v>
      </c>
      <c r="V24" s="1569" t="s">
        <v>8</v>
      </c>
      <c r="W24" s="1570">
        <f>J24</f>
        <v>100</v>
      </c>
      <c r="X24" s="1563"/>
      <c r="Y24" s="3407"/>
      <c r="Z24" s="1571">
        <f>Q24</f>
        <v>0</v>
      </c>
      <c r="AA24" s="1572">
        <f t="shared" si="3"/>
        <v>1</v>
      </c>
      <c r="AB24" s="1572">
        <f t="shared" si="4"/>
        <v>1</v>
      </c>
      <c r="AC24" s="1572">
        <f t="shared" si="5"/>
        <v>1</v>
      </c>
    </row>
    <row r="25" spans="1:29" s="1219" customFormat="1" ht="15.6" thickBot="1">
      <c r="A25" s="576"/>
      <c r="B25" s="913"/>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07"/>
      <c r="Q25" s="1150">
        <f t="shared" si="11"/>
        <v>0</v>
      </c>
      <c r="R25" s="1564" t="s">
        <v>8</v>
      </c>
      <c r="S25" s="1565">
        <f>F25</f>
        <v>100</v>
      </c>
      <c r="T25" s="1564" t="s">
        <v>8</v>
      </c>
      <c r="U25" s="1565">
        <f>H25</f>
        <v>100</v>
      </c>
      <c r="V25" s="1564" t="s">
        <v>8</v>
      </c>
      <c r="W25" s="1565">
        <f>J25</f>
        <v>100</v>
      </c>
      <c r="X25" s="1566"/>
      <c r="Y25" s="3407"/>
      <c r="Z25" s="1149">
        <f>Q25</f>
        <v>0</v>
      </c>
      <c r="AA25" s="1572">
        <f>D25/F25</f>
        <v>1</v>
      </c>
      <c r="AB25" s="1572">
        <f>D25/H25</f>
        <v>1</v>
      </c>
      <c r="AC25" s="1572">
        <f>D25/J25</f>
        <v>1</v>
      </c>
    </row>
    <row r="26" spans="1:29" ht="15">
      <c r="A26" s="2928" t="s">
        <v>2755</v>
      </c>
      <c r="B26" s="170" t="s">
        <v>802</v>
      </c>
      <c r="C26" s="927" t="str">
        <f>B1</f>
        <v>车库</v>
      </c>
      <c r="D26" s="554">
        <v>100</v>
      </c>
      <c r="E26" s="575" t="s">
        <v>3057</v>
      </c>
      <c r="F26" s="556">
        <f>SUMIF(79:79,E26,80:80)-SUMIF(79:79,C26,80:80)+100</f>
        <v>100</v>
      </c>
      <c r="G26" s="575" t="s">
        <v>3057</v>
      </c>
      <c r="H26" s="554">
        <f>SUMIF(79:79,G26,80:80)-SUMIF(79:79,C26,80:80)+100</f>
        <v>100</v>
      </c>
      <c r="I26" s="575" t="s">
        <v>3057</v>
      </c>
      <c r="J26" s="554">
        <f>SUMIF(79:79,I26,80:80)-SUMIF(79:79,C26,80:80)+100</f>
        <v>100</v>
      </c>
      <c r="K26" s="583"/>
      <c r="L26" s="2139"/>
      <c r="M26" s="2131"/>
      <c r="N26" s="2131"/>
      <c r="O26" s="2138"/>
      <c r="P26" s="3408"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09" t="s">
        <v>546</v>
      </c>
      <c r="Z26" s="1571" t="str">
        <f t="shared" ref="Z26:Z36" si="15">Q26</f>
        <v>配套类型</v>
      </c>
      <c r="AA26" s="1572">
        <f t="shared" si="3"/>
        <v>1</v>
      </c>
      <c r="AB26" s="1572">
        <f t="shared" si="4"/>
        <v>1</v>
      </c>
      <c r="AC26" s="1572">
        <f t="shared" si="5"/>
        <v>1</v>
      </c>
    </row>
    <row r="27" spans="1:29" s="1338" customFormat="1" ht="15">
      <c r="A27" s="928"/>
      <c r="B27" s="581" t="s">
        <v>803</v>
      </c>
      <c r="C27" s="929"/>
      <c r="D27" s="254">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09"/>
      <c r="Q27" s="1601" t="str">
        <f t="shared" si="11"/>
        <v>项目停车位配比</v>
      </c>
      <c r="R27" s="1573" t="s">
        <v>8</v>
      </c>
      <c r="S27" s="1574">
        <f t="shared" si="12"/>
        <v>100</v>
      </c>
      <c r="T27" s="1573" t="s">
        <v>8</v>
      </c>
      <c r="U27" s="1574">
        <f t="shared" si="13"/>
        <v>100</v>
      </c>
      <c r="V27" s="1573" t="s">
        <v>8</v>
      </c>
      <c r="W27" s="1574">
        <f t="shared" si="14"/>
        <v>100</v>
      </c>
      <c r="X27" s="1575"/>
      <c r="Y27" s="3409"/>
      <c r="Z27" s="1576" t="str">
        <f t="shared" si="15"/>
        <v>项目停车位配比</v>
      </c>
      <c r="AA27" s="1572">
        <f t="shared" si="3"/>
        <v>1</v>
      </c>
      <c r="AB27" s="1572">
        <f t="shared" si="4"/>
        <v>1</v>
      </c>
      <c r="AC27" s="1572">
        <f t="shared" si="5"/>
        <v>1</v>
      </c>
    </row>
    <row r="28" spans="1:29" ht="15">
      <c r="A28" s="930"/>
      <c r="B28" s="581" t="s">
        <v>804</v>
      </c>
      <c r="C28" s="573" t="s">
        <v>3099</v>
      </c>
      <c r="D28" s="539">
        <v>100</v>
      </c>
      <c r="E28" s="573" t="s">
        <v>3099</v>
      </c>
      <c r="F28" s="574">
        <f>SUMIF(83:83,E28,84:84)-SUMIF(83:83,C28,84:84)+100</f>
        <v>100</v>
      </c>
      <c r="G28" s="573" t="s">
        <v>3099</v>
      </c>
      <c r="H28" s="539">
        <f>SUMIF(83:83,G28,84:84)-SUMIF(83:83,C28,84:84)+100</f>
        <v>100</v>
      </c>
      <c r="I28" s="573" t="s">
        <v>3099</v>
      </c>
      <c r="J28" s="539">
        <f>SUMIF(83:83,I28,84:84)-SUMIF(83:83,C28,84:84)+100</f>
        <v>100</v>
      </c>
      <c r="K28" s="583">
        <v>2</v>
      </c>
      <c r="L28" s="2139"/>
      <c r="M28" s="2131"/>
      <c r="N28" s="2131"/>
      <c r="O28" s="2138"/>
      <c r="P28" s="3409"/>
      <c r="Q28" s="1568" t="str">
        <f t="shared" si="11"/>
        <v>公共部分装修</v>
      </c>
      <c r="R28" s="1569" t="s">
        <v>8</v>
      </c>
      <c r="S28" s="1570">
        <f t="shared" si="12"/>
        <v>100</v>
      </c>
      <c r="T28" s="1569" t="s">
        <v>8</v>
      </c>
      <c r="U28" s="1570">
        <f t="shared" si="13"/>
        <v>100</v>
      </c>
      <c r="V28" s="1569" t="s">
        <v>8</v>
      </c>
      <c r="W28" s="1570">
        <f t="shared" si="14"/>
        <v>100</v>
      </c>
      <c r="X28" s="1563"/>
      <c r="Y28" s="3409"/>
      <c r="Z28" s="1571" t="str">
        <f t="shared" si="15"/>
        <v>公共部分装修</v>
      </c>
      <c r="AA28" s="1572">
        <f t="shared" si="3"/>
        <v>1</v>
      </c>
      <c r="AB28" s="1572">
        <f t="shared" si="4"/>
        <v>1</v>
      </c>
      <c r="AC28" s="1572">
        <f t="shared" si="5"/>
        <v>1</v>
      </c>
    </row>
    <row r="29" spans="1:29" ht="15">
      <c r="A29" s="930"/>
      <c r="B29" s="581" t="s">
        <v>805</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2</v>
      </c>
      <c r="L29" s="2139"/>
      <c r="M29" s="2131"/>
      <c r="N29" s="2131"/>
      <c r="O29" s="2138"/>
      <c r="P29" s="3409"/>
      <c r="Q29" s="1568" t="str">
        <f t="shared" si="11"/>
        <v>成新率</v>
      </c>
      <c r="R29" s="1569" t="s">
        <v>8</v>
      </c>
      <c r="S29" s="1570">
        <f t="shared" si="12"/>
        <v>100</v>
      </c>
      <c r="T29" s="1569" t="s">
        <v>8</v>
      </c>
      <c r="U29" s="1570">
        <f t="shared" si="13"/>
        <v>100</v>
      </c>
      <c r="V29" s="1569" t="s">
        <v>8</v>
      </c>
      <c r="W29" s="1570">
        <f t="shared" si="14"/>
        <v>100</v>
      </c>
      <c r="X29" s="1563"/>
      <c r="Y29" s="3409"/>
      <c r="Z29" s="1571" t="str">
        <f t="shared" si="15"/>
        <v>成新率</v>
      </c>
      <c r="AA29" s="1572">
        <f t="shared" si="3"/>
        <v>1</v>
      </c>
      <c r="AB29" s="1572">
        <f t="shared" si="4"/>
        <v>1</v>
      </c>
      <c r="AC29" s="1572">
        <f t="shared" si="5"/>
        <v>1</v>
      </c>
    </row>
    <row r="30" spans="1:29" ht="15">
      <c r="A30" s="930"/>
      <c r="B30" s="581" t="s">
        <v>806</v>
      </c>
      <c r="C30" s="931" t="s">
        <v>3104</v>
      </c>
      <c r="D30" s="539">
        <v>100</v>
      </c>
      <c r="E30" s="931" t="s">
        <v>3104</v>
      </c>
      <c r="F30" s="574">
        <f>SUMIF(88:88,E30,89:89)-SUMIF(88:88,C30,89:89)+100</f>
        <v>100</v>
      </c>
      <c r="G30" s="931" t="s">
        <v>3104</v>
      </c>
      <c r="H30" s="539">
        <f>SUMIF(88:88,E30,89:89)-SUMIF(88:88,C30,89:89)+100</f>
        <v>100</v>
      </c>
      <c r="I30" s="931" t="s">
        <v>3104</v>
      </c>
      <c r="J30" s="539">
        <f>SUMIF(88:88,E30,89:89)-SUMIF(88:88,C30,89:89)+100</f>
        <v>100</v>
      </c>
      <c r="K30" s="583">
        <v>2</v>
      </c>
      <c r="L30" s="2139"/>
      <c r="M30" s="2131"/>
      <c r="N30" s="2131"/>
      <c r="O30" s="2138"/>
      <c r="P30" s="3409"/>
      <c r="Q30" s="1568" t="str">
        <f t="shared" si="11"/>
        <v>物业等级</v>
      </c>
      <c r="R30" s="1569" t="s">
        <v>8</v>
      </c>
      <c r="S30" s="1570">
        <f t="shared" si="12"/>
        <v>100</v>
      </c>
      <c r="T30" s="1569" t="s">
        <v>8</v>
      </c>
      <c r="U30" s="1570">
        <f t="shared" si="13"/>
        <v>100</v>
      </c>
      <c r="V30" s="1569" t="s">
        <v>8</v>
      </c>
      <c r="W30" s="1570">
        <f t="shared" si="14"/>
        <v>100</v>
      </c>
      <c r="X30" s="1563"/>
      <c r="Y30" s="3409"/>
      <c r="Z30" s="1571" t="str">
        <f t="shared" si="15"/>
        <v>物业等级</v>
      </c>
      <c r="AA30" s="1572">
        <f t="shared" si="3"/>
        <v>1</v>
      </c>
      <c r="AB30" s="1572">
        <f t="shared" si="4"/>
        <v>1</v>
      </c>
      <c r="AC30" s="1572">
        <f t="shared" si="5"/>
        <v>1</v>
      </c>
    </row>
    <row r="31" spans="1:29" s="1219" customFormat="1" ht="15">
      <c r="A31" s="932"/>
      <c r="B31" s="581" t="s">
        <v>807</v>
      </c>
      <c r="C31" s="879">
        <v>35</v>
      </c>
      <c r="D31" s="254">
        <v>100</v>
      </c>
      <c r="E31" s="879">
        <v>33</v>
      </c>
      <c r="F31" s="574">
        <f>LOOKUP(E31,91:91,92:92)-LOOKUP(C31,91:91,92:92)+100</f>
        <v>100</v>
      </c>
      <c r="G31" s="879">
        <v>35</v>
      </c>
      <c r="H31" s="539">
        <f>LOOKUP(G31,91:91,92:92)-LOOKUP(C31,91:91,92:92)+100</f>
        <v>100</v>
      </c>
      <c r="I31" s="879">
        <v>34</v>
      </c>
      <c r="J31" s="539">
        <f>LOOKUP(I31,91:91,92:92)-LOOKUP(C31,91:91,92:92)+100</f>
        <v>100</v>
      </c>
      <c r="K31" s="583">
        <v>2</v>
      </c>
      <c r="L31" s="2132"/>
      <c r="M31" s="2133"/>
      <c r="N31" s="2133"/>
      <c r="O31" s="2134"/>
      <c r="P31" s="3409"/>
      <c r="Q31" s="1150" t="str">
        <f t="shared" si="11"/>
        <v>停车位面积</v>
      </c>
      <c r="R31" s="1564" t="s">
        <v>8</v>
      </c>
      <c r="S31" s="1565">
        <f t="shared" si="12"/>
        <v>100</v>
      </c>
      <c r="T31" s="1564" t="s">
        <v>8</v>
      </c>
      <c r="U31" s="1565">
        <f t="shared" si="13"/>
        <v>100</v>
      </c>
      <c r="V31" s="1564" t="s">
        <v>8</v>
      </c>
      <c r="W31" s="1565">
        <f t="shared" si="14"/>
        <v>100</v>
      </c>
      <c r="X31" s="1566"/>
      <c r="Y31" s="3409"/>
      <c r="Z31" s="1149" t="str">
        <f t="shared" si="15"/>
        <v>停车位面积</v>
      </c>
      <c r="AA31" s="1567">
        <f t="shared" si="3"/>
        <v>1</v>
      </c>
      <c r="AB31" s="1567">
        <f t="shared" si="4"/>
        <v>1</v>
      </c>
      <c r="AC31" s="1567">
        <f t="shared" si="5"/>
        <v>1</v>
      </c>
    </row>
    <row r="32" spans="1:29" ht="15">
      <c r="A32" s="930"/>
      <c r="B32" s="581" t="s">
        <v>808</v>
      </c>
      <c r="C32" s="573" t="s">
        <v>3106</v>
      </c>
      <c r="D32" s="539">
        <v>100</v>
      </c>
      <c r="E32" s="573" t="s">
        <v>3106</v>
      </c>
      <c r="F32" s="574">
        <f>SUMIF(93:93,E32,94:94)-SUMIF(93:93,C32,94:94)+100</f>
        <v>100</v>
      </c>
      <c r="G32" s="573" t="s">
        <v>3106</v>
      </c>
      <c r="H32" s="539">
        <f>SUMIF(93:93,G32,94:94)-SUMIF(93:93,C32,94:94)+100</f>
        <v>100</v>
      </c>
      <c r="I32" s="573" t="s">
        <v>3106</v>
      </c>
      <c r="J32" s="539">
        <f>SUMIF(93:93,I32,94:94)-SUMIF(93:93,C32,94:94)+100</f>
        <v>100</v>
      </c>
      <c r="K32" s="583">
        <v>2</v>
      </c>
      <c r="L32" s="2139"/>
      <c r="M32" s="2131"/>
      <c r="N32" s="2131"/>
      <c r="O32" s="2138"/>
      <c r="P32" s="3409" t="s">
        <v>546</v>
      </c>
      <c r="Q32" s="1568" t="str">
        <f t="shared" si="11"/>
        <v>车位类型</v>
      </c>
      <c r="R32" s="1569" t="s">
        <v>8</v>
      </c>
      <c r="S32" s="1570">
        <f t="shared" si="12"/>
        <v>100</v>
      </c>
      <c r="T32" s="1569" t="s">
        <v>8</v>
      </c>
      <c r="U32" s="1570">
        <f t="shared" si="13"/>
        <v>100</v>
      </c>
      <c r="V32" s="1569" t="s">
        <v>8</v>
      </c>
      <c r="W32" s="1570">
        <f t="shared" si="14"/>
        <v>100</v>
      </c>
      <c r="X32" s="1563"/>
      <c r="Y32" s="3409" t="s">
        <v>546</v>
      </c>
      <c r="Z32" s="1571" t="str">
        <f t="shared" si="15"/>
        <v>车位类型</v>
      </c>
      <c r="AA32" s="1572">
        <f t="shared" si="3"/>
        <v>1</v>
      </c>
      <c r="AB32" s="1572">
        <f t="shared" si="4"/>
        <v>1</v>
      </c>
      <c r="AC32" s="1572">
        <f t="shared" si="5"/>
        <v>1</v>
      </c>
    </row>
    <row r="33" spans="1:29" ht="15">
      <c r="A33" s="930"/>
      <c r="B33" s="581" t="s">
        <v>809</v>
      </c>
      <c r="C33" s="573" t="s">
        <v>2980</v>
      </c>
      <c r="D33" s="539">
        <v>100</v>
      </c>
      <c r="E33" s="573" t="s">
        <v>2980</v>
      </c>
      <c r="F33" s="574">
        <f>SUMIF(95:95,E33,96:96)-SUMIF(95:95,C33,96:96)+100</f>
        <v>100</v>
      </c>
      <c r="G33" s="573" t="s">
        <v>2980</v>
      </c>
      <c r="H33" s="539">
        <f>SUMIF(95:95,G33,96:96)-SUMIF(95:95,C33,96:96)+100</f>
        <v>100</v>
      </c>
      <c r="I33" s="573" t="s">
        <v>2980</v>
      </c>
      <c r="J33" s="539">
        <f>SUMIF(95:95,I33,96:96)-SUMIF(95:95,C33,96:96)+100</f>
        <v>100</v>
      </c>
      <c r="K33" s="583">
        <v>3</v>
      </c>
      <c r="L33" s="2139"/>
      <c r="M33" s="2131"/>
      <c r="N33" s="2131"/>
      <c r="O33" s="2138"/>
      <c r="P33" s="3409"/>
      <c r="Q33" s="1568" t="str">
        <f t="shared" si="11"/>
        <v>是否直接入户</v>
      </c>
      <c r="R33" s="1569" t="s">
        <v>8</v>
      </c>
      <c r="S33" s="1570">
        <f t="shared" si="12"/>
        <v>100</v>
      </c>
      <c r="T33" s="1569" t="s">
        <v>8</v>
      </c>
      <c r="U33" s="1570">
        <f t="shared" si="13"/>
        <v>100</v>
      </c>
      <c r="V33" s="1569" t="s">
        <v>8</v>
      </c>
      <c r="W33" s="1570">
        <f t="shared" si="14"/>
        <v>100</v>
      </c>
      <c r="X33" s="1563"/>
      <c r="Y33" s="3409"/>
      <c r="Z33" s="1571" t="str">
        <f t="shared" si="15"/>
        <v>是否直接入户</v>
      </c>
      <c r="AA33" s="1572">
        <f t="shared" si="3"/>
        <v>1</v>
      </c>
      <c r="AB33" s="1572">
        <f t="shared" si="4"/>
        <v>1</v>
      </c>
      <c r="AC33" s="1572">
        <f t="shared" si="5"/>
        <v>1</v>
      </c>
    </row>
    <row r="34" spans="1:29" ht="15">
      <c r="A34" s="930"/>
      <c r="B34" s="924"/>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09"/>
      <c r="Q34" s="1568">
        <f t="shared" si="11"/>
        <v>0</v>
      </c>
      <c r="R34" s="1569" t="s">
        <v>8</v>
      </c>
      <c r="S34" s="1570">
        <f t="shared" si="12"/>
        <v>100</v>
      </c>
      <c r="T34" s="1569" t="s">
        <v>8</v>
      </c>
      <c r="U34" s="1570">
        <f t="shared" si="13"/>
        <v>100</v>
      </c>
      <c r="V34" s="1569" t="s">
        <v>8</v>
      </c>
      <c r="W34" s="1570">
        <f t="shared" si="14"/>
        <v>100</v>
      </c>
      <c r="X34" s="1563"/>
      <c r="Y34" s="3409"/>
      <c r="Z34" s="1571">
        <f t="shared" si="15"/>
        <v>0</v>
      </c>
      <c r="AA34" s="1572">
        <f t="shared" si="3"/>
        <v>1</v>
      </c>
      <c r="AB34" s="1572">
        <f t="shared" si="4"/>
        <v>1</v>
      </c>
      <c r="AC34" s="1572">
        <f t="shared" si="5"/>
        <v>1</v>
      </c>
    </row>
    <row r="35" spans="1:29" s="1338" customFormat="1" ht="15">
      <c r="A35" s="928"/>
      <c r="B35" s="924"/>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09"/>
      <c r="Q35" s="1601">
        <f t="shared" si="11"/>
        <v>0</v>
      </c>
      <c r="R35" s="1573" t="s">
        <v>8</v>
      </c>
      <c r="S35" s="1574">
        <f t="shared" si="12"/>
        <v>100</v>
      </c>
      <c r="T35" s="1573" t="s">
        <v>8</v>
      </c>
      <c r="U35" s="1574">
        <f t="shared" si="13"/>
        <v>100</v>
      </c>
      <c r="V35" s="1573" t="s">
        <v>8</v>
      </c>
      <c r="W35" s="1574">
        <f t="shared" si="14"/>
        <v>100</v>
      </c>
      <c r="X35" s="1575"/>
      <c r="Y35" s="3409"/>
      <c r="Z35" s="1576">
        <f t="shared" si="15"/>
        <v>0</v>
      </c>
      <c r="AA35" s="1572">
        <f t="shared" si="3"/>
        <v>1</v>
      </c>
      <c r="AB35" s="1572">
        <f t="shared" si="4"/>
        <v>1</v>
      </c>
      <c r="AC35" s="157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09"/>
      <c r="Q36" s="1568">
        <f t="shared" si="11"/>
        <v>111</v>
      </c>
      <c r="R36" s="1569" t="s">
        <v>8</v>
      </c>
      <c r="S36" s="1570">
        <f t="shared" si="12"/>
        <v>100</v>
      </c>
      <c r="T36" s="1569" t="s">
        <v>8</v>
      </c>
      <c r="U36" s="1570">
        <f t="shared" si="13"/>
        <v>100</v>
      </c>
      <c r="V36" s="1569" t="s">
        <v>8</v>
      </c>
      <c r="W36" s="1570">
        <f t="shared" si="14"/>
        <v>100</v>
      </c>
      <c r="X36" s="1563"/>
      <c r="Y36" s="3409"/>
      <c r="Z36" s="1571">
        <f t="shared" si="15"/>
        <v>111</v>
      </c>
      <c r="AA36" s="1572">
        <f t="shared" si="3"/>
        <v>1</v>
      </c>
      <c r="AB36" s="1572">
        <f t="shared" si="4"/>
        <v>1</v>
      </c>
      <c r="AC36" s="1572">
        <f t="shared" si="5"/>
        <v>1</v>
      </c>
    </row>
    <row r="37" spans="1:29" ht="14.4">
      <c r="A37" s="1843" t="s">
        <v>2076</v>
      </c>
      <c r="B37" s="1844" t="s">
        <v>3110</v>
      </c>
      <c r="C37" s="2648" t="s">
        <v>1</v>
      </c>
      <c r="D37" s="2649"/>
      <c r="E37" s="2650">
        <v>109000</v>
      </c>
      <c r="F37" s="2651"/>
      <c r="G37" s="2652">
        <v>100000</v>
      </c>
      <c r="H37" s="2653"/>
      <c r="I37" s="2650">
        <v>100000</v>
      </c>
      <c r="J37" s="2653"/>
      <c r="K37" s="1607"/>
      <c r="L37" s="2141"/>
      <c r="M37" s="2142"/>
      <c r="N37" s="2131"/>
      <c r="O37" s="2142"/>
      <c r="P37" s="3404" t="str">
        <f>A37</f>
        <v>成交单价</v>
      </c>
      <c r="Q37" s="3404"/>
      <c r="R37" s="3479">
        <f>E37</f>
        <v>109000</v>
      </c>
      <c r="S37" s="3479"/>
      <c r="T37" s="3479">
        <f>G37</f>
        <v>100000</v>
      </c>
      <c r="U37" s="3479"/>
      <c r="V37" s="3479">
        <f>I37</f>
        <v>100000</v>
      </c>
      <c r="W37" s="3479"/>
      <c r="X37" s="1555"/>
      <c r="Y37" s="1577"/>
      <c r="Z37" s="1555"/>
      <c r="AA37" s="1555"/>
      <c r="AB37" s="1555"/>
      <c r="AC37" s="1555"/>
    </row>
    <row r="38" spans="1:29" ht="15" thickBot="1">
      <c r="A38" s="614" t="s">
        <v>2760</v>
      </c>
      <c r="B38" s="887"/>
      <c r="C38" s="2654">
        <f>R39</f>
        <v>103006</v>
      </c>
      <c r="D38" s="2655"/>
      <c r="E38" s="2656">
        <f>R38</f>
        <v>108485</v>
      </c>
      <c r="F38" s="2656"/>
      <c r="G38" s="2654">
        <f>T38</f>
        <v>100030</v>
      </c>
      <c r="H38" s="2655"/>
      <c r="I38" s="2656">
        <f>V38</f>
        <v>100503</v>
      </c>
      <c r="J38" s="2655"/>
      <c r="K38" s="1608"/>
      <c r="L38" s="2141"/>
      <c r="M38" s="2142"/>
      <c r="N38" s="2142"/>
      <c r="O38" s="2142"/>
      <c r="P38" s="3404" t="str">
        <f>A38</f>
        <v>比较价格（元/平方米）</v>
      </c>
      <c r="Q38" s="3404"/>
      <c r="R38" s="3479">
        <f>IF(F1="售价",ROUND(PRODUCT(R37,AA7:AA36),0),ROUND(PRODUCT(R37,AA7:AA36),1))</f>
        <v>108485</v>
      </c>
      <c r="S38" s="3479"/>
      <c r="T38" s="3479">
        <f>IF(F1="售价",ROUND(PRODUCT(T37,AB7:AB36),0),ROUND(PRODUCT(T37,AB7:AB36),1))</f>
        <v>100030</v>
      </c>
      <c r="U38" s="3479"/>
      <c r="V38" s="3479">
        <f>IF(F1="售价",ROUND(PRODUCT(V37,AC7:AC36),0),ROUND(PRODUCT(V37,AC7:AC36),1))</f>
        <v>100503</v>
      </c>
      <c r="W38" s="3479"/>
      <c r="X38" s="1555"/>
      <c r="Y38" s="1555"/>
      <c r="Z38" s="1555"/>
      <c r="AA38" s="1555"/>
      <c r="AB38" s="1555"/>
      <c r="AC38" s="1555"/>
    </row>
    <row r="39" spans="1:29" ht="15" thickBot="1">
      <c r="A39" s="620" t="s">
        <v>2927</v>
      </c>
      <c r="B39" s="621"/>
      <c r="C39" s="2657">
        <f>R39</f>
        <v>103006</v>
      </c>
      <c r="D39" s="2657"/>
      <c r="E39" s="2657"/>
      <c r="F39" s="2657"/>
      <c r="G39" s="2657"/>
      <c r="H39" s="2657"/>
      <c r="I39" s="2657"/>
      <c r="J39" s="2657"/>
      <c r="K39" s="1609"/>
      <c r="L39" s="2141"/>
      <c r="M39" s="2142"/>
      <c r="N39" s="2142"/>
      <c r="O39" s="2142"/>
      <c r="P39" s="3426" t="str">
        <f>A39</f>
        <v>估价对象XX用房的比较价格（楼面单价，元/平方米）</v>
      </c>
      <c r="Q39" s="3427"/>
      <c r="R39" s="3478">
        <f>IF(F1="售价",ROUND(AVERAGE(R38:V38),0),ROUND(AVERAGE(R38:V38),1))</f>
        <v>103006</v>
      </c>
      <c r="S39" s="3478"/>
      <c r="T39" s="3478"/>
      <c r="U39" s="3478"/>
      <c r="V39" s="3478"/>
      <c r="W39" s="3478"/>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4.7472000737429632E-3</v>
      </c>
      <c r="F42" s="626" t="str">
        <f>IF(OR(E42&gt;=0.3,E42&lt;=-0.3),"超过30%","")</f>
        <v/>
      </c>
      <c r="G42" s="625">
        <f>IF(G37&lt;G38,G38/G37-1,G37/G38-1)</f>
        <v>2.9999999999996696E-4</v>
      </c>
      <c r="H42" s="626" t="str">
        <f>IF(OR(G42&gt;=0.3,G42&lt;=-0.3),"超过30%","")</f>
        <v/>
      </c>
      <c r="I42" s="625">
        <f>IF(I37&lt;I38,I38/I37-1,I37/I38-1)</f>
        <v>5.03000000000009E-3</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8.4524642607217926E-2</v>
      </c>
      <c r="F43" s="626" t="str">
        <f>IF(OR(E43&gt;=0.2,E43&lt;=-0.2),"超过20%","")</f>
        <v/>
      </c>
      <c r="G43" s="625">
        <f>IF(G38&lt;I38,I38/G38-1,G38/I38-1)</f>
        <v>4.7285814255724201E-3</v>
      </c>
      <c r="H43" s="626" t="str">
        <f>IF(OR(G43&gt;=0.2,G43&lt;=-0.2),"超过20%","")</f>
        <v/>
      </c>
      <c r="I43" s="625">
        <f>IF(I38&lt;E38,E38/I38-1,I38/E38-1)</f>
        <v>7.9420514810503162E-2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4.4">
      <c r="A48" s="644" t="s">
        <v>525</v>
      </c>
      <c r="B48" s="645"/>
      <c r="C48" s="2823" t="str">
        <f>YEAR(C7)&amp;"-"&amp;MONTH(C7)</f>
        <v>2018-8</v>
      </c>
      <c r="D48" s="2825">
        <f>EDATE(C48,-1)</f>
        <v>43282</v>
      </c>
      <c r="E48" s="2825">
        <f t="shared" ref="E48:O48" si="16">EDATE(D48,-1)</f>
        <v>43252</v>
      </c>
      <c r="F48" s="2825">
        <f t="shared" si="16"/>
        <v>43221</v>
      </c>
      <c r="G48" s="2825">
        <f t="shared" si="16"/>
        <v>43191</v>
      </c>
      <c r="H48" s="2825">
        <f t="shared" si="16"/>
        <v>43160</v>
      </c>
      <c r="I48" s="2825">
        <f t="shared" si="16"/>
        <v>43132</v>
      </c>
      <c r="J48" s="2825">
        <f t="shared" si="16"/>
        <v>43101</v>
      </c>
      <c r="K48" s="2825">
        <f t="shared" si="16"/>
        <v>43070</v>
      </c>
      <c r="L48" s="2825">
        <f t="shared" si="16"/>
        <v>43040</v>
      </c>
      <c r="M48" s="2825">
        <f t="shared" si="16"/>
        <v>43009</v>
      </c>
      <c r="N48" s="2825">
        <f t="shared" si="16"/>
        <v>42979</v>
      </c>
      <c r="O48" s="2825">
        <f t="shared" si="16"/>
        <v>42948</v>
      </c>
      <c r="P48" s="2157"/>
      <c r="Q48" s="2158"/>
      <c r="R48" s="2158"/>
      <c r="S48" s="2158"/>
      <c r="T48" s="2158"/>
      <c r="U48" s="2158"/>
      <c r="V48" s="2158"/>
      <c r="W48" s="2158"/>
      <c r="X48" s="2158"/>
      <c r="Y48" s="2158"/>
      <c r="Z48" s="2158"/>
      <c r="AA48" s="2158"/>
      <c r="AB48" s="2158"/>
      <c r="AC48" s="2158"/>
    </row>
    <row r="49" spans="1:29" s="1219" customFormat="1">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4.4">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99</v>
      </c>
      <c r="E68" s="678">
        <f>D68-$K18</f>
        <v>98</v>
      </c>
      <c r="F68" s="678">
        <f>E68-$K18</f>
        <v>97</v>
      </c>
      <c r="G68" s="678">
        <f>F68-$K18</f>
        <v>96</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99</v>
      </c>
      <c r="E70" s="678">
        <f>D70-$K20</f>
        <v>98</v>
      </c>
      <c r="F70" s="678">
        <f>E70-$K20</f>
        <v>97</v>
      </c>
      <c r="G70" s="678">
        <f>F70-$K20</f>
        <v>96</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4.4" thickTop="1">
      <c r="A73" s="708"/>
      <c r="B73" s="672">
        <f>B23</f>
        <v>0</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4.4" thickTop="1">
      <c r="A75" s="708"/>
      <c r="B75" s="672">
        <f>B24</f>
        <v>0</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4.4"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811</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183" t="s">
        <v>3100</v>
      </c>
      <c r="D83" s="3183" t="s">
        <v>3101</v>
      </c>
      <c r="E83" s="3186" t="s">
        <v>3102</v>
      </c>
      <c r="F83" s="3186" t="s">
        <v>3103</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175" t="s">
        <v>3105</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183" t="s">
        <v>3107</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175" t="s">
        <v>3108</v>
      </c>
      <c r="D95" s="3175" t="s">
        <v>3109</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6">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4.4"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9" priority="14" stopIfTrue="1" operator="containsText" text="超过">
      <formula>NOT(ISERROR(SEARCH("超过",F42)))</formula>
    </cfRule>
  </conditionalFormatting>
  <conditionalFormatting sqref="J44">
    <cfRule type="containsText" dxfId="38" priority="13" stopIfTrue="1" operator="containsText" text="超过">
      <formula>NOT(ISERROR(SEARCH("超过",J44)))</formula>
    </cfRule>
  </conditionalFormatting>
  <conditionalFormatting sqref="H44">
    <cfRule type="containsText" dxfId="37" priority="12" stopIfTrue="1" operator="containsText" text="超过">
      <formula>NOT(ISERROR(SEARCH("超过",H44)))</formula>
    </cfRule>
  </conditionalFormatting>
  <conditionalFormatting sqref="F44">
    <cfRule type="containsText" dxfId="36" priority="11" stopIfTrue="1" operator="containsText" text="超过">
      <formula>NOT(ISERROR(SEARCH("超过",F44)))</formula>
    </cfRule>
  </conditionalFormatting>
  <conditionalFormatting sqref="F43 H43 J43">
    <cfRule type="containsText" dxfId="35" priority="10" stopIfTrue="1" operator="containsText" text="超过">
      <formula>NOT(ISERROR(SEARCH("超过",F43)))</formula>
    </cfRule>
  </conditionalFormatting>
  <conditionalFormatting sqref="E42">
    <cfRule type="expression" dxfId="34" priority="9" stopIfTrue="1">
      <formula>$F$42="超过30%"</formula>
    </cfRule>
  </conditionalFormatting>
  <conditionalFormatting sqref="G44">
    <cfRule type="expression" dxfId="33" priority="8" stopIfTrue="1">
      <formula>$H$54+$H$44="超过30%"</formula>
    </cfRule>
  </conditionalFormatting>
  <conditionalFormatting sqref="E43">
    <cfRule type="expression" dxfId="32" priority="7" stopIfTrue="1">
      <formula>$F$43="超过20%"</formula>
    </cfRule>
  </conditionalFormatting>
  <conditionalFormatting sqref="E44">
    <cfRule type="expression" dxfId="31" priority="6" stopIfTrue="1">
      <formula>$F$44="超过30%"</formula>
    </cfRule>
  </conditionalFormatting>
  <conditionalFormatting sqref="G42">
    <cfRule type="expression" dxfId="30" priority="5" stopIfTrue="1">
      <formula>$H$52+$H$42="超过30%"</formula>
    </cfRule>
  </conditionalFormatting>
  <conditionalFormatting sqref="G43">
    <cfRule type="expression" dxfId="29" priority="4" stopIfTrue="1">
      <formula>$H$43="超过20%"</formula>
    </cfRule>
  </conditionalFormatting>
  <conditionalFormatting sqref="I42">
    <cfRule type="expression" dxfId="28" priority="3" stopIfTrue="1">
      <formula>$J$52+$J$42="超过30%"</formula>
    </cfRule>
  </conditionalFormatting>
  <conditionalFormatting sqref="I43">
    <cfRule type="expression" dxfId="27" priority="2" stopIfTrue="1">
      <formula>$J$53+$J$43="超过20%"</formula>
    </cfRule>
  </conditionalFormatting>
  <conditionalFormatting sqref="I44">
    <cfRule type="expression" dxfId="2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0" sqref="D3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35</v>
      </c>
      <c r="D1" s="3144" t="s">
        <v>3062</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2"/>
      <c r="J3" s="1362"/>
      <c r="K3" s="1587"/>
      <c r="L3" s="1362"/>
      <c r="M3" s="1362"/>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t="e">
        <f ca="1">C6+C10+C12</f>
        <v>#N/A</v>
      </c>
      <c r="D5" s="2517" t="s">
        <v>2461</v>
      </c>
      <c r="E5" s="2511"/>
      <c r="F5" s="2512"/>
      <c r="G5" s="1588"/>
      <c r="H5" s="780">
        <v>1</v>
      </c>
      <c r="I5" s="781" t="s">
        <v>2458</v>
      </c>
      <c r="J5" s="55" t="e">
        <f ca="1">J6+J10+J12</f>
        <v>#N/A</v>
      </c>
      <c r="K5" s="2517" t="s">
        <v>2461</v>
      </c>
      <c r="L5" s="2511"/>
      <c r="M5" s="2512"/>
    </row>
    <row r="6" spans="1:33" ht="18" customHeight="1">
      <c r="A6" s="1827" t="s">
        <v>1821</v>
      </c>
      <c r="B6" s="3449" t="s">
        <v>2463</v>
      </c>
      <c r="C6" s="782" t="e">
        <f ca="1">ROUND(F6*F8*F7*(1-F9)/10000,0)</f>
        <v>#N/A</v>
      </c>
      <c r="D6" s="2518" t="s">
        <v>2462</v>
      </c>
      <c r="E6" s="783" t="s">
        <v>1735</v>
      </c>
      <c r="F6" s="784" t="e">
        <f ca="1">INDIRECT("'数据-取费表'!u"&amp;$G$1)</f>
        <v>#N/A</v>
      </c>
      <c r="G6" s="1588"/>
      <c r="H6" s="2525" t="s">
        <v>1821</v>
      </c>
      <c r="I6" s="3449" t="s">
        <v>2463</v>
      </c>
      <c r="J6" s="782" t="e">
        <f ca="1">ROUND(M6*M8*M7*(1-M9)/10000,0)</f>
        <v>#N/A</v>
      </c>
      <c r="K6" s="340" t="s">
        <v>632</v>
      </c>
      <c r="L6" s="783" t="s">
        <v>1735</v>
      </c>
      <c r="M6" s="784" t="e">
        <f ca="1">INDIRECT("'数据-取费表'!z"&amp;$G$1)</f>
        <v>#N/A</v>
      </c>
    </row>
    <row r="7" spans="1:33" ht="18" customHeight="1">
      <c r="A7" s="2521"/>
      <c r="B7" s="3450"/>
      <c r="C7" s="787"/>
      <c r="D7" s="788"/>
      <c r="E7" s="783" t="s">
        <v>634</v>
      </c>
      <c r="F7" s="784" t="e">
        <f ca="1">IF(INDIRECT("'数据-取费表'!ah"&amp;$G$1)="",INDIRECT("'数据-取费表'!k"&amp;$G$1),INDIRECT("'数据-取费表'!ah"&amp;$G$1))</f>
        <v>#N/A</v>
      </c>
      <c r="G7" s="1588"/>
      <c r="H7" s="2510"/>
      <c r="I7" s="3450"/>
      <c r="J7" s="787"/>
      <c r="K7" s="788"/>
      <c r="L7" s="783" t="s">
        <v>634</v>
      </c>
      <c r="M7" s="784" t="e">
        <f ca="1">F7</f>
        <v>#N/A</v>
      </c>
    </row>
    <row r="8" spans="1:33" ht="18" customHeight="1">
      <c r="A8" s="2514"/>
      <c r="B8" s="3451"/>
      <c r="C8" s="787"/>
      <c r="D8" s="788"/>
      <c r="E8" s="783" t="s">
        <v>635</v>
      </c>
      <c r="F8" s="784" t="e">
        <f ca="1">INDIRECT("'数据-取费表'!ai"&amp;$G$1)</f>
        <v>#N/A</v>
      </c>
      <c r="G8" s="1588"/>
      <c r="H8" s="2510"/>
      <c r="I8" s="3451"/>
      <c r="J8" s="787"/>
      <c r="K8" s="788"/>
      <c r="L8" s="783" t="s">
        <v>635</v>
      </c>
      <c r="M8" s="784" t="e">
        <f ca="1">INDIRECT("'数据-取费表'!ai"&amp;$G$1)</f>
        <v>#N/A</v>
      </c>
    </row>
    <row r="9" spans="1:33" ht="18" customHeight="1">
      <c r="A9" s="785"/>
      <c r="B9" s="3452"/>
      <c r="C9" s="787"/>
      <c r="D9" s="788"/>
      <c r="E9" s="783" t="s">
        <v>636</v>
      </c>
      <c r="F9" s="793" t="e">
        <f ca="1">INDIRECT("'数据-取费表'!w"&amp;$G$1)</f>
        <v>#N/A</v>
      </c>
      <c r="G9" s="1588"/>
      <c r="H9" s="2526"/>
      <c r="I9" s="3451"/>
      <c r="J9" s="787"/>
      <c r="K9" s="788"/>
      <c r="L9" s="794" t="s">
        <v>636</v>
      </c>
      <c r="M9" s="795" t="e">
        <f ca="1">INDIRECT("'数据-取费表'!ab"&amp;$G$1)</f>
        <v>#N/A</v>
      </c>
    </row>
    <row r="10" spans="1:33" ht="18" customHeight="1">
      <c r="A10" s="1827" t="s">
        <v>1822</v>
      </c>
      <c r="B10" s="2515" t="s">
        <v>2459</v>
      </c>
      <c r="C10" s="798">
        <f ca="1">ROUND(IF(F10="押一",C6/12*F11,IF(F10="押二",C6/12*2*F11,IF(F10="押三",C6/12*3*F11,C11*F11))),0)</f>
        <v>0</v>
      </c>
      <c r="D10" s="2522" t="s">
        <v>2967</v>
      </c>
      <c r="E10" s="2519" t="s">
        <v>2464</v>
      </c>
      <c r="F10" s="2642"/>
      <c r="G10" s="1588"/>
      <c r="H10" s="2582" t="s">
        <v>1822</v>
      </c>
      <c r="I10" s="2587" t="s">
        <v>2459</v>
      </c>
      <c r="J10" s="782">
        <f ca="1">ROUND(IF(M10="押一",J6/12*M11,IF(M10="押二",J6/12*2*M11,IF(M10="押三",J6/12*3*M11,J11*M11))),0)</f>
        <v>0</v>
      </c>
      <c r="K10" s="2522" t="s">
        <v>2967</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1" t="s">
        <v>1742</v>
      </c>
      <c r="E14" s="3170"/>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0.03</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3"/>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1" t="s">
        <v>653</v>
      </c>
      <c r="L17" s="3172"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2" t="s">
        <v>657</v>
      </c>
      <c r="L18" s="783" t="s">
        <v>645</v>
      </c>
      <c r="M18" s="808">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4"/>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0.02</v>
      </c>
      <c r="G20" s="1589"/>
      <c r="H20" s="1647" t="s">
        <v>1830</v>
      </c>
      <c r="I20" s="340" t="s">
        <v>664</v>
      </c>
      <c r="J20" s="54" t="e">
        <f ca="1">ROUND(M20*M21/10000,0)</f>
        <v>#N/A</v>
      </c>
      <c r="K20" s="813" t="s">
        <v>1758</v>
      </c>
      <c r="L20" s="783" t="s">
        <v>666</v>
      </c>
      <c r="M20" s="639">
        <f>'数据-取费表'!B52</f>
        <v>1.5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4"/>
      <c r="F22" s="56"/>
      <c r="G22" s="1588"/>
      <c r="H22" s="1645" t="s">
        <v>1886</v>
      </c>
      <c r="I22" s="783" t="s">
        <v>672</v>
      </c>
      <c r="J22" s="53" t="e">
        <f ca="1">ROUND(J14*M22,0)</f>
        <v>#N/A</v>
      </c>
      <c r="K22" s="3172"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2"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4"/>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5.2400000000000002E-2</v>
      </c>
      <c r="D28" s="811" t="s">
        <v>2298</v>
      </c>
      <c r="E28" s="783" t="s">
        <v>645</v>
      </c>
      <c r="F28" s="808">
        <f>'数据-取费表'!B41</f>
        <v>5.5000000000000007E-2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3"/>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1" t="s">
        <v>653</v>
      </c>
      <c r="E31" s="3172"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2" t="s">
        <v>657</v>
      </c>
      <c r="E32" s="783" t="s">
        <v>645</v>
      </c>
      <c r="F32" s="808">
        <f>'数据-取费表'!B41</f>
        <v>5.5000000000000007E-2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01" t="s">
        <v>3090</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1.5</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2"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2"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t="e">
        <f ca="1">C40/771</f>
        <v>#N/A</v>
      </c>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3061</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2536</v>
      </c>
      <c r="B52" s="2515" t="s">
        <v>2459</v>
      </c>
      <c r="C52" s="798">
        <f ca="1">ROUND(IF(F52="押一",C48/12*F11,IF(F52="押二",C48/12*2*F11,IF(F52="押三",C48/12*3*F11,C53*F11))),0)</f>
        <v>0</v>
      </c>
      <c r="D52" s="2522" t="s">
        <v>2967</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t="e">
        <f ca="1">IF(M47="住宅",J51,IF(D1="——",MIN(J51,L48),IF(D1="土地（套用方法）",MIN(J51,L48-'数据-取费表'!B20))))</f>
        <v>#N/A</v>
      </c>
      <c r="K53" s="3455" t="s">
        <v>2959</v>
      </c>
      <c r="L53" s="3456"/>
      <c r="O53" s="2422" t="s">
        <v>2388</v>
      </c>
      <c r="P53" s="2420" t="s">
        <v>2389</v>
      </c>
      <c r="Q53" s="2421" t="e">
        <f ca="1">J53</f>
        <v>#N/A</v>
      </c>
      <c r="R53" s="2420" t="s">
        <v>2390</v>
      </c>
    </row>
    <row r="54" spans="1:18" s="2056" customFormat="1" ht="18" customHeight="1" thickBot="1">
      <c r="A54" s="2558" t="s">
        <v>2467</v>
      </c>
      <c r="B54" s="2559" t="s">
        <v>2460</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5" t="s">
        <v>2355</v>
      </c>
      <c r="J55" s="3114"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2"/>
      <c r="E56" s="783"/>
      <c r="F56" s="808"/>
      <c r="I56" s="2400" t="s">
        <v>2357</v>
      </c>
      <c r="J56" s="3138"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4"/>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1" t="s">
        <v>653</v>
      </c>
      <c r="E58" s="3172" t="s">
        <v>686</v>
      </c>
      <c r="F58" s="809" t="str">
        <f ca="1">IF(项目基本情况!B11="企业","",IF(INDIRECT("'数据-取费表'!c"&amp;$G$1)="住宅",5%,IF(F48*F49*F50/12/(1+'数据-取费表'!C42)&gt;20000,12%,7%)))</f>
        <v/>
      </c>
      <c r="I58" s="2401" t="s">
        <v>2359</v>
      </c>
      <c r="J58" s="3116"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2" t="s">
        <v>657</v>
      </c>
      <c r="E59" s="783" t="s">
        <v>645</v>
      </c>
      <c r="F59" s="808">
        <f t="shared" ref="F59:F65" si="0">F32</f>
        <v>5.5000000000000007E-2</v>
      </c>
      <c r="I59" s="2401" t="s">
        <v>2360</v>
      </c>
      <c r="J59" s="2403"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2"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1.5</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17" t="s">
        <v>2934</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2" t="s">
        <v>687</v>
      </c>
      <c r="E63" s="783" t="s">
        <v>645</v>
      </c>
      <c r="F63" s="816" t="e">
        <f t="shared" ca="1" si="0"/>
        <v>#N/A</v>
      </c>
      <c r="I63" s="2406" t="s">
        <v>2370</v>
      </c>
      <c r="J63" s="2407">
        <v>70</v>
      </c>
      <c r="K63" s="2407">
        <v>50</v>
      </c>
      <c r="L63" s="2407">
        <v>80</v>
      </c>
      <c r="M63" s="3118">
        <v>0.02</v>
      </c>
      <c r="O63" s="2419" t="s">
        <v>2391</v>
      </c>
      <c r="P63" s="2420" t="s">
        <v>2408</v>
      </c>
      <c r="Q63" s="2421" t="e">
        <f ca="1">Q57+Q58</f>
        <v>#N/A</v>
      </c>
      <c r="R63" s="2424" t="s">
        <v>2392</v>
      </c>
    </row>
    <row r="64" spans="1:18" s="2056" customFormat="1" ht="16.2" thickBot="1">
      <c r="A64" s="1645" t="s">
        <v>1887</v>
      </c>
      <c r="B64" s="783" t="s">
        <v>675</v>
      </c>
      <c r="C64" s="53" t="e">
        <f ca="1">ROUND(C55*F64,1)</f>
        <v>#N/A</v>
      </c>
      <c r="D64" s="3172" t="s">
        <v>676</v>
      </c>
      <c r="E64" s="783" t="s">
        <v>645</v>
      </c>
      <c r="F64" s="817" t="e">
        <f t="shared" ca="1" si="0"/>
        <v>#N/A</v>
      </c>
      <c r="I64" s="2406" t="s">
        <v>2371</v>
      </c>
      <c r="J64" s="2407">
        <v>50</v>
      </c>
      <c r="K64" s="2407">
        <v>35</v>
      </c>
      <c r="L64" s="2407">
        <v>60</v>
      </c>
      <c r="M64" s="3119">
        <v>0</v>
      </c>
      <c r="O64" s="2425" t="s">
        <v>2415</v>
      </c>
      <c r="P64" s="1588"/>
      <c r="Q64" s="1600"/>
      <c r="R64" s="1588"/>
    </row>
    <row r="65" spans="1:18" s="2056" customFormat="1" ht="16.2" thickBot="1">
      <c r="A65" s="1645" t="s">
        <v>1888</v>
      </c>
      <c r="B65" s="783" t="s">
        <v>662</v>
      </c>
      <c r="C65" s="53" t="e">
        <f ca="1">ROUND(C47*F65,1)</f>
        <v>#N/A</v>
      </c>
      <c r="D65" s="3172" t="s">
        <v>679</v>
      </c>
      <c r="E65" s="783" t="s">
        <v>645</v>
      </c>
      <c r="F65" s="793" t="e">
        <f t="shared" ca="1" si="0"/>
        <v>#N/A</v>
      </c>
      <c r="I65" s="2406" t="s">
        <v>2372</v>
      </c>
      <c r="J65" s="2407">
        <v>40</v>
      </c>
      <c r="K65" s="2407">
        <v>30</v>
      </c>
      <c r="L65" s="2407">
        <v>50</v>
      </c>
      <c r="M65" s="3118">
        <v>0.02</v>
      </c>
      <c r="O65" s="2416" t="s">
        <v>2375</v>
      </c>
      <c r="P65" s="2417" t="s">
        <v>2376</v>
      </c>
      <c r="Q65" s="2418" t="s">
        <v>2377</v>
      </c>
      <c r="R65" s="2417" t="s">
        <v>2378</v>
      </c>
    </row>
    <row r="66" spans="1:18" s="2056" customFormat="1" ht="24.6" thickBot="1">
      <c r="A66" s="796" t="s">
        <v>1773</v>
      </c>
      <c r="B66" s="3032" t="s">
        <v>2821</v>
      </c>
      <c r="C66" s="798" t="e">
        <f ca="1">C47-C57</f>
        <v>#N/A</v>
      </c>
      <c r="D66" s="3171" t="s">
        <v>696</v>
      </c>
      <c r="E66" s="3169"/>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5" priority="6">
      <formula>$L$48&gt;$J$51</formula>
    </cfRule>
  </conditionalFormatting>
  <conditionalFormatting sqref="I55">
    <cfRule type="expression" dxfId="24" priority="7">
      <formula>$J$51&gt;$L$48</formula>
    </cfRule>
  </conditionalFormatting>
  <conditionalFormatting sqref="I60">
    <cfRule type="expression" dxfId="23" priority="5">
      <formula>$J$51&gt;$L$48</formula>
    </cfRule>
  </conditionalFormatting>
  <conditionalFormatting sqref="K60">
    <cfRule type="expression" dxfId="22" priority="4">
      <formula>$L$48&gt;$J$51</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3">
    <cfRule type="expression" dxfId="1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受贵公司委托，我公司对北京市北京市大兴区旧宫镇旧忠路19号出让国有建设用地使用权抵押价格进行了预评估。</v>
      </c>
    </row>
    <row r="5" spans="1:4" ht="17.399999999999999">
      <c r="A5" s="1791" t="s">
        <v>1902</v>
      </c>
    </row>
    <row r="6" spans="1:4" ht="69.599999999999994">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北京市北京市大兴区旧宫镇旧忠路19号出让国有建设用地使用权。根据《国有土地使用证》[]，估价对象（分摊）出让国有建设用地使用权面积为2990平方米。根据《建设工程规划许可证》[]、《出让合同》[]，估价对象规划建筑面积为8970平方米。</v>
      </c>
    </row>
    <row r="7" spans="1:4" ht="87">
      <c r="A7" s="2894" t="s">
        <v>2748</v>
      </c>
    </row>
    <row r="8" spans="1:4" ht="17.399999999999999">
      <c r="A8" s="1791" t="s">
        <v>1903</v>
      </c>
    </row>
    <row r="9" spans="1:4" ht="69.599999999999994">
      <c r="A9" s="1793" t="str">
        <f>IF(项目基本情况!B8="抵押",IF(项目基本情况!B5=项目基本情况!B6,定义!C51,定义!B51),定义!D51)</f>
        <v>0拟使用北京市北京市大兴区旧宫镇旧忠路19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2018年8月28日（评估专业人员勘察现场之日）</v>
      </c>
    </row>
    <row r="12" spans="1:4" ht="17.399999999999999">
      <c r="A12" s="1794" t="s">
        <v>2024</v>
      </c>
    </row>
    <row r="13" spans="1:4" ht="17.399999999999999">
      <c r="A13" s="1788" t="s">
        <v>2070</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根据《国有土地使用证》[]，估价对象（分摊）出让国有建设用地使用权面积为2990平方米。根据《建设工程规划许可证》[]、《出让合同》[]，估价对象规划建筑面积为8970平方米。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2073</v>
      </c>
    </row>
    <row r="23" spans="1:1" ht="17.399999999999999">
      <c r="A23" s="2896" t="s">
        <v>2749</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8月28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714</v>
      </c>
      <c r="B1" s="922"/>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10" t="s">
        <v>794</v>
      </c>
      <c r="D4" s="3411"/>
      <c r="E4" s="3435" t="s">
        <v>795</v>
      </c>
      <c r="F4" s="3436"/>
      <c r="G4" s="3410" t="s">
        <v>796</v>
      </c>
      <c r="H4" s="3411"/>
      <c r="I4" s="3410" t="s">
        <v>797</v>
      </c>
      <c r="J4" s="3411"/>
      <c r="K4" s="513" t="s">
        <v>798</v>
      </c>
      <c r="L4" s="2130"/>
      <c r="M4" s="2131"/>
      <c r="N4" s="2131"/>
      <c r="O4" s="2131"/>
      <c r="P4" s="3412" t="s">
        <v>799</v>
      </c>
      <c r="Q4" s="3413"/>
      <c r="R4" s="3398" t="s">
        <v>795</v>
      </c>
      <c r="S4" s="3399"/>
      <c r="T4" s="3398" t="s">
        <v>796</v>
      </c>
      <c r="U4" s="3399"/>
      <c r="V4" s="3418" t="s">
        <v>797</v>
      </c>
      <c r="W4" s="3418"/>
      <c r="X4" s="1563"/>
      <c r="Y4" s="3398" t="s">
        <v>799</v>
      </c>
      <c r="Z4" s="3399"/>
      <c r="AA4" s="3393" t="s">
        <v>795</v>
      </c>
      <c r="AB4" s="3394" t="s">
        <v>796</v>
      </c>
      <c r="AC4" s="3393" t="s">
        <v>797</v>
      </c>
    </row>
    <row r="5" spans="1:29">
      <c r="A5" s="514"/>
      <c r="B5" s="515"/>
      <c r="C5" s="3423" t="s">
        <v>2921</v>
      </c>
      <c r="D5" s="3422"/>
      <c r="E5" s="3437" t="s">
        <v>2922</v>
      </c>
      <c r="F5" s="3438"/>
      <c r="G5" s="3423" t="s">
        <v>2923</v>
      </c>
      <c r="H5" s="3422"/>
      <c r="I5" s="3423" t="s">
        <v>2924</v>
      </c>
      <c r="J5" s="3422"/>
      <c r="K5" s="513"/>
      <c r="L5" s="2130"/>
      <c r="M5" s="2131"/>
      <c r="N5" s="2131"/>
      <c r="O5" s="2131"/>
      <c r="P5" s="3414"/>
      <c r="Q5" s="3415"/>
      <c r="R5" s="3400"/>
      <c r="S5" s="3401"/>
      <c r="T5" s="3400"/>
      <c r="U5" s="3401"/>
      <c r="V5" s="3418"/>
      <c r="W5" s="3418"/>
      <c r="X5" s="1563"/>
      <c r="Y5" s="3400"/>
      <c r="Z5" s="3401"/>
      <c r="AA5" s="3394"/>
      <c r="AB5" s="3394"/>
      <c r="AC5" s="3394"/>
    </row>
    <row r="6" spans="1:29" ht="15" thickBot="1">
      <c r="A6" s="516"/>
      <c r="B6" s="517"/>
      <c r="C6" s="3419" t="s">
        <v>2925</v>
      </c>
      <c r="D6" s="3420"/>
      <c r="E6" s="3439" t="s">
        <v>2925</v>
      </c>
      <c r="F6" s="3440"/>
      <c r="G6" s="3419" t="s">
        <v>2925</v>
      </c>
      <c r="H6" s="3420"/>
      <c r="I6" s="3419" t="s">
        <v>2925</v>
      </c>
      <c r="J6" s="3420"/>
      <c r="K6" s="513" t="s">
        <v>524</v>
      </c>
      <c r="L6" s="2130"/>
      <c r="M6" s="2131"/>
      <c r="N6" s="2131"/>
      <c r="O6" s="2131"/>
      <c r="P6" s="3416"/>
      <c r="Q6" s="3417"/>
      <c r="R6" s="3400"/>
      <c r="S6" s="3401"/>
      <c r="T6" s="3402"/>
      <c r="U6" s="3403"/>
      <c r="V6" s="3418"/>
      <c r="W6" s="3418"/>
      <c r="X6" s="1563"/>
      <c r="Y6" s="3402"/>
      <c r="Z6" s="3403"/>
      <c r="AA6" s="3395"/>
      <c r="AB6" s="3395"/>
      <c r="AC6" s="3395"/>
    </row>
    <row r="7" spans="1:29" s="1219" customFormat="1" ht="15" thickBot="1">
      <c r="A7" s="2933"/>
      <c r="B7" s="2940" t="s">
        <v>525</v>
      </c>
      <c r="C7" s="518">
        <f>'数据-取费表'!B2</f>
        <v>43340</v>
      </c>
      <c r="D7" s="519">
        <v>100</v>
      </c>
      <c r="E7" s="520"/>
      <c r="F7" s="521">
        <f>SUMIF(46:46,YEAR(E7)&amp;"-"&amp;MONTH(E7),47:47)</f>
        <v>0</v>
      </c>
      <c r="G7" s="522"/>
      <c r="H7" s="519">
        <f>SUMIF(46:46,YEAR(G7)&amp;"-"&amp;MONTH(G7),47:47)</f>
        <v>0</v>
      </c>
      <c r="I7" s="522"/>
      <c r="J7" s="519">
        <f>SUMIF(46:46,YEAR(I7)&amp;"-"&amp;MONTH(I7),47:47)</f>
        <v>0</v>
      </c>
      <c r="K7" s="523"/>
      <c r="L7" s="2132"/>
      <c r="M7" s="2133"/>
      <c r="N7" s="2133"/>
      <c r="O7" s="2133"/>
      <c r="P7" s="3396" t="s">
        <v>526</v>
      </c>
      <c r="Q7" s="3405"/>
      <c r="R7" s="1564" t="s">
        <v>8</v>
      </c>
      <c r="S7" s="1565">
        <f t="shared" ref="S7:S14" si="0">F7</f>
        <v>0</v>
      </c>
      <c r="T7" s="1564" t="s">
        <v>8</v>
      </c>
      <c r="U7" s="1565">
        <f t="shared" ref="U7:U14" si="1">H7</f>
        <v>0</v>
      </c>
      <c r="V7" s="1564" t="s">
        <v>8</v>
      </c>
      <c r="W7" s="1565">
        <f t="shared" ref="W7:W14" si="2">J7</f>
        <v>0</v>
      </c>
      <c r="X7" s="1566"/>
      <c r="Y7" s="3396" t="s">
        <v>526</v>
      </c>
      <c r="Z7" s="3397"/>
      <c r="AA7" s="1567" t="e">
        <f>D7/F7</f>
        <v>#DIV/0!</v>
      </c>
      <c r="AB7" s="1567" t="e">
        <f>D7/H7</f>
        <v>#DIV/0!</v>
      </c>
      <c r="AC7" s="1567" t="e">
        <f>D7/J7</f>
        <v>#DIV/0!</v>
      </c>
    </row>
    <row r="8" spans="1:29" s="1219" customFormat="1" ht="1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396" t="s">
        <v>529</v>
      </c>
      <c r="Q8" s="3397"/>
      <c r="R8" s="1564" t="s">
        <v>8</v>
      </c>
      <c r="S8" s="1565">
        <f t="shared" si="0"/>
        <v>0</v>
      </c>
      <c r="T8" s="1564" t="s">
        <v>8</v>
      </c>
      <c r="U8" s="1565">
        <f t="shared" si="1"/>
        <v>0</v>
      </c>
      <c r="V8" s="1564" t="s">
        <v>8</v>
      </c>
      <c r="W8" s="1565">
        <f t="shared" si="2"/>
        <v>0</v>
      </c>
      <c r="X8" s="1566"/>
      <c r="Y8" s="3396" t="s">
        <v>529</v>
      </c>
      <c r="Z8" s="3397"/>
      <c r="AA8" s="1567" t="e">
        <f t="shared" ref="AA8:AA34" si="3">D8/F8</f>
        <v>#DIV/0!</v>
      </c>
      <c r="AB8" s="1567" t="e">
        <f t="shared" ref="AB8:AB34" si="4">D8/H8</f>
        <v>#DIV/0!</v>
      </c>
      <c r="AC8" s="1567" t="e">
        <f t="shared" ref="AC8:AC34" si="5">D8/J8</f>
        <v>#DIV/0!</v>
      </c>
    </row>
    <row r="9" spans="1:29" s="1219" customFormat="1" ht="14.4">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04" t="s">
        <v>531</v>
      </c>
      <c r="Q9" s="1150" t="str">
        <f t="shared" ref="Q9:Q14" si="6">B9</f>
        <v>用途</v>
      </c>
      <c r="R9" s="1564" t="s">
        <v>8</v>
      </c>
      <c r="S9" s="1565">
        <f t="shared" si="0"/>
        <v>100</v>
      </c>
      <c r="T9" s="1564" t="s">
        <v>8</v>
      </c>
      <c r="U9" s="1565">
        <f t="shared" si="1"/>
        <v>100</v>
      </c>
      <c r="V9" s="1564" t="s">
        <v>8</v>
      </c>
      <c r="W9" s="1565">
        <f t="shared" si="2"/>
        <v>100</v>
      </c>
      <c r="X9" s="1566"/>
      <c r="Y9" s="3361" t="s">
        <v>532</v>
      </c>
      <c r="Z9" s="1149" t="str">
        <f t="shared" ref="Z9:Z14" si="7">Q9</f>
        <v>用途</v>
      </c>
      <c r="AA9" s="1567">
        <f t="shared" si="3"/>
        <v>1</v>
      </c>
      <c r="AB9" s="1567">
        <f t="shared" si="4"/>
        <v>1</v>
      </c>
      <c r="AC9" s="1567">
        <f t="shared" si="5"/>
        <v>1</v>
      </c>
    </row>
    <row r="10" spans="1:29" s="1337" customFormat="1" ht="28.8">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04"/>
      <c r="Q10" s="1150" t="str">
        <f t="shared" si="6"/>
        <v>土地使用年限（年）</v>
      </c>
      <c r="R10" s="1564" t="s">
        <v>8</v>
      </c>
      <c r="S10" s="1565">
        <f t="shared" si="0"/>
        <v>100</v>
      </c>
      <c r="T10" s="1564" t="s">
        <v>8</v>
      </c>
      <c r="U10" s="1565">
        <f t="shared" si="1"/>
        <v>100</v>
      </c>
      <c r="V10" s="1564" t="s">
        <v>8</v>
      </c>
      <c r="W10" s="1565">
        <f t="shared" si="2"/>
        <v>100</v>
      </c>
      <c r="X10" s="1566"/>
      <c r="Y10" s="3361"/>
      <c r="Z10" s="1149" t="str">
        <f t="shared" si="7"/>
        <v>土地使用年限（年）</v>
      </c>
      <c r="AA10" s="1567">
        <f t="shared" si="3"/>
        <v>1</v>
      </c>
      <c r="AB10" s="1567">
        <f t="shared" si="4"/>
        <v>1</v>
      </c>
      <c r="AC10" s="1567">
        <f t="shared" si="5"/>
        <v>1</v>
      </c>
    </row>
    <row r="11" spans="1:29" ht="15">
      <c r="A11" s="2938"/>
      <c r="B11" s="2944">
        <v>111</v>
      </c>
      <c r="C11" s="527"/>
      <c r="D11" s="254">
        <v>100</v>
      </c>
      <c r="E11" s="879"/>
      <c r="F11" s="254">
        <f>SUMIF(55:55,E11,56:56)-SUMIF(55:55,C11,56:56)+100</f>
        <v>100</v>
      </c>
      <c r="G11" s="879"/>
      <c r="H11" s="254">
        <f>SUMIF(55:55,G11,56:56)-SUMIF(55:55,C11,56:56)+100</f>
        <v>100</v>
      </c>
      <c r="I11" s="879"/>
      <c r="J11" s="254">
        <f>SUMIF(55:55,I11,56:56)-SUMIF(55:55,C11,56:56)+100</f>
        <v>100</v>
      </c>
      <c r="K11" s="580"/>
      <c r="L11" s="2137"/>
      <c r="M11" s="2131"/>
      <c r="N11" s="2131"/>
      <c r="O11" s="2138"/>
      <c r="P11" s="3404"/>
      <c r="Q11" s="1150">
        <f t="shared" si="6"/>
        <v>111</v>
      </c>
      <c r="R11" s="1564" t="s">
        <v>8</v>
      </c>
      <c r="S11" s="1565">
        <f t="shared" si="0"/>
        <v>100</v>
      </c>
      <c r="T11" s="1564" t="s">
        <v>8</v>
      </c>
      <c r="U11" s="1565">
        <f t="shared" si="1"/>
        <v>100</v>
      </c>
      <c r="V11" s="1564" t="s">
        <v>8</v>
      </c>
      <c r="W11" s="1565">
        <f t="shared" si="2"/>
        <v>100</v>
      </c>
      <c r="X11" s="1566"/>
      <c r="Y11" s="3361"/>
      <c r="Z11" s="1149">
        <f t="shared" si="7"/>
        <v>111</v>
      </c>
      <c r="AA11" s="1567">
        <f t="shared" si="3"/>
        <v>1</v>
      </c>
      <c r="AB11" s="1567">
        <f t="shared" si="4"/>
        <v>1</v>
      </c>
      <c r="AC11" s="1567">
        <f t="shared" si="5"/>
        <v>1</v>
      </c>
    </row>
    <row r="12" spans="1:29" s="1219" customFormat="1" ht="15">
      <c r="A12" s="2938"/>
      <c r="B12" s="2944">
        <v>111</v>
      </c>
      <c r="C12" s="527"/>
      <c r="D12" s="537">
        <v>100</v>
      </c>
      <c r="E12" s="879"/>
      <c r="F12" s="254">
        <f>SUMIF(57:57,E12,58:58)-SUMIF(57:57,C12,58:58)+100</f>
        <v>100</v>
      </c>
      <c r="G12" s="879"/>
      <c r="H12" s="254">
        <f>SUMIF(57:57,G12,58:58)-SUMIF(57:57,C12,58:58)+100</f>
        <v>100</v>
      </c>
      <c r="I12" s="879"/>
      <c r="J12" s="254">
        <f>SUMIF(57:57,I12,58:58)-SUMIF(57:57,C12,58:58)+100</f>
        <v>100</v>
      </c>
      <c r="K12" s="580"/>
      <c r="L12" s="2132"/>
      <c r="M12" s="2133"/>
      <c r="N12" s="2133"/>
      <c r="O12" s="2134"/>
      <c r="P12" s="3404"/>
      <c r="Q12" s="1150">
        <f t="shared" si="6"/>
        <v>111</v>
      </c>
      <c r="R12" s="1564" t="s">
        <v>8</v>
      </c>
      <c r="S12" s="1565">
        <f t="shared" si="0"/>
        <v>100</v>
      </c>
      <c r="T12" s="1564" t="s">
        <v>8</v>
      </c>
      <c r="U12" s="1565">
        <f t="shared" si="1"/>
        <v>100</v>
      </c>
      <c r="V12" s="1564" t="s">
        <v>8</v>
      </c>
      <c r="W12" s="1565">
        <f t="shared" si="2"/>
        <v>100</v>
      </c>
      <c r="X12" s="1566"/>
      <c r="Y12" s="3361"/>
      <c r="Z12" s="1149">
        <f t="shared" si="7"/>
        <v>111</v>
      </c>
      <c r="AA12" s="1567">
        <f>D12/F12</f>
        <v>1</v>
      </c>
      <c r="AB12" s="1567">
        <f>D12/H12</f>
        <v>1</v>
      </c>
      <c r="AC12" s="1567">
        <f>D12/J12</f>
        <v>1</v>
      </c>
    </row>
    <row r="13" spans="1:29" ht="15.6" thickBot="1">
      <c r="A13" s="2939"/>
      <c r="B13" s="2945">
        <v>111</v>
      </c>
      <c r="C13" s="538"/>
      <c r="D13" s="539">
        <v>100</v>
      </c>
      <c r="E13" s="879"/>
      <c r="F13" s="254">
        <f>SUMIF(59:59,E13,60:60)-SUMIF(59:59,C13,60:60)+100</f>
        <v>100</v>
      </c>
      <c r="G13" s="879"/>
      <c r="H13" s="539">
        <f>SUMIF(59:59,G13,60:60)-SUMIF(59:59,C13,60:60)+100</f>
        <v>100</v>
      </c>
      <c r="I13" s="879"/>
      <c r="J13" s="539">
        <f>SUMIF(59:59,I13,60:60)-SUMIF(59:59,C13,60:60)+100</f>
        <v>100</v>
      </c>
      <c r="K13" s="580"/>
      <c r="L13" s="2139"/>
      <c r="M13" s="2131"/>
      <c r="N13" s="2131"/>
      <c r="O13" s="2138"/>
      <c r="P13" s="3404"/>
      <c r="Q13" s="1150">
        <f t="shared" si="6"/>
        <v>111</v>
      </c>
      <c r="R13" s="1564" t="s">
        <v>8</v>
      </c>
      <c r="S13" s="1565">
        <f t="shared" si="0"/>
        <v>100</v>
      </c>
      <c r="T13" s="1564" t="s">
        <v>8</v>
      </c>
      <c r="U13" s="1565">
        <f t="shared" si="1"/>
        <v>100</v>
      </c>
      <c r="V13" s="1564" t="s">
        <v>8</v>
      </c>
      <c r="W13" s="1565">
        <f t="shared" si="2"/>
        <v>100</v>
      </c>
      <c r="X13" s="1566"/>
      <c r="Y13" s="3361"/>
      <c r="Z13" s="1149">
        <f t="shared" si="7"/>
        <v>111</v>
      </c>
      <c r="AA13" s="1567">
        <f t="shared" si="3"/>
        <v>1</v>
      </c>
      <c r="AB13" s="1567">
        <f t="shared" si="4"/>
        <v>1</v>
      </c>
      <c r="AC13" s="1567">
        <f t="shared" si="5"/>
        <v>1</v>
      </c>
    </row>
    <row r="14" spans="1:29" ht="27.6">
      <c r="A14" s="2931" t="s">
        <v>2754</v>
      </c>
      <c r="B14" s="166" t="s">
        <v>539</v>
      </c>
      <c r="C14" s="920" t="str">
        <f>IF(B1="工业",估价对象房地状况!G4,估价对象房地状况!C6)</f>
        <v>交通便捷度较差</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06" t="s">
        <v>536</v>
      </c>
      <c r="Q14" s="1568" t="str">
        <f t="shared" si="6"/>
        <v>交通便捷度</v>
      </c>
      <c r="R14" s="1569" t="s">
        <v>8</v>
      </c>
      <c r="S14" s="1570">
        <f t="shared" si="0"/>
        <v>100</v>
      </c>
      <c r="T14" s="1569" t="s">
        <v>8</v>
      </c>
      <c r="U14" s="1570">
        <f t="shared" si="1"/>
        <v>100</v>
      </c>
      <c r="V14" s="1569" t="s">
        <v>8</v>
      </c>
      <c r="W14" s="1570">
        <f t="shared" si="2"/>
        <v>100</v>
      </c>
      <c r="X14" s="1563"/>
      <c r="Y14" s="3406"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8"/>
      <c r="L15" s="2139"/>
      <c r="M15" s="2131"/>
      <c r="N15" s="2131"/>
      <c r="O15" s="2138"/>
      <c r="P15" s="3407"/>
      <c r="Q15" s="1568"/>
      <c r="R15" s="1569"/>
      <c r="S15" s="1570"/>
      <c r="T15" s="1569"/>
      <c r="U15" s="1570"/>
      <c r="V15" s="1569"/>
      <c r="W15" s="1570"/>
      <c r="X15" s="1563"/>
      <c r="Y15" s="3407"/>
      <c r="Z15" s="1571"/>
      <c r="AA15" s="1572">
        <v>1</v>
      </c>
      <c r="AB15" s="1572">
        <v>1</v>
      </c>
      <c r="AC15" s="1572">
        <v>1</v>
      </c>
    </row>
    <row r="16" spans="1:29" ht="27.6">
      <c r="A16" s="531"/>
      <c r="B16" s="2624" t="s">
        <v>2546</v>
      </c>
      <c r="C16" s="871" t="str">
        <f>IF(B1="工业",估价对象房地状况!G5,估价对象房地状况!C7)</f>
        <v>公共配套设施齐备度较差</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07"/>
      <c r="Q16" s="1568" t="str">
        <f>B16</f>
        <v>公共配套设施</v>
      </c>
      <c r="R16" s="1569" t="s">
        <v>8</v>
      </c>
      <c r="S16" s="1570">
        <f>F16</f>
        <v>100</v>
      </c>
      <c r="T16" s="1569" t="s">
        <v>8</v>
      </c>
      <c r="U16" s="1570">
        <f>H16</f>
        <v>100</v>
      </c>
      <c r="V16" s="1569" t="s">
        <v>8</v>
      </c>
      <c r="W16" s="1570">
        <f>J16</f>
        <v>100</v>
      </c>
      <c r="X16" s="1563"/>
      <c r="Y16" s="3407"/>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8"/>
      <c r="L17" s="2139"/>
      <c r="M17" s="2131"/>
      <c r="N17" s="2131"/>
      <c r="O17" s="2138"/>
      <c r="P17" s="3407"/>
      <c r="Q17" s="1568"/>
      <c r="R17" s="1569"/>
      <c r="S17" s="1570"/>
      <c r="T17" s="1569"/>
      <c r="U17" s="1570"/>
      <c r="V17" s="1569"/>
      <c r="W17" s="1570"/>
      <c r="X17" s="1563"/>
      <c r="Y17" s="3407"/>
      <c r="Z17" s="1571"/>
      <c r="AA17" s="1572">
        <v>1</v>
      </c>
      <c r="AB17" s="1572">
        <v>1</v>
      </c>
      <c r="AC17" s="1572">
        <v>1</v>
      </c>
    </row>
    <row r="18" spans="1:29" ht="15">
      <c r="A18" s="531"/>
      <c r="B18" s="2612" t="s">
        <v>2558</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07"/>
      <c r="Q18" s="2600" t="str">
        <f>B18</f>
        <v>基础设施水平</v>
      </c>
      <c r="R18" s="1569" t="s">
        <v>8</v>
      </c>
      <c r="S18" s="1570">
        <f>F18</f>
        <v>100</v>
      </c>
      <c r="T18" s="1569" t="s">
        <v>8</v>
      </c>
      <c r="U18" s="1570">
        <f>H18</f>
        <v>100</v>
      </c>
      <c r="V18" s="1569" t="s">
        <v>8</v>
      </c>
      <c r="W18" s="1570">
        <f>J18</f>
        <v>100</v>
      </c>
      <c r="X18" s="2602"/>
      <c r="Y18" s="3407"/>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07"/>
      <c r="Q19" s="2600"/>
      <c r="R19" s="1569"/>
      <c r="S19" s="1570"/>
      <c r="T19" s="1569"/>
      <c r="U19" s="1570"/>
      <c r="V19" s="1569"/>
      <c r="W19" s="1570"/>
      <c r="X19" s="2602"/>
      <c r="Y19" s="3407"/>
      <c r="Z19" s="2601"/>
      <c r="AA19" s="1572">
        <v>1</v>
      </c>
      <c r="AB19" s="1572">
        <v>1</v>
      </c>
      <c r="AC19" s="1572">
        <v>1</v>
      </c>
    </row>
    <row r="20" spans="1:29" ht="27.6">
      <c r="A20" s="531"/>
      <c r="B20" s="870" t="s">
        <v>800</v>
      </c>
      <c r="C20" s="871" t="str">
        <f>IF(B1="工业",估价对象房地状况!G7,估价对象房地状况!C9)</f>
        <v>自然人文环境较差</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07"/>
      <c r="Q20" s="1568" t="str">
        <f>B20</f>
        <v>自然及人文环境</v>
      </c>
      <c r="R20" s="1569" t="s">
        <v>8</v>
      </c>
      <c r="S20" s="1570">
        <f>F20</f>
        <v>100</v>
      </c>
      <c r="T20" s="1569" t="s">
        <v>8</v>
      </c>
      <c r="U20" s="1570">
        <f>H20</f>
        <v>100</v>
      </c>
      <c r="V20" s="1569" t="s">
        <v>8</v>
      </c>
      <c r="W20" s="1570">
        <f>J20</f>
        <v>100</v>
      </c>
      <c r="X20" s="1563"/>
      <c r="Y20" s="3407"/>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8"/>
      <c r="L21" s="2139"/>
      <c r="M21" s="2131"/>
      <c r="N21" s="2131"/>
      <c r="O21" s="2138"/>
      <c r="P21" s="3407"/>
      <c r="Q21" s="1568"/>
      <c r="R21" s="1569"/>
      <c r="S21" s="1570"/>
      <c r="T21" s="1569"/>
      <c r="U21" s="1570"/>
      <c r="V21" s="1569"/>
      <c r="W21" s="1570"/>
      <c r="X21" s="1563"/>
      <c r="Y21" s="3407"/>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07"/>
      <c r="Q22" s="1568" t="str">
        <f>B22</f>
        <v>楼层</v>
      </c>
      <c r="R22" s="1569" t="s">
        <v>8</v>
      </c>
      <c r="S22" s="1570">
        <f>F22</f>
        <v>100</v>
      </c>
      <c r="T22" s="1569" t="s">
        <v>8</v>
      </c>
      <c r="U22" s="1570">
        <f>H22</f>
        <v>100</v>
      </c>
      <c r="V22" s="1569" t="s">
        <v>8</v>
      </c>
      <c r="W22" s="1570">
        <f>J22</f>
        <v>100</v>
      </c>
      <c r="X22" s="1563"/>
      <c r="Y22" s="3407"/>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07"/>
      <c r="Q23" s="1568">
        <f>B23</f>
        <v>111</v>
      </c>
      <c r="R23" s="1569" t="s">
        <v>8</v>
      </c>
      <c r="S23" s="1570">
        <f>F23</f>
        <v>100</v>
      </c>
      <c r="T23" s="1569" t="s">
        <v>8</v>
      </c>
      <c r="U23" s="1570">
        <f>H23</f>
        <v>100</v>
      </c>
      <c r="V23" s="1569" t="s">
        <v>8</v>
      </c>
      <c r="W23" s="1570">
        <f>J23</f>
        <v>100</v>
      </c>
      <c r="X23" s="1563"/>
      <c r="Y23" s="3407"/>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07"/>
      <c r="Q24" s="1568">
        <f t="shared" ref="Q24:Q34" si="11">B24</f>
        <v>111</v>
      </c>
      <c r="R24" s="1569" t="s">
        <v>8</v>
      </c>
      <c r="S24" s="1570">
        <f>F24</f>
        <v>100</v>
      </c>
      <c r="T24" s="1569" t="s">
        <v>8</v>
      </c>
      <c r="U24" s="1570">
        <f>H24</f>
        <v>100</v>
      </c>
      <c r="V24" s="1569" t="s">
        <v>8</v>
      </c>
      <c r="W24" s="1570">
        <f>J24</f>
        <v>100</v>
      </c>
      <c r="X24" s="1563"/>
      <c r="Y24" s="3407"/>
      <c r="Z24" s="1571">
        <f>Q24</f>
        <v>111</v>
      </c>
      <c r="AA24" s="1572">
        <f t="shared" si="3"/>
        <v>1</v>
      </c>
      <c r="AB24" s="1572">
        <f t="shared" si="4"/>
        <v>1</v>
      </c>
      <c r="AC24" s="1572">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07"/>
      <c r="Q25" s="1150">
        <f t="shared" si="11"/>
        <v>111</v>
      </c>
      <c r="R25" s="1564" t="s">
        <v>8</v>
      </c>
      <c r="S25" s="1565">
        <f>F25</f>
        <v>100</v>
      </c>
      <c r="T25" s="1564" t="s">
        <v>8</v>
      </c>
      <c r="U25" s="1565">
        <f>H25</f>
        <v>100</v>
      </c>
      <c r="V25" s="1564" t="s">
        <v>8</v>
      </c>
      <c r="W25" s="1565">
        <f>J25</f>
        <v>100</v>
      </c>
      <c r="X25" s="1566"/>
      <c r="Y25" s="3407"/>
      <c r="Z25" s="1149">
        <f>Q25</f>
        <v>111</v>
      </c>
      <c r="AA25" s="1572">
        <f>D25/F25</f>
        <v>1</v>
      </c>
      <c r="AB25" s="1572">
        <f>D25/H25</f>
        <v>1</v>
      </c>
      <c r="AC25" s="1572">
        <f>D25/J25</f>
        <v>1</v>
      </c>
    </row>
    <row r="26" spans="1:29" ht="15">
      <c r="A26" s="2928" t="s">
        <v>2755</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08"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09" t="s">
        <v>817</v>
      </c>
      <c r="Z26" s="1571" t="str">
        <f t="shared" ref="Z26:Z34" si="15">Q26</f>
        <v>公共部分装修</v>
      </c>
      <c r="AA26" s="1572">
        <f t="shared" si="3"/>
        <v>1</v>
      </c>
      <c r="AB26" s="1572">
        <f t="shared" si="4"/>
        <v>1</v>
      </c>
      <c r="AC26" s="1572">
        <f t="shared" si="5"/>
        <v>1</v>
      </c>
    </row>
    <row r="27" spans="1:29" s="1338" customFormat="1" ht="15">
      <c r="A27" s="602"/>
      <c r="B27" s="526" t="s">
        <v>805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09"/>
      <c r="Q27" s="1601" t="str">
        <f t="shared" si="11"/>
        <v>成新率</v>
      </c>
      <c r="R27" s="1573" t="s">
        <v>8</v>
      </c>
      <c r="S27" s="1574" t="e">
        <f t="shared" si="12"/>
        <v>#N/A</v>
      </c>
      <c r="T27" s="1573" t="s">
        <v>8</v>
      </c>
      <c r="U27" s="1574" t="e">
        <f t="shared" si="13"/>
        <v>#N/A</v>
      </c>
      <c r="V27" s="1573" t="s">
        <v>8</v>
      </c>
      <c r="W27" s="1574" t="e">
        <f t="shared" si="14"/>
        <v>#N/A</v>
      </c>
      <c r="X27" s="1575"/>
      <c r="Y27" s="3409"/>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09"/>
      <c r="Q28" s="1568" t="str">
        <f t="shared" si="11"/>
        <v>物业等级</v>
      </c>
      <c r="R28" s="1569" t="s">
        <v>8</v>
      </c>
      <c r="S28" s="1570">
        <f t="shared" si="12"/>
        <v>100</v>
      </c>
      <c r="T28" s="1569" t="s">
        <v>8</v>
      </c>
      <c r="U28" s="1570">
        <f t="shared" si="13"/>
        <v>100</v>
      </c>
      <c r="V28" s="1569" t="s">
        <v>8</v>
      </c>
      <c r="W28" s="1570">
        <f t="shared" si="14"/>
        <v>100</v>
      </c>
      <c r="X28" s="1563"/>
      <c r="Y28" s="3409"/>
      <c r="Z28" s="1571" t="str">
        <f t="shared" si="15"/>
        <v>物业等级</v>
      </c>
      <c r="AA28" s="1572">
        <f t="shared" si="3"/>
        <v>1</v>
      </c>
      <c r="AB28" s="1572">
        <f t="shared" si="4"/>
        <v>1</v>
      </c>
      <c r="AC28" s="1572">
        <f t="shared" si="5"/>
        <v>1</v>
      </c>
    </row>
    <row r="29" spans="1:29" ht="15">
      <c r="A29" s="593"/>
      <c r="B29" s="526" t="s">
        <v>818</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09"/>
      <c r="Q29" s="1568" t="str">
        <f t="shared" si="11"/>
        <v>有无电梯</v>
      </c>
      <c r="R29" s="1569" t="s">
        <v>8</v>
      </c>
      <c r="S29" s="1570">
        <f t="shared" si="12"/>
        <v>100</v>
      </c>
      <c r="T29" s="1569" t="s">
        <v>8</v>
      </c>
      <c r="U29" s="1570">
        <f t="shared" si="13"/>
        <v>100</v>
      </c>
      <c r="V29" s="1569" t="s">
        <v>8</v>
      </c>
      <c r="W29" s="1570">
        <f t="shared" si="14"/>
        <v>100</v>
      </c>
      <c r="X29" s="1563"/>
      <c r="Y29" s="3409"/>
      <c r="Z29" s="1571" t="str">
        <f t="shared" si="15"/>
        <v>有无电梯</v>
      </c>
      <c r="AA29" s="1572">
        <f t="shared" si="3"/>
        <v>1</v>
      </c>
      <c r="AB29" s="1572">
        <f t="shared" si="4"/>
        <v>1</v>
      </c>
      <c r="AC29" s="1572">
        <f t="shared" si="5"/>
        <v>1</v>
      </c>
    </row>
    <row r="30" spans="1:29" ht="15">
      <c r="A30" s="593"/>
      <c r="B30" s="526" t="s">
        <v>819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09"/>
      <c r="Q30" s="1568" t="str">
        <f t="shared" si="11"/>
        <v>建筑面积</v>
      </c>
      <c r="R30" s="1569" t="s">
        <v>8</v>
      </c>
      <c r="S30" s="1570" t="e">
        <f t="shared" si="12"/>
        <v>#N/A</v>
      </c>
      <c r="T30" s="1569" t="s">
        <v>8</v>
      </c>
      <c r="U30" s="1570" t="e">
        <f t="shared" si="13"/>
        <v>#N/A</v>
      </c>
      <c r="V30" s="1569" t="s">
        <v>8</v>
      </c>
      <c r="W30" s="1570" t="e">
        <f t="shared" si="14"/>
        <v>#N/A</v>
      </c>
      <c r="X30" s="1563"/>
      <c r="Y30" s="3409"/>
      <c r="Z30" s="1571" t="str">
        <f t="shared" si="15"/>
        <v>建筑面积</v>
      </c>
      <c r="AA30" s="1572" t="e">
        <f t="shared" si="3"/>
        <v>#N/A</v>
      </c>
      <c r="AB30" s="1572" t="e">
        <f t="shared" si="4"/>
        <v>#N/A</v>
      </c>
      <c r="AC30" s="1572" t="e">
        <f t="shared" si="5"/>
        <v>#N/A</v>
      </c>
    </row>
    <row r="31" spans="1:29" s="1219" customFormat="1" ht="15">
      <c r="A31" s="599"/>
      <c r="B31" s="526" t="s">
        <v>820</v>
      </c>
      <c r="C31" s="931"/>
      <c r="D31" s="254">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09"/>
      <c r="Q31" s="1150" t="str">
        <f t="shared" si="11"/>
        <v>是否封闭</v>
      </c>
      <c r="R31" s="1564" t="s">
        <v>8</v>
      </c>
      <c r="S31" s="1565">
        <f t="shared" si="12"/>
        <v>100</v>
      </c>
      <c r="T31" s="1564" t="s">
        <v>8</v>
      </c>
      <c r="U31" s="1565">
        <f t="shared" si="13"/>
        <v>100</v>
      </c>
      <c r="V31" s="1564" t="s">
        <v>8</v>
      </c>
      <c r="W31" s="1565">
        <f t="shared" si="14"/>
        <v>100</v>
      </c>
      <c r="X31" s="1566"/>
      <c r="Y31" s="3409"/>
      <c r="Z31" s="1149" t="str">
        <f t="shared" si="15"/>
        <v>是否封闭</v>
      </c>
      <c r="AA31" s="1567">
        <f t="shared" si="3"/>
        <v>1</v>
      </c>
      <c r="AB31" s="1567">
        <f t="shared" si="4"/>
        <v>1</v>
      </c>
      <c r="AC31" s="156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09" t="s">
        <v>546</v>
      </c>
      <c r="Q32" s="1568">
        <f t="shared" si="11"/>
        <v>111</v>
      </c>
      <c r="R32" s="1569" t="s">
        <v>8</v>
      </c>
      <c r="S32" s="1570">
        <f t="shared" si="12"/>
        <v>100</v>
      </c>
      <c r="T32" s="1569" t="s">
        <v>8</v>
      </c>
      <c r="U32" s="1570">
        <f t="shared" si="13"/>
        <v>100</v>
      </c>
      <c r="V32" s="1569" t="s">
        <v>8</v>
      </c>
      <c r="W32" s="1570">
        <f t="shared" si="14"/>
        <v>100</v>
      </c>
      <c r="X32" s="1563"/>
      <c r="Y32" s="3409" t="s">
        <v>546</v>
      </c>
      <c r="Z32" s="1571">
        <f t="shared" si="15"/>
        <v>111</v>
      </c>
      <c r="AA32" s="1572">
        <f t="shared" si="3"/>
        <v>1</v>
      </c>
      <c r="AB32" s="1572">
        <f t="shared" si="4"/>
        <v>1</v>
      </c>
      <c r="AC32" s="157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09"/>
      <c r="Q33" s="1568">
        <f t="shared" si="11"/>
        <v>111</v>
      </c>
      <c r="R33" s="1569" t="s">
        <v>8</v>
      </c>
      <c r="S33" s="1570">
        <f t="shared" si="12"/>
        <v>100</v>
      </c>
      <c r="T33" s="1569" t="s">
        <v>8</v>
      </c>
      <c r="U33" s="1570">
        <f t="shared" si="13"/>
        <v>100</v>
      </c>
      <c r="V33" s="1569" t="s">
        <v>8</v>
      </c>
      <c r="W33" s="1570">
        <f t="shared" si="14"/>
        <v>100</v>
      </c>
      <c r="X33" s="1563"/>
      <c r="Y33" s="3409"/>
      <c r="Z33" s="1571">
        <f t="shared" si="15"/>
        <v>111</v>
      </c>
      <c r="AA33" s="1572">
        <f t="shared" si="3"/>
        <v>1</v>
      </c>
      <c r="AB33" s="1572">
        <f t="shared" si="4"/>
        <v>1</v>
      </c>
      <c r="AC33" s="157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09"/>
      <c r="Q34" s="1568">
        <f t="shared" si="11"/>
        <v>111</v>
      </c>
      <c r="R34" s="1569" t="s">
        <v>8</v>
      </c>
      <c r="S34" s="1570">
        <f t="shared" si="12"/>
        <v>100</v>
      </c>
      <c r="T34" s="1569" t="s">
        <v>8</v>
      </c>
      <c r="U34" s="1570">
        <f t="shared" si="13"/>
        <v>100</v>
      </c>
      <c r="V34" s="1569" t="s">
        <v>8</v>
      </c>
      <c r="W34" s="1570">
        <f t="shared" si="14"/>
        <v>100</v>
      </c>
      <c r="X34" s="1563"/>
      <c r="Y34" s="3409"/>
      <c r="Z34" s="1571">
        <f t="shared" si="15"/>
        <v>111</v>
      </c>
      <c r="AA34" s="1572">
        <f t="shared" si="3"/>
        <v>1</v>
      </c>
      <c r="AB34" s="1572">
        <f t="shared" si="4"/>
        <v>1</v>
      </c>
      <c r="AC34" s="1572">
        <f t="shared" si="5"/>
        <v>1</v>
      </c>
    </row>
    <row r="35" spans="1:29" ht="14.4">
      <c r="A35" s="606" t="s">
        <v>732</v>
      </c>
      <c r="B35" s="886"/>
      <c r="C35" s="2648" t="s">
        <v>1</v>
      </c>
      <c r="D35" s="2649"/>
      <c r="E35" s="2650"/>
      <c r="F35" s="2651"/>
      <c r="G35" s="2652"/>
      <c r="H35" s="2653"/>
      <c r="I35" s="2650"/>
      <c r="J35" s="2653"/>
      <c r="K35" s="1607"/>
      <c r="L35" s="2141"/>
      <c r="M35" s="2142"/>
      <c r="N35" s="2131"/>
      <c r="O35" s="2142"/>
      <c r="P35" s="3404" t="str">
        <f>A35</f>
        <v>成交单价（元/平方米）</v>
      </c>
      <c r="Q35" s="3404"/>
      <c r="R35" s="3479">
        <f>E35</f>
        <v>0</v>
      </c>
      <c r="S35" s="3479"/>
      <c r="T35" s="3479">
        <f>G35</f>
        <v>0</v>
      </c>
      <c r="U35" s="3479"/>
      <c r="V35" s="3479">
        <f>I35</f>
        <v>0</v>
      </c>
      <c r="W35" s="3479"/>
      <c r="X35" s="1555"/>
      <c r="Y35" s="1577"/>
      <c r="Z35" s="1555"/>
      <c r="AA35" s="1555"/>
      <c r="AB35" s="1555"/>
      <c r="AC35" s="1555"/>
    </row>
    <row r="36" spans="1:29" ht="15" thickBot="1">
      <c r="A36" s="614" t="s">
        <v>2760</v>
      </c>
      <c r="B36" s="887"/>
      <c r="C36" s="2654" t="e">
        <f>R37</f>
        <v>#DIV/0!</v>
      </c>
      <c r="D36" s="2655"/>
      <c r="E36" s="2656" t="e">
        <f>R36</f>
        <v>#DIV/0!</v>
      </c>
      <c r="F36" s="2656"/>
      <c r="G36" s="2654" t="e">
        <f>T36</f>
        <v>#DIV/0!</v>
      </c>
      <c r="H36" s="2655"/>
      <c r="I36" s="2656" t="e">
        <f>V36</f>
        <v>#DIV/0!</v>
      </c>
      <c r="J36" s="2655"/>
      <c r="K36" s="1608"/>
      <c r="L36" s="2141"/>
      <c r="M36" s="2142"/>
      <c r="N36" s="2131"/>
      <c r="O36" s="2142"/>
      <c r="P36" s="3404" t="str">
        <f>A36</f>
        <v>比较价格（元/平方米）</v>
      </c>
      <c r="Q36" s="3404"/>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5"/>
      <c r="Y36" s="1555"/>
      <c r="Z36" s="1555"/>
      <c r="AA36" s="1555"/>
      <c r="AB36" s="1555"/>
      <c r="AC36" s="1555"/>
    </row>
    <row r="37" spans="1:29" ht="15" thickBot="1">
      <c r="A37" s="620" t="s">
        <v>2927</v>
      </c>
      <c r="B37" s="621"/>
      <c r="C37" s="2657" t="e">
        <f>R37</f>
        <v>#DIV/0!</v>
      </c>
      <c r="D37" s="2657"/>
      <c r="E37" s="2657"/>
      <c r="F37" s="2657"/>
      <c r="G37" s="2657"/>
      <c r="H37" s="2657"/>
      <c r="I37" s="2657"/>
      <c r="J37" s="2657"/>
      <c r="K37" s="1609"/>
      <c r="L37" s="2141"/>
      <c r="M37" s="2142"/>
      <c r="N37" s="2142"/>
      <c r="O37" s="2142"/>
      <c r="P37" s="3426" t="str">
        <f>A37</f>
        <v>估价对象XX用房的比较价格（楼面单价，元/平方米）</v>
      </c>
      <c r="Q37" s="3427"/>
      <c r="R37" s="3478" t="e">
        <f>IF(F1="售价",ROUND(AVERAGE(R36:V36),0),ROUND(AVERAGE(R36:V36),1))</f>
        <v>#DIV/0!</v>
      </c>
      <c r="S37" s="3478"/>
      <c r="T37" s="3478"/>
      <c r="U37" s="3478"/>
      <c r="V37" s="3478"/>
      <c r="W37" s="3478"/>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6" customFormat="1" ht="14.4">
      <c r="A46" s="644" t="s">
        <v>525</v>
      </c>
      <c r="B46" s="645"/>
      <c r="C46" s="2823" t="str">
        <f>YEAR(C7)&amp;"-"&amp;MONTH(C7)</f>
        <v>2018-8</v>
      </c>
      <c r="D46" s="2825">
        <f>EDATE(C46,-1)</f>
        <v>43282</v>
      </c>
      <c r="E46" s="2825">
        <f t="shared" ref="E46:O46" si="16">EDATE(D46,-1)</f>
        <v>43252</v>
      </c>
      <c r="F46" s="2825">
        <f t="shared" si="16"/>
        <v>43221</v>
      </c>
      <c r="G46" s="2825">
        <f t="shared" si="16"/>
        <v>43191</v>
      </c>
      <c r="H46" s="2825">
        <f t="shared" si="16"/>
        <v>43160</v>
      </c>
      <c r="I46" s="2825">
        <f t="shared" si="16"/>
        <v>43132</v>
      </c>
      <c r="J46" s="2825">
        <f t="shared" si="16"/>
        <v>43101</v>
      </c>
      <c r="K46" s="2825">
        <f t="shared" si="16"/>
        <v>43070</v>
      </c>
      <c r="L46" s="2825">
        <f t="shared" si="16"/>
        <v>43040</v>
      </c>
      <c r="M46" s="2825">
        <f t="shared" si="16"/>
        <v>43009</v>
      </c>
      <c r="N46" s="2825">
        <f t="shared" si="16"/>
        <v>42979</v>
      </c>
      <c r="O46" s="2825">
        <f t="shared" si="16"/>
        <v>42948</v>
      </c>
      <c r="P46" s="2157"/>
      <c r="Q46" s="2158"/>
      <c r="R46" s="2158"/>
      <c r="S46" s="2158"/>
      <c r="T46" s="2158"/>
      <c r="U46" s="2158"/>
      <c r="V46" s="2158"/>
      <c r="W46" s="2158"/>
      <c r="X46" s="2158"/>
      <c r="Y46" s="2158"/>
      <c r="Z46" s="2158"/>
      <c r="AA46" s="2158"/>
      <c r="AB46" s="2158"/>
      <c r="AC46" s="2158"/>
    </row>
    <row r="47" spans="1:29" s="1219"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4.4">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4.4"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4.4"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823</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2"/>
    <col min="19" max="19" width="9" style="1249"/>
    <col min="20" max="35" width="9" style="256"/>
    <col min="36" max="16384" width="9" style="1249"/>
  </cols>
  <sheetData>
    <row r="1" spans="1:45" s="256" customFormat="1" ht="14.25" customHeight="1" thickBot="1">
      <c r="A1" s="364"/>
      <c r="B1" s="2231" t="s">
        <v>2302</v>
      </c>
      <c r="C1" s="3489" t="s">
        <v>2303</v>
      </c>
      <c r="D1" s="3490"/>
      <c r="E1" s="3490"/>
      <c r="F1" s="3490"/>
      <c r="G1" s="3490"/>
      <c r="H1" s="3490"/>
      <c r="I1" s="3490"/>
      <c r="J1" s="3490"/>
      <c r="K1" s="3490"/>
      <c r="L1" s="3490"/>
      <c r="M1" s="3490"/>
      <c r="N1" s="3490"/>
      <c r="O1" s="3490"/>
      <c r="P1" s="3490"/>
      <c r="Q1" s="3490"/>
      <c r="R1" s="3490"/>
      <c r="S1" s="3491"/>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2" t="s">
        <v>2920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4" t="s">
        <v>2919</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4" t="s">
        <v>2918</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0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2" t="s">
        <v>2931</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2" t="s">
        <v>2917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2" t="s">
        <v>2916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7"/>
      <c r="C19" s="1987"/>
      <c r="D19" s="1987"/>
      <c r="E19" s="1987"/>
      <c r="F19" s="1987"/>
      <c r="G19" s="1987"/>
      <c r="H19" s="1987"/>
      <c r="I19" s="1987"/>
      <c r="J19" s="1987"/>
      <c r="K19" s="1987"/>
      <c r="L19" s="1987"/>
      <c r="M19" s="1987"/>
      <c r="N19" s="1987"/>
      <c r="O19" s="1987"/>
      <c r="P19" s="1987"/>
      <c r="Q19" s="1987"/>
      <c r="R19" s="2222"/>
      <c r="S19" s="2025"/>
    </row>
    <row r="20" spans="1:45" ht="15.6">
      <c r="A20" s="959"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9"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486" t="s">
        <v>20</v>
      </c>
      <c r="D22" s="3487"/>
      <c r="E22" s="3487"/>
      <c r="F22" s="3487"/>
      <c r="G22" s="3487"/>
      <c r="H22" s="3487"/>
      <c r="I22" s="3487"/>
      <c r="J22" s="3487"/>
      <c r="K22" s="3487"/>
      <c r="L22" s="3487"/>
      <c r="M22" s="3487"/>
      <c r="N22" s="3487"/>
      <c r="O22" s="3487"/>
      <c r="P22" s="3487"/>
      <c r="Q22" s="3488"/>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2787</v>
      </c>
      <c r="C1" s="3025">
        <f>项目基本情况!D3</f>
        <v>43340</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2818</v>
      </c>
      <c r="C2" s="3026">
        <f>'数据-取费表'!B22</f>
        <v>2</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Normal="100" workbookViewId="0">
      <selection activeCell="D29" sqref="D29"/>
    </sheetView>
  </sheetViews>
  <sheetFormatPr defaultColWidth="12" defaultRowHeight="12"/>
  <cols>
    <col min="1" max="1" width="9.77734375" style="1401" customWidth="1"/>
    <col min="2" max="2" width="19.21875" style="1524"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1691</v>
      </c>
      <c r="B1" s="1397"/>
      <c r="C1" s="1403" t="s">
        <v>2426</v>
      </c>
      <c r="D1" s="1517">
        <f>SUM(D29:D30,D33:D39)</f>
        <v>5980</v>
      </c>
      <c r="E1" s="1403" t="s">
        <v>2427</v>
      </c>
      <c r="F1" s="2473">
        <f>'数据-基础表'!A3</f>
        <v>2990</v>
      </c>
      <c r="G1" s="1398"/>
      <c r="H1" s="1398"/>
      <c r="I1" s="1398"/>
      <c r="J1" s="1398"/>
      <c r="K1" s="1398"/>
      <c r="L1" s="1879" t="s">
        <v>2237</v>
      </c>
      <c r="M1" s="1880">
        <f>SUMPRODUCT((区片价!B5:B9=I2)*(区片价!C3:F3=E2)*(区片价!C5:F9))</f>
        <v>0</v>
      </c>
      <c r="N1" s="1881">
        <f>SUMPRODUCT((因素修正幅度!B5:B9=I2)*(因素修正幅度!C3:F3=E2)*(因素修正幅度!C5:F9))</f>
        <v>0</v>
      </c>
      <c r="O1" s="2186"/>
      <c r="P1" s="2186"/>
      <c r="Q1" s="2186"/>
      <c r="R1" s="2957" t="s">
        <v>2761</v>
      </c>
      <c r="S1" s="2957" t="s">
        <v>2762</v>
      </c>
      <c r="T1" s="2957" t="s">
        <v>2783</v>
      </c>
      <c r="U1" s="2957" t="s">
        <v>2784</v>
      </c>
      <c r="V1" s="2957" t="s">
        <v>2785</v>
      </c>
      <c r="W1" s="2186"/>
      <c r="X1" s="2186"/>
      <c r="Y1" s="2186"/>
      <c r="Z1" s="2186"/>
      <c r="AA1" s="2186"/>
      <c r="AB1" s="2186"/>
      <c r="AC1" s="2187"/>
    </row>
    <row r="2" spans="1:39" ht="15.6">
      <c r="A2" s="1403" t="s">
        <v>916</v>
      </c>
      <c r="B2" s="1037">
        <f ca="1">C26</f>
        <v>4420</v>
      </c>
      <c r="C2" s="1404" t="s">
        <v>917</v>
      </c>
      <c r="D2" s="1405" t="s">
        <v>918</v>
      </c>
      <c r="E2" s="1406" t="s">
        <v>1674</v>
      </c>
      <c r="F2" s="1405" t="s">
        <v>920</v>
      </c>
      <c r="G2" s="1648" t="str">
        <f>IF(E2="商业",项目基本情况!B43,IF(E2="办公",项目基本情况!C43,IF(E2="住宅",项目基本情况!D43,项目基本情况!E43)))</f>
        <v>七级</v>
      </c>
      <c r="H2" s="1405" t="s">
        <v>922</v>
      </c>
      <c r="I2" s="1649" t="str">
        <f>IF(E2="商业",项目基本情况!B44,IF(E2="办公",项目基本情况!C44,IF(E2="住宅",项目基本情况!D44,项目基本情况!E44)))</f>
        <v>Ⅶ-兴2</v>
      </c>
      <c r="J2" s="1407"/>
      <c r="K2" s="1398"/>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1.8629</v>
      </c>
      <c r="T2" s="2958">
        <f ca="1">ROUND($C$5*$C$18*$C$19*$C$20*S2*$C$24,0)</f>
        <v>14602</v>
      </c>
      <c r="U2" s="2947"/>
      <c r="V2" s="2958">
        <f ca="1">ROUND(T2*U2/10000,0)</f>
        <v>0</v>
      </c>
      <c r="W2" s="2186"/>
      <c r="X2" s="2186"/>
      <c r="Y2" s="2186"/>
      <c r="Z2" s="2186"/>
      <c r="AA2" s="2186"/>
      <c r="AB2" s="2186"/>
      <c r="AC2" s="2187"/>
    </row>
    <row r="3" spans="1:39" ht="24">
      <c r="A3" s="1408" t="s">
        <v>1684</v>
      </c>
      <c r="B3" s="1037">
        <f ca="1">ROUND(B2*10000/D1,0)</f>
        <v>7391</v>
      </c>
      <c r="C3" s="1404" t="s">
        <v>923</v>
      </c>
      <c r="D3" s="1405" t="s">
        <v>924</v>
      </c>
      <c r="E3" s="1409" t="s">
        <v>3195</v>
      </c>
      <c r="F3" s="1410" t="s">
        <v>3122</v>
      </c>
      <c r="G3" s="1038">
        <f>IF(F3="宗地容积率",'数据-汇总表'!I4,IF(F3="估价对象容积率",'数据-汇总表'!I6,'数据-汇总表'!I7))</f>
        <v>3</v>
      </c>
      <c r="H3" s="1411" t="s">
        <v>925</v>
      </c>
      <c r="I3" s="1039"/>
      <c r="J3" s="1407" t="s">
        <v>926</v>
      </c>
      <c r="K3" s="1398"/>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1.3371999999999999</v>
      </c>
      <c r="T3" s="2958">
        <f t="shared" ref="T3:T16" ca="1" si="0">ROUND($C$5*$C$18*$C$19*$C$20*S3*$C$24,0)</f>
        <v>10482</v>
      </c>
      <c r="U3" s="2947"/>
      <c r="V3" s="2958">
        <f t="shared" ref="V3:V16" ca="1" si="1">ROUND(T3*U3/10000,0)</f>
        <v>0</v>
      </c>
      <c r="W3" s="2186"/>
      <c r="X3" s="2186"/>
      <c r="Y3" s="2186"/>
      <c r="Z3" s="2186"/>
      <c r="AA3" s="2186"/>
      <c r="AB3" s="2186"/>
      <c r="AC3" s="2187"/>
    </row>
    <row r="4" spans="1:39" ht="31.2">
      <c r="A4" s="1888" t="s">
        <v>2279</v>
      </c>
      <c r="B4" s="2474">
        <f ca="1">ROUND(B2*10000/F1,0)</f>
        <v>14783</v>
      </c>
      <c r="C4" s="1891" t="s">
        <v>2253</v>
      </c>
      <c r="D4" s="1891">
        <f ca="1">ROUND(B2/(F1/666.67),0)</f>
        <v>986</v>
      </c>
      <c r="E4" s="1891" t="s">
        <v>2254</v>
      </c>
      <c r="F4" s="1889"/>
      <c r="G4" s="1889"/>
      <c r="H4" s="1889"/>
      <c r="I4" s="1889"/>
      <c r="J4" s="1890"/>
      <c r="K4" s="1398"/>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1.0788</v>
      </c>
      <c r="T4" s="2958">
        <f t="shared" ca="1" si="0"/>
        <v>8456</v>
      </c>
      <c r="U4" s="2947"/>
      <c r="V4" s="2958">
        <f t="shared" ca="1" si="1"/>
        <v>0</v>
      </c>
      <c r="W4" s="2186"/>
      <c r="X4" s="2186"/>
      <c r="Y4" s="2186"/>
      <c r="Z4" s="2186"/>
      <c r="AA4" s="2186"/>
      <c r="AB4" s="2186"/>
      <c r="AC4" s="2187"/>
    </row>
    <row r="5" spans="1:39" s="1418" customFormat="1" ht="15.6" thickBot="1">
      <c r="A5" s="1634" t="s">
        <v>1820</v>
      </c>
      <c r="B5" s="1412" t="s">
        <v>927</v>
      </c>
      <c r="C5" s="1040">
        <f>ROUND(IF(E2="商业",IF(F16="增加",C6*C7+C16,C6*C7-C16),IF(E2="住宅",IF(F16="增加",C6*C12+C16,C6*C12-C16),IF(F16="增加",C6+C16,C6-C16))),0)</f>
        <v>7434</v>
      </c>
      <c r="D5" s="3137">
        <f>ROUND(IF(E2="商业",IF(F16="增加",C6+C16,C6-C16)),0)</f>
        <v>0</v>
      </c>
      <c r="E5" s="1413"/>
      <c r="F5" s="1413"/>
      <c r="G5" s="1414"/>
      <c r="H5" s="1414"/>
      <c r="I5" s="1414"/>
      <c r="J5" s="1415"/>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0.86560000000000004</v>
      </c>
      <c r="T5" s="2958">
        <f t="shared" ca="1" si="0"/>
        <v>6785</v>
      </c>
      <c r="U5" s="2947"/>
      <c r="V5" s="2958">
        <f t="shared" ca="1" si="1"/>
        <v>0</v>
      </c>
      <c r="W5" s="2186"/>
      <c r="X5" s="2186"/>
      <c r="Y5" s="2186"/>
      <c r="Z5" s="2186"/>
      <c r="AA5" s="2186"/>
      <c r="AB5" s="2186"/>
      <c r="AC5" s="2188"/>
      <c r="AD5" s="1416"/>
      <c r="AE5" s="1416"/>
      <c r="AF5" s="1416"/>
      <c r="AG5" s="1416"/>
      <c r="AH5" s="1416"/>
      <c r="AI5" s="1416"/>
      <c r="AJ5" s="1417"/>
      <c r="AK5" s="1417"/>
      <c r="AL5" s="1417"/>
      <c r="AM5" s="1417"/>
    </row>
    <row r="6" spans="1:39" ht="15.6" thickBot="1">
      <c r="A6" s="1635" t="s">
        <v>1867</v>
      </c>
      <c r="B6" s="1419" t="s">
        <v>927</v>
      </c>
      <c r="C6" s="1041">
        <f>SUMIF(L1:L12,基准地价!G2,M1:M12)</f>
        <v>7470</v>
      </c>
      <c r="D6" s="1420" t="s">
        <v>1692</v>
      </c>
      <c r="E6" s="1421"/>
      <c r="F6" s="1421"/>
      <c r="G6" s="1422"/>
      <c r="H6" s="1422"/>
      <c r="I6" s="1422"/>
      <c r="J6" s="1423"/>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0.73709999999999998</v>
      </c>
      <c r="T6" s="2958">
        <f t="shared" ca="1" si="0"/>
        <v>5778</v>
      </c>
      <c r="U6" s="2947"/>
      <c r="V6" s="2958">
        <f t="shared" ca="1" si="1"/>
        <v>0</v>
      </c>
      <c r="W6" s="2186"/>
      <c r="X6" s="2186"/>
      <c r="Y6" s="2186"/>
      <c r="Z6" s="2186"/>
      <c r="AA6" s="2186"/>
      <c r="AB6" s="2186"/>
      <c r="AC6" s="2188"/>
      <c r="AD6" s="1416"/>
      <c r="AE6" s="1416"/>
      <c r="AF6" s="1416"/>
      <c r="AG6" s="1416"/>
      <c r="AH6" s="1416"/>
      <c r="AI6" s="1416"/>
      <c r="AJ6" s="1417"/>
    </row>
    <row r="7" spans="1:39" ht="24">
      <c r="A7" s="3493" t="str">
        <f>IF(E2="商业",IF(C8="不临58条商业街","",2),"")</f>
        <v/>
      </c>
      <c r="B7" s="1424" t="s">
        <v>928</v>
      </c>
      <c r="C7" s="1042">
        <f>IF(C8="不临58条商业街",1,ROUND(1+(1.6*E8+1.2*E9+0.8*E10+0.4*E11)*C9,4))</f>
        <v>1</v>
      </c>
      <c r="D7" s="1425" t="s">
        <v>929</v>
      </c>
      <c r="E7" s="1043"/>
      <c r="F7" s="1426"/>
      <c r="G7" s="1427"/>
      <c r="H7" s="1427"/>
      <c r="I7" s="1427"/>
      <c r="J7" s="1428"/>
      <c r="K7" s="1591"/>
      <c r="L7" s="1882" t="s">
        <v>2243</v>
      </c>
      <c r="M7" s="1883">
        <f>SUMPRODUCT((区片价!B158:B205=I2)*(区片价!C3:F3=E2)*(区片价!C158:F205))</f>
        <v>7470</v>
      </c>
      <c r="N7" s="1884">
        <f>SUMPRODUCT((因素修正幅度!B158:B205=I2)*(因素修正幅度!C3:F3=E2)*(因素修正幅度!C158:F205))</f>
        <v>0.13</v>
      </c>
      <c r="O7" s="2186"/>
      <c r="P7" s="2186"/>
      <c r="Q7" s="2186"/>
      <c r="R7" s="2958">
        <v>6</v>
      </c>
      <c r="S7" s="2958">
        <f>ROUND(IF(G3&gt;1,IF(R7&lt;7,SUMPRODUCT((B93:B98=R7)*(C92:N92=G2)*(C93:N98)),SUMIF(C92:N92,G2,C100:N100)),IF(R7&lt;7,SUMPRODUCT((B102:B107=R7)*(C92:N92=G2)*(C102:N107)),SUMIF(C92:N92,G2,C109:N109))),4)</f>
        <v>0.6482</v>
      </c>
      <c r="T7" s="2958">
        <f t="shared" ca="1" si="0"/>
        <v>5081</v>
      </c>
      <c r="U7" s="2947"/>
      <c r="V7" s="2958">
        <f t="shared" ca="1" si="1"/>
        <v>0</v>
      </c>
      <c r="W7" s="2956" t="s">
        <v>2764</v>
      </c>
      <c r="X7" s="2948" t="str">
        <f>G2</f>
        <v>七级</v>
      </c>
      <c r="Y7" s="2948" t="s">
        <v>2765</v>
      </c>
      <c r="Z7" s="2949">
        <f>G3</f>
        <v>3</v>
      </c>
      <c r="AA7" s="2189"/>
      <c r="AB7" s="2189"/>
      <c r="AC7" s="2190"/>
      <c r="AD7" s="2950"/>
      <c r="AE7" s="2950"/>
      <c r="AF7" s="2950"/>
      <c r="AG7" s="2950"/>
      <c r="AH7" s="2950"/>
      <c r="AI7" s="2950"/>
      <c r="AJ7" s="2951"/>
    </row>
    <row r="8" spans="1:39" ht="26.4">
      <c r="A8" s="3494"/>
      <c r="B8" s="1411" t="s">
        <v>930</v>
      </c>
      <c r="C8" s="1525" t="s">
        <v>3112</v>
      </c>
      <c r="D8" s="1044" t="s">
        <v>931</v>
      </c>
      <c r="E8" s="1045" t="e">
        <f>ROUND(C11/E7,4)</f>
        <v>#DIV/0!</v>
      </c>
      <c r="F8" s="1429" t="s">
        <v>932</v>
      </c>
      <c r="G8" s="1430"/>
      <c r="H8" s="1430"/>
      <c r="I8" s="1430"/>
      <c r="J8" s="1431"/>
      <c r="K8" s="1398"/>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f t="shared" ca="1" si="0"/>
        <v>0</v>
      </c>
      <c r="U8" s="2947"/>
      <c r="V8" s="2958">
        <f t="shared" ca="1" si="1"/>
        <v>0</v>
      </c>
      <c r="W8" s="3501" t="s">
        <v>2782</v>
      </c>
      <c r="X8" s="3502"/>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494"/>
      <c r="B9" s="1411" t="s">
        <v>933</v>
      </c>
      <c r="C9" s="1046">
        <f>SUMIF(修正!C59:C119,C8,修正!E59:E119)</f>
        <v>0</v>
      </c>
      <c r="D9" s="1047" t="s">
        <v>934</v>
      </c>
      <c r="E9" s="1047" t="e">
        <f>ROUND(C11/E7,4)</f>
        <v>#DIV/0!</v>
      </c>
      <c r="F9" s="1429" t="s">
        <v>935</v>
      </c>
      <c r="G9" s="1430"/>
      <c r="H9" s="1430"/>
      <c r="I9" s="1430"/>
      <c r="J9" s="1431"/>
      <c r="K9" s="1398"/>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f t="shared" ca="1" si="0"/>
        <v>0</v>
      </c>
      <c r="U9" s="2947"/>
      <c r="V9" s="2958">
        <f t="shared" ca="1" si="1"/>
        <v>0</v>
      </c>
      <c r="W9" s="3500" t="s">
        <v>2778</v>
      </c>
      <c r="X9" s="2952" t="s">
        <v>2779</v>
      </c>
      <c r="Y9" s="3111"/>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94"/>
      <c r="B10" s="1411" t="s">
        <v>936</v>
      </c>
      <c r="C10" s="1047">
        <f>SUMIF(修正!C59:C119,C8,修正!F59:F119)</f>
        <v>0</v>
      </c>
      <c r="D10" s="1047" t="s">
        <v>937</v>
      </c>
      <c r="E10" s="1047" t="e">
        <f>ROUND(C11/E7,4)</f>
        <v>#DIV/0!</v>
      </c>
      <c r="F10" s="1429" t="s">
        <v>938</v>
      </c>
      <c r="G10" s="1430"/>
      <c r="H10" s="1430"/>
      <c r="I10" s="1430"/>
      <c r="J10" s="1431"/>
      <c r="K10" s="1398"/>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f t="shared" ca="1" si="0"/>
        <v>0</v>
      </c>
      <c r="U10" s="2947"/>
      <c r="V10" s="2958">
        <f t="shared" ca="1" si="1"/>
        <v>0</v>
      </c>
      <c r="W10" s="3500"/>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94"/>
      <c r="B11" s="1432" t="s">
        <v>939</v>
      </c>
      <c r="C11" s="1048">
        <f>C10/4</f>
        <v>0</v>
      </c>
      <c r="D11" s="1048" t="s">
        <v>940</v>
      </c>
      <c r="E11" s="1048" t="e">
        <f>ROUND(C11/E7,4)</f>
        <v>#DIV/0!</v>
      </c>
      <c r="F11" s="1433" t="s">
        <v>941</v>
      </c>
      <c r="G11" s="1434"/>
      <c r="H11" s="1434"/>
      <c r="I11" s="1434"/>
      <c r="J11" s="1435"/>
      <c r="K11" s="1398"/>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f t="shared" ca="1" si="0"/>
        <v>0</v>
      </c>
      <c r="U11" s="2947"/>
      <c r="V11" s="2958">
        <f t="shared" ca="1" si="1"/>
        <v>0</v>
      </c>
      <c r="W11" s="3500" t="s">
        <v>2780</v>
      </c>
      <c r="X11" s="1047" t="s">
        <v>2765</v>
      </c>
      <c r="Y11" s="1649">
        <f>$G$3</f>
        <v>3</v>
      </c>
      <c r="Z11" s="1649">
        <f t="shared" ref="Z11:AJ11" si="3">$G$3</f>
        <v>3</v>
      </c>
      <c r="AA11" s="1649">
        <f t="shared" si="3"/>
        <v>3</v>
      </c>
      <c r="AB11" s="1649">
        <f t="shared" si="3"/>
        <v>3</v>
      </c>
      <c r="AC11" s="1649">
        <f t="shared" si="3"/>
        <v>3</v>
      </c>
      <c r="AD11" s="1649">
        <f t="shared" si="3"/>
        <v>3</v>
      </c>
      <c r="AE11" s="1649">
        <f t="shared" si="3"/>
        <v>3</v>
      </c>
      <c r="AF11" s="1649">
        <f t="shared" si="3"/>
        <v>3</v>
      </c>
      <c r="AG11" s="1649">
        <f t="shared" si="3"/>
        <v>3</v>
      </c>
      <c r="AH11" s="1649">
        <f t="shared" si="3"/>
        <v>3</v>
      </c>
      <c r="AI11" s="1649">
        <f t="shared" si="3"/>
        <v>3</v>
      </c>
      <c r="AJ11" s="1649">
        <f t="shared" si="3"/>
        <v>3</v>
      </c>
    </row>
    <row r="12" spans="1:39" ht="25.8" thickBot="1">
      <c r="A12" s="3493" t="s">
        <v>1868</v>
      </c>
      <c r="B12" s="1436" t="s">
        <v>942</v>
      </c>
      <c r="C12" s="1042">
        <f>ROUND(C15*D15*E15*F15*G15*H15*I15*J15,4)</f>
        <v>1</v>
      </c>
      <c r="D12" s="1437" t="s">
        <v>943</v>
      </c>
      <c r="E12" s="1438"/>
      <c r="F12" s="1438"/>
      <c r="G12" s="1439"/>
      <c r="H12" s="1439"/>
      <c r="I12" s="1439"/>
      <c r="J12" s="1440"/>
      <c r="K12" s="1398"/>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f t="shared" ca="1" si="0"/>
        <v>0</v>
      </c>
      <c r="U12" s="2947"/>
      <c r="V12" s="2958">
        <f t="shared" ca="1" si="1"/>
        <v>0</v>
      </c>
      <c r="W12" s="3500"/>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95"/>
      <c r="B13" s="1441" t="s">
        <v>1693</v>
      </c>
      <c r="C13" s="1442" t="s">
        <v>1694</v>
      </c>
      <c r="D13" s="1088" t="s">
        <v>1695</v>
      </c>
      <c r="E13" s="1088" t="s">
        <v>1696</v>
      </c>
      <c r="F13" s="1443" t="s">
        <v>944</v>
      </c>
      <c r="G13" s="1444" t="s">
        <v>1639</v>
      </c>
      <c r="H13" s="1445" t="s">
        <v>1639</v>
      </c>
      <c r="I13" s="1446" t="s">
        <v>1639</v>
      </c>
      <c r="J13" s="1447" t="s">
        <v>1639</v>
      </c>
      <c r="K13" s="1398"/>
      <c r="L13" s="2186"/>
      <c r="M13" s="2186"/>
      <c r="N13" s="2186"/>
      <c r="O13" s="2186"/>
      <c r="P13" s="2186"/>
      <c r="Q13" s="2186"/>
      <c r="R13" s="2958">
        <v>12</v>
      </c>
      <c r="S13" s="2947"/>
      <c r="T13" s="2958">
        <f t="shared" ca="1" si="0"/>
        <v>0</v>
      </c>
      <c r="U13" s="2947"/>
      <c r="V13" s="2958">
        <f t="shared" ca="1" si="1"/>
        <v>0</v>
      </c>
      <c r="W13" s="3500"/>
      <c r="X13" s="2955"/>
      <c r="Y13" s="2954">
        <f>(-0.163*(Y12^2)-0.59*Y12+7617)*(10^(-4))/Y11</f>
        <v>0.25390000000000001</v>
      </c>
      <c r="Z13" s="2954">
        <f t="shared" ref="Z13:AJ13" si="5">(-0.163*(Z12^2)-0.59*Z12+7617)*(10^(-4))/Z11</f>
        <v>0.25390000000000001</v>
      </c>
      <c r="AA13" s="2954">
        <f t="shared" si="5"/>
        <v>0.25390000000000001</v>
      </c>
      <c r="AB13" s="2954">
        <f t="shared" si="5"/>
        <v>0.25390000000000001</v>
      </c>
      <c r="AC13" s="2954">
        <f t="shared" si="5"/>
        <v>0.25390000000000001</v>
      </c>
      <c r="AD13" s="2954">
        <f t="shared" si="5"/>
        <v>0.25390000000000001</v>
      </c>
      <c r="AE13" s="2954">
        <f t="shared" si="5"/>
        <v>0.25390000000000001</v>
      </c>
      <c r="AF13" s="2954">
        <f t="shared" si="5"/>
        <v>0.25390000000000001</v>
      </c>
      <c r="AG13" s="2954">
        <f t="shared" si="5"/>
        <v>0.25390000000000001</v>
      </c>
      <c r="AH13" s="2954">
        <f t="shared" si="5"/>
        <v>0.25390000000000001</v>
      </c>
      <c r="AI13" s="2954">
        <f t="shared" si="5"/>
        <v>0.25390000000000001</v>
      </c>
      <c r="AJ13" s="2954">
        <f t="shared" si="5"/>
        <v>0.25390000000000001</v>
      </c>
    </row>
    <row r="14" spans="1:39" ht="12.75" customHeight="1" thickBot="1">
      <c r="A14" s="3495"/>
      <c r="B14" s="1448"/>
      <c r="C14" s="1449"/>
      <c r="D14" s="1450"/>
      <c r="E14" s="1450"/>
      <c r="F14" s="1451"/>
      <c r="G14" s="1452" t="s">
        <v>945</v>
      </c>
      <c r="H14" s="1453"/>
      <c r="I14" s="1454"/>
      <c r="J14" s="1455"/>
      <c r="K14" s="1398"/>
      <c r="L14" s="2186"/>
      <c r="M14" s="2186"/>
      <c r="N14" s="2186"/>
      <c r="O14" s="2186"/>
      <c r="P14" s="2186"/>
      <c r="Q14" s="2186"/>
      <c r="R14" s="2958">
        <v>13</v>
      </c>
      <c r="S14" s="2947"/>
      <c r="T14" s="2958">
        <f t="shared" ca="1" si="0"/>
        <v>0</v>
      </c>
      <c r="U14" s="2947"/>
      <c r="V14" s="2958">
        <f t="shared" ca="1" si="1"/>
        <v>0</v>
      </c>
      <c r="W14" s="2186"/>
      <c r="X14" s="2186"/>
      <c r="Y14" s="2186"/>
      <c r="Z14" s="2186"/>
      <c r="AA14" s="2186"/>
      <c r="AB14" s="2186"/>
      <c r="AC14" s="2187"/>
    </row>
    <row r="15" spans="1:39" ht="13.5" customHeight="1" thickBot="1">
      <c r="A15" s="3496"/>
      <c r="B15" s="1456" t="s">
        <v>1697</v>
      </c>
      <c r="C15" s="1050">
        <f>IF(C14="有",1.1,1)</f>
        <v>1</v>
      </c>
      <c r="D15" s="1050">
        <f>IF(D14="有",1.1,1)</f>
        <v>1</v>
      </c>
      <c r="E15" s="1050">
        <f>IF(E14="有",1.1,1)</f>
        <v>1</v>
      </c>
      <c r="F15" s="1050">
        <f>IF(F14="500米范围内",1.2,IF(F14="500-1000米",1.1,1))</f>
        <v>1</v>
      </c>
      <c r="G15" s="1051">
        <v>1</v>
      </c>
      <c r="H15" s="1051">
        <v>1</v>
      </c>
      <c r="I15" s="1051">
        <v>1</v>
      </c>
      <c r="J15" s="1052">
        <v>1</v>
      </c>
      <c r="K15" s="1398"/>
      <c r="L15" s="1594" t="s">
        <v>894</v>
      </c>
      <c r="M15" s="1425" t="s">
        <v>980</v>
      </c>
      <c r="N15" s="1425" t="s">
        <v>981</v>
      </c>
      <c r="O15" s="1425" t="s">
        <v>898</v>
      </c>
      <c r="P15" s="1472" t="s">
        <v>982</v>
      </c>
      <c r="Q15" s="2186"/>
      <c r="R15" s="2958">
        <v>14</v>
      </c>
      <c r="S15" s="2947"/>
      <c r="T15" s="2958">
        <f t="shared" ca="1" si="0"/>
        <v>0</v>
      </c>
      <c r="U15" s="2947"/>
      <c r="V15" s="2958">
        <f t="shared" ca="1" si="1"/>
        <v>0</v>
      </c>
      <c r="W15" s="2186"/>
      <c r="X15" s="2186"/>
      <c r="Y15" s="2186"/>
      <c r="Z15" s="2186"/>
      <c r="AA15" s="2186"/>
      <c r="AB15" s="2186"/>
      <c r="AC15" s="2187"/>
    </row>
    <row r="16" spans="1:39" ht="24">
      <c r="A16" s="3493" t="s">
        <v>1835</v>
      </c>
      <c r="B16" s="1424" t="s">
        <v>946</v>
      </c>
      <c r="C16" s="1053">
        <f>ROUND(SUM(G17:J17)/C17,0)</f>
        <v>36</v>
      </c>
      <c r="D16" s="1457" t="s">
        <v>947</v>
      </c>
      <c r="E16" s="3209" t="s">
        <v>3196</v>
      </c>
      <c r="F16" s="1458" t="s">
        <v>3197</v>
      </c>
      <c r="G16" s="1459" t="s">
        <v>3114</v>
      </c>
      <c r="H16" s="1459" t="s">
        <v>3198</v>
      </c>
      <c r="I16" s="1459"/>
      <c r="J16" s="1459"/>
      <c r="K16" s="1398"/>
      <c r="L16" s="1460" t="s">
        <v>984</v>
      </c>
      <c r="M16" s="1046">
        <v>0.25</v>
      </c>
      <c r="N16" s="1046">
        <v>0.2</v>
      </c>
      <c r="O16" s="1046">
        <v>0.15</v>
      </c>
      <c r="P16" s="1535">
        <v>0.1</v>
      </c>
      <c r="Q16" s="2189"/>
      <c r="R16" s="2958">
        <v>15</v>
      </c>
      <c r="S16" s="2947"/>
      <c r="T16" s="2958">
        <f t="shared" ca="1" si="0"/>
        <v>0</v>
      </c>
      <c r="U16" s="2947"/>
      <c r="V16" s="2958">
        <f t="shared" ca="1" si="1"/>
        <v>0</v>
      </c>
      <c r="W16" s="2189"/>
      <c r="X16" s="2189"/>
      <c r="Y16" s="2189"/>
      <c r="Z16" s="2189"/>
      <c r="AA16" s="2189"/>
      <c r="AB16" s="2189"/>
      <c r="AC16" s="2190"/>
    </row>
    <row r="17" spans="1:40" ht="24.6" thickBot="1">
      <c r="A17" s="3494"/>
      <c r="B17" s="1461" t="s">
        <v>949</v>
      </c>
      <c r="C17" s="1054">
        <f>SUMPRODUCT((修正!A2:A5=E2)*(修正!B1:M1=G2)*(修正!B2:M5))</f>
        <v>2.5</v>
      </c>
      <c r="D17" s="1463" t="s">
        <v>950</v>
      </c>
      <c r="E17" s="1464" t="str">
        <f>IF(OR(G2="八级",G2="九级",G2="十级",G2="十一级",G2="十二级"),"五通一平","七通一平")</f>
        <v>七通一平</v>
      </c>
      <c r="F17" s="1462" t="s">
        <v>951</v>
      </c>
      <c r="G17" s="1054">
        <f>SUMPRODUCT((七通一平=G16)*(修正!B1:M1=G2)*(修正!B6:M14))</f>
        <v>40</v>
      </c>
      <c r="H17" s="1054">
        <f>SUMPRODUCT((七通一平=H16)*(修正!B1:M1=G2)*(修正!B6:M14))</f>
        <v>50</v>
      </c>
      <c r="I17" s="1054">
        <f>SUMPRODUCT((七通一平=I16)*(修正!B1:M1=G2)*(修正!B6:M14))</f>
        <v>0</v>
      </c>
      <c r="J17" s="1055">
        <f>SUMPRODUCT((七通一平=J16)*(修正!B1:M1=G2)*(修正!B6:M14))</f>
        <v>0</v>
      </c>
      <c r="K17" s="1398"/>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 thickBot="1">
      <c r="A18" s="1637" t="s">
        <v>1826</v>
      </c>
      <c r="B18" s="2793" t="s">
        <v>952</v>
      </c>
      <c r="C18" s="2794">
        <f>SUMIF(修正!C18:C39,E3,修正!E18:E39)</f>
        <v>1</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400"/>
      <c r="AI18" s="1400"/>
      <c r="AJ18" s="1401"/>
      <c r="AK18" s="1401"/>
      <c r="AL18" s="1401"/>
    </row>
    <row r="19" spans="1:40" s="1418" customFormat="1" ht="29.4" thickBot="1">
      <c r="A19" s="1636" t="s">
        <v>1832</v>
      </c>
      <c r="B19" s="1466" t="s">
        <v>953</v>
      </c>
      <c r="C19" s="1056">
        <f>ROUND(IF(H19="按公示增长率计算",SUMPRODUCT((地价!A3:A22=YEAR(G19)&amp;"-"&amp;ROUNDUP(MONTH(G19)/3,0))*(地价!X2:AB2=E2)*(地价!X3:AB22)),IF(H19="地价指数",M20/M19,(1+I19)^O19)),4)</f>
        <v>1.1960999999999999</v>
      </c>
      <c r="D19" s="1470" t="s">
        <v>954</v>
      </c>
      <c r="E19" s="1057">
        <v>41640</v>
      </c>
      <c r="F19" s="1470" t="s">
        <v>955</v>
      </c>
      <c r="G19" s="1058">
        <f>'数据-取费表'!B2</f>
        <v>43340</v>
      </c>
      <c r="H19" s="1471" t="s">
        <v>3199</v>
      </c>
      <c r="I19" s="2805">
        <f>IF(H19="季度增幅（自定义）",SUMIF(N21:N24,E2,O21:O24),"")</f>
        <v>0.01</v>
      </c>
      <c r="J19" s="1467"/>
      <c r="K19" s="1477"/>
      <c r="L19" s="3056" t="s">
        <v>2840</v>
      </c>
      <c r="M19" s="3057">
        <f>ROUND(SUMIF(地价!B2:F2,E2,地价!B22:F22),0)</f>
        <v>258</v>
      </c>
      <c r="N19" s="2807" t="s">
        <v>1673</v>
      </c>
      <c r="O19" s="2806">
        <f>ROUNDDOWN(DATEDIF(E19,G19,"M")/3,0)</f>
        <v>18</v>
      </c>
      <c r="P19" s="1592"/>
      <c r="R19" s="2946"/>
      <c r="S19" s="2946"/>
      <c r="T19" s="2946"/>
      <c r="U19" s="2946"/>
      <c r="V19" s="2946"/>
      <c r="W19" s="2192"/>
      <c r="X19" s="2192"/>
      <c r="Y19" s="2192"/>
      <c r="Z19" s="2192"/>
      <c r="AA19" s="2192"/>
      <c r="AB19" s="2192"/>
      <c r="AC19" s="2192"/>
      <c r="AD19" s="1400"/>
      <c r="AE19" s="1400"/>
      <c r="AF19" s="1400"/>
      <c r="AG19" s="1400"/>
      <c r="AH19" s="1468"/>
      <c r="AI19" s="1469"/>
      <c r="AJ19" s="1473"/>
      <c r="AK19" s="1401"/>
      <c r="AL19" s="1417"/>
      <c r="AM19" s="1417"/>
      <c r="AN19" s="1417"/>
    </row>
    <row r="20" spans="1:40" s="1418" customFormat="1" ht="29.4" thickBot="1">
      <c r="A20" s="2799" t="s">
        <v>1833</v>
      </c>
      <c r="B20" s="2800" t="s">
        <v>968</v>
      </c>
      <c r="C20" s="2801">
        <f ca="1">ROUND(POWER(1+G20,J20-I20)*(POWER(1+G20,I20)-1)/(POWER(1+G20,J20)-1),4)</f>
        <v>0.8891</v>
      </c>
      <c r="D20" s="2802" t="s">
        <v>969</v>
      </c>
      <c r="E20" s="3108">
        <f ca="1">存贷款利率!I4/100</f>
        <v>4.3499999999999997E-2</v>
      </c>
      <c r="F20" s="2802" t="s">
        <v>970</v>
      </c>
      <c r="G20" s="2803">
        <f ca="1">SUMIF(M15:P15,E2,M17:P17)</f>
        <v>5.1999999999999998E-2</v>
      </c>
      <c r="H20" s="2802" t="s">
        <v>971</v>
      </c>
      <c r="I20" s="2792">
        <f>SUMIF('数据-取费表'!C6:C15,E2,'数据-取费表'!F6:F15)/COUNTIF('数据-取费表'!C6:C15,E2)</f>
        <v>33.67</v>
      </c>
      <c r="J20" s="2804">
        <f>IF(E2="住宅",70,IF(E2="商业",40,50))</f>
        <v>50</v>
      </c>
      <c r="K20" s="1477"/>
      <c r="L20" s="3058" t="s">
        <v>2841</v>
      </c>
      <c r="M20" s="3059">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8" customFormat="1" ht="14.4">
      <c r="A21" s="1638" t="s">
        <v>1834</v>
      </c>
      <c r="B21" s="1476" t="s">
        <v>3113</v>
      </c>
      <c r="C21" s="1157">
        <f>IF(B21="容积率修正",IF(G3&lt;=10,D22,J22),C23)</f>
        <v>0.94299999999999995</v>
      </c>
      <c r="D21" s="1477"/>
      <c r="E21" s="1477"/>
      <c r="F21" s="1477"/>
      <c r="G21" s="1477"/>
      <c r="H21" s="1477"/>
      <c r="I21" s="1477"/>
      <c r="J21" s="1478"/>
      <c r="K21" s="1477"/>
      <c r="L21" s="1477"/>
      <c r="M21" s="1477"/>
      <c r="N21" s="1474" t="s">
        <v>972</v>
      </c>
      <c r="O21" s="1538"/>
      <c r="P21" s="2790">
        <f>SUMPRODUCT((地价!A3:A22=YEAR(G19)&amp;"-"&amp;ROUNDUP(MONTH(G19)/3,0))*(地价!AD2:AH2=N21)*(地价!AD3:AH22))</f>
        <v>0</v>
      </c>
      <c r="R21" s="2946"/>
      <c r="S21" s="2946"/>
      <c r="T21" s="2946"/>
      <c r="U21" s="2946"/>
      <c r="V21" s="2946"/>
      <c r="W21" s="2192"/>
      <c r="X21" s="2192"/>
      <c r="Y21" s="2192"/>
      <c r="Z21" s="2192"/>
      <c r="AA21" s="2192"/>
      <c r="AB21" s="2192"/>
      <c r="AC21" s="2192"/>
      <c r="AD21" s="1400"/>
      <c r="AE21" s="1400"/>
      <c r="AF21" s="1400"/>
      <c r="AG21" s="1400"/>
      <c r="AH21" s="1468"/>
      <c r="AI21" s="1468"/>
    </row>
    <row r="22" spans="1:40" s="1418" customFormat="1" ht="14.4">
      <c r="A22" s="1639" t="s">
        <v>1867</v>
      </c>
      <c r="B22" s="1479" t="s">
        <v>973</v>
      </c>
      <c r="C22" s="1059" t="s">
        <v>1699</v>
      </c>
      <c r="D22" s="1059">
        <f>IF(E22=G22,F22,IF(G3&lt;=10,ROUND(F22+(H22-F22)*(G3-E22)/(G22-E22),4),"——"))</f>
        <v>0.94299999999999995</v>
      </c>
      <c r="E22" s="1038">
        <f>ROUNDDOWN(G3,1)</f>
        <v>3</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059" t="s">
        <v>974</v>
      </c>
      <c r="J22" s="1059" t="str">
        <f>IF(G3&gt;10,D113,"——")</f>
        <v>——</v>
      </c>
      <c r="K22" s="1477"/>
      <c r="L22" s="1477"/>
      <c r="M22" s="1477"/>
      <c r="N22" s="1474" t="s">
        <v>975</v>
      </c>
      <c r="O22" s="1538">
        <v>0.01</v>
      </c>
      <c r="P22" s="2790">
        <f>SUMPRODUCT((地价!A3:A22=YEAR(G19)&amp;"-"&amp;ROUNDUP(MONTH(G19)/3,0))*(地价!AD2:AH2=N22)*(地价!AD3:AH22))</f>
        <v>0</v>
      </c>
      <c r="R22" s="2946"/>
      <c r="S22" s="2946"/>
      <c r="T22" s="2946"/>
      <c r="U22" s="2946"/>
      <c r="V22" s="2946"/>
      <c r="W22" s="2192"/>
      <c r="X22" s="2192"/>
      <c r="Y22" s="2192"/>
      <c r="Z22" s="2192"/>
      <c r="AA22" s="2192"/>
      <c r="AB22" s="2192"/>
      <c r="AC22" s="2192"/>
      <c r="AD22" s="1468"/>
      <c r="AE22" s="1468"/>
      <c r="AF22" s="1468"/>
      <c r="AG22" s="1468"/>
      <c r="AH22" s="1468"/>
      <c r="AI22" s="1468"/>
    </row>
    <row r="23" spans="1:40" ht="29.4" thickBot="1">
      <c r="A23" s="1639" t="s">
        <v>1868</v>
      </c>
      <c r="B23" s="1479" t="s">
        <v>976</v>
      </c>
      <c r="C23" s="1060">
        <f>ROUND(IF(G3&gt;1,IF(I3&lt;7,SUMPRODUCT((B93:B98=I3)*(C92:N92=G2)*(C93:N98)),SUMIF(C92:N92,G2,C100:N100)),IF(I3&lt;7,SUMPRODUCT((B102:B107=I3)*(C92:N92=G2)*(C102:N107)),SUMIF(C92:N92,G2,C109:N109))),4)</f>
        <v>0</v>
      </c>
      <c r="D23" s="1526"/>
      <c r="E23" s="1526"/>
      <c r="F23" s="1527"/>
      <c r="G23" s="1528"/>
      <c r="H23" s="1529"/>
      <c r="I23" s="1530"/>
      <c r="J23" s="1530"/>
      <c r="K23" s="1398"/>
      <c r="L23" s="1398"/>
      <c r="M23" s="1398"/>
      <c r="N23" s="1474" t="s">
        <v>919</v>
      </c>
      <c r="O23" s="1538"/>
      <c r="P23" s="2790">
        <f>SUMPRODUCT((地价!A3:A22=YEAR(G19)&amp;"-"&amp;ROUNDUP(MONTH(G19)/3,0))*(地价!AD2:AH2=N23)*(地价!AD3:AH22))</f>
        <v>0</v>
      </c>
      <c r="R23" s="2946"/>
      <c r="S23" s="2946"/>
      <c r="T23" s="2946"/>
      <c r="U23" s="2946"/>
      <c r="V23" s="2946"/>
      <c r="W23" s="2192"/>
      <c r="X23" s="2192"/>
      <c r="Y23" s="2192"/>
      <c r="Z23" s="2192"/>
      <c r="AA23" s="2192"/>
      <c r="AB23" s="2192"/>
      <c r="AC23" s="2192"/>
      <c r="AN23" s="1401"/>
    </row>
    <row r="24" spans="1:40" s="1418" customFormat="1" ht="15" thickBot="1">
      <c r="A24" s="1637" t="s">
        <v>1869</v>
      </c>
      <c r="B24" s="1412" t="s">
        <v>977</v>
      </c>
      <c r="C24" s="1061">
        <f>SUMIF(A44:A87,E2,B44:B87)</f>
        <v>0.99150000000000005</v>
      </c>
      <c r="D24" s="1531"/>
      <c r="E24" s="1532"/>
      <c r="F24" s="1532"/>
      <c r="G24" s="1532"/>
      <c r="H24" s="1532"/>
      <c r="I24" s="1532"/>
      <c r="J24" s="1532"/>
      <c r="K24" s="1477"/>
      <c r="L24" s="1477"/>
      <c r="M24" s="1477"/>
      <c r="N24" s="1480" t="s">
        <v>978</v>
      </c>
      <c r="O24" s="1539">
        <v>0.01</v>
      </c>
      <c r="P24" s="1537">
        <f>SUMPRODUCT((地价!A3:A22=YEAR(G19)&amp;"-"&amp;ROUNDUP(MONTH(G19)/3,0))*(地价!AD2:AH2=N24)*(地价!AD3:AH22))</f>
        <v>0</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7"/>
      <c r="E25" s="1427"/>
      <c r="F25" s="1484"/>
      <c r="G25" s="1427"/>
      <c r="H25" s="1427"/>
      <c r="I25" s="1427"/>
      <c r="J25" s="1428"/>
      <c r="K25" s="1398"/>
      <c r="L25" s="2192"/>
      <c r="M25" s="2192"/>
      <c r="N25" s="2818" t="s">
        <v>2648</v>
      </c>
      <c r="O25" s="2192"/>
      <c r="P25" s="1537">
        <f>SUMPRODUCT((地价!A3:A22=YEAR(G19)&amp;"-"&amp;ROUNDUP(MONTH(G19)/3,0))*(地价!AD2:AH2=N25)*(地价!AD3:AH22))</f>
        <v>0</v>
      </c>
      <c r="R25" s="2946"/>
      <c r="S25" s="2946"/>
      <c r="T25" s="2946"/>
      <c r="U25" s="2946"/>
      <c r="V25" s="2946"/>
      <c r="W25" s="2192"/>
      <c r="X25" s="2192"/>
      <c r="Y25" s="2192"/>
      <c r="Z25" s="2192"/>
      <c r="AA25" s="2192"/>
      <c r="AB25" s="2192"/>
      <c r="AC25" s="2192"/>
    </row>
    <row r="26" spans="1:40" ht="14.4">
      <c r="A26" s="1485"/>
      <c r="B26" s="1479" t="s">
        <v>983</v>
      </c>
      <c r="C26" s="1062">
        <f ca="1">E29+SUM(E33:E39)</f>
        <v>4420</v>
      </c>
      <c r="D26" s="1486"/>
      <c r="E26" s="1453"/>
      <c r="F26" s="1487"/>
      <c r="G26" s="1453"/>
      <c r="H26" s="1453"/>
      <c r="I26" s="1453"/>
      <c r="J26" s="1488"/>
      <c r="K26" s="1398"/>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3" t="e">
        <f ca="1">E30+SUM(I33:I39)</f>
        <v>#DIV/0!</v>
      </c>
      <c r="D27" s="1490"/>
      <c r="E27" s="1491"/>
      <c r="F27" s="1492"/>
      <c r="G27" s="1491"/>
      <c r="H27" s="1491"/>
      <c r="I27" s="1491"/>
      <c r="J27" s="1493"/>
      <c r="K27" s="1398"/>
      <c r="L27" s="2192"/>
      <c r="M27" s="2192"/>
      <c r="N27" s="2192"/>
      <c r="O27" s="2192"/>
      <c r="P27" s="2192"/>
      <c r="Q27" s="2192"/>
      <c r="R27" s="2946"/>
      <c r="S27" s="2946"/>
      <c r="T27" s="2946"/>
      <c r="U27" s="2946"/>
      <c r="V27" s="2946"/>
      <c r="W27" s="2192"/>
      <c r="X27" s="2192"/>
      <c r="Y27" s="2192"/>
      <c r="Z27" s="2192"/>
      <c r="AA27" s="2192"/>
      <c r="AB27" s="2192"/>
      <c r="AC27" s="2192"/>
    </row>
    <row r="28" spans="1:40" ht="14.4">
      <c r="A28" s="1481"/>
      <c r="B28" s="1494" t="s">
        <v>986</v>
      </c>
      <c r="C28" s="1495" t="s">
        <v>987</v>
      </c>
      <c r="D28" s="1495" t="s">
        <v>988</v>
      </c>
      <c r="E28" s="1496" t="s">
        <v>989</v>
      </c>
      <c r="F28" s="1497"/>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2">
        <f ca="1">ROUND(C5*C18*C19*C20*C21*C24,0)</f>
        <v>7392</v>
      </c>
      <c r="D29" s="1500">
        <f>F1*2</f>
        <v>5980</v>
      </c>
      <c r="E29" s="1846">
        <f ca="1">ROUND(C29*D29/10000,0)</f>
        <v>4420</v>
      </c>
      <c r="F29" s="1501" t="s">
        <v>1698</v>
      </c>
      <c r="G29" s="1502"/>
      <c r="H29" s="1502"/>
      <c r="I29" s="1502"/>
      <c r="J29" s="1503"/>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6" thickBot="1">
      <c r="A30" s="1504"/>
      <c r="B30" s="1505" t="s">
        <v>991</v>
      </c>
      <c r="C30" s="1050">
        <f ca="1">ROUND(IF(E2="工业",C29*M39,C29*M38),0)</f>
        <v>1848</v>
      </c>
      <c r="D30" s="1506"/>
      <c r="E30" s="1846">
        <f ca="1">ROUND(C30*D30/10000,0)</f>
        <v>0</v>
      </c>
      <c r="F30" s="1507" t="s">
        <v>992</v>
      </c>
      <c r="G30" s="1508"/>
      <c r="H30" s="1508"/>
      <c r="I30" s="1508"/>
      <c r="J30" s="1509"/>
      <c r="K30" s="1398"/>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9"/>
      <c r="AI30" s="1399"/>
      <c r="AJ30" s="1402"/>
      <c r="AK30" s="1402"/>
      <c r="AL30" s="1402"/>
      <c r="AM30" s="1402"/>
    </row>
    <row r="31" spans="1:40">
      <c r="A31" s="1510"/>
      <c r="B31" s="1511" t="s">
        <v>993</v>
      </c>
      <c r="C31" s="1512" t="s">
        <v>994</v>
      </c>
      <c r="D31" s="1439"/>
      <c r="E31" s="1512"/>
      <c r="F31" s="1512"/>
      <c r="G31" s="1437" t="s">
        <v>992</v>
      </c>
      <c r="H31" s="1439"/>
      <c r="I31" s="1513"/>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36">
      <c r="A32" s="1498"/>
      <c r="B32" s="1514"/>
      <c r="C32" s="1515" t="s">
        <v>987</v>
      </c>
      <c r="D32" s="1516" t="s">
        <v>988</v>
      </c>
      <c r="E32" s="1516" t="s">
        <v>989</v>
      </c>
      <c r="F32" s="1517" t="s">
        <v>995</v>
      </c>
      <c r="G32" s="1475" t="s">
        <v>987</v>
      </c>
      <c r="H32" s="1475" t="s">
        <v>988</v>
      </c>
      <c r="I32" s="1475" t="s">
        <v>989</v>
      </c>
      <c r="J32" s="1518"/>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3.2">
      <c r="A33" s="3497" t="s">
        <v>2954</v>
      </c>
      <c r="B33" s="1520" t="s">
        <v>996</v>
      </c>
      <c r="C33" s="1062">
        <f ca="1">ROUND(D5*C19*C20*C24*F33,0)</f>
        <v>0</v>
      </c>
      <c r="D33" s="1533"/>
      <c r="E33" s="1047">
        <f ca="1">ROUND(C33*D33/10000,0)</f>
        <v>0</v>
      </c>
      <c r="F33" s="1047">
        <f>SUMIF(修正!A45:A56,G2,修正!B45:B56)</f>
        <v>0.7</v>
      </c>
      <c r="G33" s="1047">
        <f t="shared" ref="G33:G39" ca="1" si="6">ROUND(IF(E2="工业",C33*$M$39,C33*$M$38),0)</f>
        <v>0</v>
      </c>
      <c r="H33" s="1047">
        <f>D33</f>
        <v>0</v>
      </c>
      <c r="I33" s="1047">
        <f ca="1">ROUND(G33*H33/10000,0)</f>
        <v>0</v>
      </c>
      <c r="J33" s="1521"/>
      <c r="K33" s="1398"/>
      <c r="L33" s="2186"/>
      <c r="M33" s="2186"/>
      <c r="N33" s="2186"/>
      <c r="O33" s="2186"/>
      <c r="P33" s="2186"/>
      <c r="Q33" s="2186"/>
      <c r="R33" s="2187"/>
      <c r="S33" s="2187"/>
      <c r="T33" s="2187"/>
      <c r="U33" s="2187"/>
      <c r="V33" s="2187"/>
      <c r="W33" s="2186"/>
      <c r="X33" s="2186"/>
      <c r="Y33" s="2186"/>
      <c r="Z33" s="2186"/>
      <c r="AA33" s="2186"/>
      <c r="AB33" s="2186"/>
      <c r="AC33" s="2187"/>
    </row>
    <row r="34" spans="1:40" ht="13.2">
      <c r="A34" s="3498"/>
      <c r="B34" s="1442" t="s">
        <v>997</v>
      </c>
      <c r="C34" s="1062">
        <f ca="1">ROUND(D5*C19*C20*C24*F34,0)</f>
        <v>0</v>
      </c>
      <c r="D34" s="1533"/>
      <c r="E34" s="1047">
        <f t="shared" ref="E34:E39" ca="1" si="7">ROUND(C34*D34/10000,0)</f>
        <v>0</v>
      </c>
      <c r="F34" s="1047">
        <f>SUMIF(修正!A45:A56,G2,修正!C45:C56)</f>
        <v>0.4</v>
      </c>
      <c r="G34" s="1047">
        <f t="shared" ca="1" si="6"/>
        <v>0</v>
      </c>
      <c r="H34" s="1047">
        <f t="shared" ref="H34:H39" si="8">D34</f>
        <v>0</v>
      </c>
      <c r="I34" s="1047">
        <f t="shared" ref="I34:I39" ca="1" si="9">ROUND(G34*H34/10000,0)</f>
        <v>0</v>
      </c>
      <c r="J34" s="1521"/>
      <c r="K34" s="1398"/>
      <c r="L34" s="2186"/>
      <c r="M34" s="2186"/>
      <c r="N34" s="2186"/>
      <c r="O34" s="2186"/>
      <c r="P34" s="2186"/>
      <c r="Q34" s="2186"/>
      <c r="R34" s="2187"/>
      <c r="S34" s="2187"/>
      <c r="T34" s="2187"/>
      <c r="U34" s="2187"/>
      <c r="V34" s="2187"/>
      <c r="W34" s="2186"/>
      <c r="X34" s="2186"/>
      <c r="Y34" s="2186"/>
      <c r="Z34" s="2186"/>
      <c r="AA34" s="2186"/>
      <c r="AB34" s="2186"/>
      <c r="AC34" s="2187"/>
    </row>
    <row r="35" spans="1:40" ht="13.2">
      <c r="A35" s="3498"/>
      <c r="B35" s="1442" t="s">
        <v>998</v>
      </c>
      <c r="C35" s="1062">
        <f ca="1">ROUND(D5*C19*C20*C24*F35,0)</f>
        <v>0</v>
      </c>
      <c r="D35" s="1533"/>
      <c r="E35" s="1047">
        <f t="shared" ca="1" si="7"/>
        <v>0</v>
      </c>
      <c r="F35" s="1047">
        <f>SUMIF(修正!A45:A56,G2,修正!D45:D56)</f>
        <v>0.28000000000000003</v>
      </c>
      <c r="G35" s="1047">
        <f t="shared" ca="1" si="6"/>
        <v>0</v>
      </c>
      <c r="H35" s="1047">
        <f t="shared" si="8"/>
        <v>0</v>
      </c>
      <c r="I35" s="1047">
        <f t="shared" ca="1" si="9"/>
        <v>0</v>
      </c>
      <c r="J35" s="1521"/>
      <c r="K35" s="1398"/>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99"/>
      <c r="B36" s="1442" t="s">
        <v>999</v>
      </c>
      <c r="C36" s="1062">
        <f ca="1">ROUND(D5*C19*C20*C24*F36,0)</f>
        <v>0</v>
      </c>
      <c r="D36" s="1533"/>
      <c r="E36" s="1047">
        <f t="shared" ca="1" si="7"/>
        <v>0</v>
      </c>
      <c r="F36" s="1047">
        <f>SUMIF(修正!A45:A56,G2,修正!E45:E56)</f>
        <v>0.25</v>
      </c>
      <c r="G36" s="1047">
        <f t="shared" ca="1" si="6"/>
        <v>0</v>
      </c>
      <c r="H36" s="1047">
        <f t="shared" si="8"/>
        <v>0</v>
      </c>
      <c r="I36" s="1047">
        <f t="shared" ca="1" si="9"/>
        <v>0</v>
      </c>
      <c r="J36" s="1521"/>
      <c r="K36" s="1398"/>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2" t="s">
        <v>1000</v>
      </c>
      <c r="C37" s="1047">
        <f ca="1">ROUND(C5*C19*C20*C24*F37,0)</f>
        <v>1960</v>
      </c>
      <c r="D37" s="1533"/>
      <c r="E37" s="1047">
        <f t="shared" ca="1" si="7"/>
        <v>0</v>
      </c>
      <c r="F37" s="1062">
        <f>SUMIF(修正!A45:A56,G2,修正!F45:F56)</f>
        <v>0.25</v>
      </c>
      <c r="G37" s="1047">
        <f t="shared" ca="1" si="6"/>
        <v>490</v>
      </c>
      <c r="H37" s="1047">
        <f t="shared" si="8"/>
        <v>0</v>
      </c>
      <c r="I37" s="1047">
        <f t="shared" ca="1" si="9"/>
        <v>0</v>
      </c>
      <c r="J37" s="1521"/>
      <c r="K37" s="1398"/>
      <c r="L37" s="1540" t="s">
        <v>1700</v>
      </c>
      <c r="M37" s="1541"/>
      <c r="N37" s="2186"/>
      <c r="O37" s="2186"/>
      <c r="P37" s="2186"/>
      <c r="Q37" s="2186"/>
      <c r="R37" s="2187"/>
      <c r="S37" s="2187"/>
      <c r="T37" s="2187"/>
      <c r="U37" s="2187"/>
      <c r="V37" s="2187"/>
      <c r="W37" s="2186"/>
      <c r="X37" s="2186"/>
      <c r="Y37" s="2186"/>
      <c r="Z37" s="2186"/>
      <c r="AA37" s="2186"/>
      <c r="AB37" s="2186"/>
      <c r="AC37" s="2187"/>
    </row>
    <row r="38" spans="1:40" ht="13.2">
      <c r="A38" s="1519"/>
      <c r="B38" s="1442" t="s">
        <v>1001</v>
      </c>
      <c r="C38" s="1047">
        <f ca="1">ROUND(C5*C19*C20*C24*F38,0)</f>
        <v>1960</v>
      </c>
      <c r="D38" s="1533"/>
      <c r="E38" s="1047">
        <f t="shared" ca="1" si="7"/>
        <v>0</v>
      </c>
      <c r="F38" s="1062">
        <f>SUMIF(修正!A45:A56,G2,修正!G45:G56)</f>
        <v>0.25</v>
      </c>
      <c r="G38" s="1047">
        <f t="shared" ca="1" si="6"/>
        <v>490</v>
      </c>
      <c r="H38" s="1047">
        <f t="shared" si="8"/>
        <v>0</v>
      </c>
      <c r="I38" s="1047">
        <f t="shared" ca="1" si="9"/>
        <v>0</v>
      </c>
      <c r="J38" s="1521"/>
      <c r="K38" s="1398"/>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1002</v>
      </c>
      <c r="C39" s="1050">
        <f ca="1">ROUND(C5*C19*C20*C24*F39,0)</f>
        <v>1568</v>
      </c>
      <c r="D39" s="1534"/>
      <c r="E39" s="1050">
        <f t="shared" ca="1" si="7"/>
        <v>0</v>
      </c>
      <c r="F39" s="1064">
        <f>SUMIF(修正!A45:A56,G2,修正!H45:H56)</f>
        <v>0.2</v>
      </c>
      <c r="G39" s="1050" t="e">
        <f t="shared" si="6"/>
        <v>#DIV/0!</v>
      </c>
      <c r="H39" s="1050">
        <f t="shared" si="8"/>
        <v>0</v>
      </c>
      <c r="I39" s="1050" t="e">
        <f t="shared" si="9"/>
        <v>#DIV/0!</v>
      </c>
      <c r="J39" s="1523"/>
      <c r="K39" s="1398"/>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1003</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4.4">
      <c r="A45" s="2445" t="s">
        <v>1004</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24">
      <c r="A47" s="1066" t="s">
        <v>1017</v>
      </c>
      <c r="B47" s="2432">
        <f>估价对象房地状况!C16</f>
        <v>0</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24">
      <c r="A48" s="1066" t="s">
        <v>1018</v>
      </c>
      <c r="B48" s="2429" t="str">
        <f>估价对象房地状况!C18</f>
        <v>交通便捷度较差</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1019</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48">
      <c r="A50" s="1066" t="s">
        <v>1020</v>
      </c>
      <c r="B50" s="3110" t="s">
        <v>2929</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1021</v>
      </c>
      <c r="B51" s="2429" t="str">
        <f>估价对象房地状况!C24</f>
        <v>旧忠路</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36">
      <c r="A52" s="1066" t="s">
        <v>1022</v>
      </c>
      <c r="B52" s="3109" t="s">
        <v>2928</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1023</v>
      </c>
      <c r="B53" s="2430" t="str">
        <f>估价对象房地状况!C21</f>
        <v>公共配套设施齐备度较差</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1024</v>
      </c>
      <c r="B54" s="2429" t="str">
        <f>估价对象房地状况!C22</f>
        <v>七通</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6" thickBot="1">
      <c r="A55" s="2462" t="s">
        <v>1025</v>
      </c>
      <c r="B55" s="2433" t="str">
        <f>估价对象房地状况!C20</f>
        <v>自然人文环境较差</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4.4">
      <c r="A56" s="2445" t="s">
        <v>1026</v>
      </c>
      <c r="B56" s="2446">
        <f>1+E58</f>
        <v>0.99150000000000005</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6" t="s">
        <v>1027</v>
      </c>
      <c r="B58" s="2432" t="str">
        <f>估价对象房地状况!C17</f>
        <v>办公集聚程度一般</v>
      </c>
      <c r="C58" s="1049" t="s">
        <v>3066</v>
      </c>
      <c r="D58" s="2438">
        <f t="shared" ref="D58:D66" si="15">SUMIF($J$57:$N$57,C58,J58:N58)</f>
        <v>0</v>
      </c>
      <c r="E58" s="2457">
        <f>ROUND(SUM(D58:D66),4)</f>
        <v>-8.5000000000000006E-3</v>
      </c>
      <c r="F58" s="2458">
        <f>IF(E2="办公",SUMIF(L1:L12,G2,N1:N12),"——")</f>
        <v>0.13</v>
      </c>
      <c r="G58" s="2436">
        <v>1.5599999999999999E-2</v>
      </c>
      <c r="H58" s="2482">
        <f>IFERROR(ROUNDDOWN($F$58*I58/2,4),"——")</f>
        <v>1.5599999999999999E-2</v>
      </c>
      <c r="I58" s="2456">
        <v>0.24</v>
      </c>
      <c r="J58" s="2459">
        <f t="shared" ref="J58:J66" si="16">K58+$G58</f>
        <v>3.1199999999999999E-2</v>
      </c>
      <c r="K58" s="2459">
        <f t="shared" ref="K58:K66" si="17">$L58+$G58</f>
        <v>1.5599999999999999E-2</v>
      </c>
      <c r="L58" s="2459">
        <v>0</v>
      </c>
      <c r="M58" s="2459">
        <f t="shared" ref="M58:N66" si="18">L58-$G58</f>
        <v>-1.5599999999999999E-2</v>
      </c>
      <c r="N58" s="2459">
        <f t="shared" si="18"/>
        <v>-3.1199999999999999E-2</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24">
      <c r="A59" s="1066" t="s">
        <v>1018</v>
      </c>
      <c r="B59" s="2429" t="str">
        <f>估价对象房地状况!C18</f>
        <v>交通便捷度较差</v>
      </c>
      <c r="C59" s="1049" t="s">
        <v>3067</v>
      </c>
      <c r="D59" s="2438">
        <f t="shared" si="15"/>
        <v>-1.95E-2</v>
      </c>
      <c r="E59" s="2460"/>
      <c r="F59" s="2458"/>
      <c r="G59" s="2436">
        <v>1.95E-2</v>
      </c>
      <c r="H59" s="2437">
        <f t="shared" ref="H59:H66" si="19">IFERROR($F$58*I59/2,"——")</f>
        <v>1.95E-2</v>
      </c>
      <c r="I59" s="2456">
        <v>0.3</v>
      </c>
      <c r="J59" s="2459">
        <f t="shared" si="16"/>
        <v>3.9E-2</v>
      </c>
      <c r="K59" s="2459">
        <f t="shared" si="17"/>
        <v>1.95E-2</v>
      </c>
      <c r="L59" s="2459">
        <v>0</v>
      </c>
      <c r="M59" s="2459">
        <f t="shared" si="18"/>
        <v>-1.95E-2</v>
      </c>
      <c r="N59" s="2459">
        <f t="shared" si="18"/>
        <v>-3.9E-2</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1019</v>
      </c>
      <c r="B60" s="2429">
        <f>估价对象房地状况!C19</f>
        <v>0</v>
      </c>
      <c r="C60" s="1049" t="s">
        <v>3066</v>
      </c>
      <c r="D60" s="2438">
        <f t="shared" si="15"/>
        <v>0</v>
      </c>
      <c r="E60" s="2460"/>
      <c r="F60" s="2458"/>
      <c r="G60" s="2436">
        <v>5.2000000000000006E-3</v>
      </c>
      <c r="H60" s="2437">
        <f t="shared" si="19"/>
        <v>5.2000000000000006E-3</v>
      </c>
      <c r="I60" s="2456">
        <v>0.08</v>
      </c>
      <c r="J60" s="2459">
        <f t="shared" si="16"/>
        <v>1.0400000000000001E-2</v>
      </c>
      <c r="K60" s="2459">
        <f t="shared" si="17"/>
        <v>5.2000000000000006E-3</v>
      </c>
      <c r="L60" s="2459">
        <v>0</v>
      </c>
      <c r="M60" s="2459">
        <f t="shared" si="18"/>
        <v>-5.2000000000000006E-3</v>
      </c>
      <c r="N60" s="2459">
        <f t="shared" si="18"/>
        <v>-1.0400000000000001E-2</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48">
      <c r="A61" s="1066" t="s">
        <v>1020</v>
      </c>
      <c r="B61" s="3110" t="s">
        <v>2930</v>
      </c>
      <c r="C61" s="1049" t="s">
        <v>3066</v>
      </c>
      <c r="D61" s="2438">
        <f t="shared" si="15"/>
        <v>0</v>
      </c>
      <c r="E61" s="2460"/>
      <c r="F61" s="2458"/>
      <c r="G61" s="2436">
        <v>2.6000000000000003E-3</v>
      </c>
      <c r="H61" s="2437">
        <f t="shared" si="19"/>
        <v>2.6000000000000003E-3</v>
      </c>
      <c r="I61" s="2456">
        <v>0.04</v>
      </c>
      <c r="J61" s="2459">
        <f t="shared" si="16"/>
        <v>5.2000000000000006E-3</v>
      </c>
      <c r="K61" s="2459">
        <f t="shared" si="17"/>
        <v>2.6000000000000003E-3</v>
      </c>
      <c r="L61" s="2459">
        <v>0</v>
      </c>
      <c r="M61" s="2459">
        <f t="shared" si="18"/>
        <v>-2.6000000000000003E-3</v>
      </c>
      <c r="N61" s="2459">
        <f t="shared" si="18"/>
        <v>-5.2000000000000006E-3</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1021</v>
      </c>
      <c r="B62" s="2429" t="str">
        <f>估价对象房地状况!C24</f>
        <v>旧忠路</v>
      </c>
      <c r="C62" s="1049" t="s">
        <v>3067</v>
      </c>
      <c r="D62" s="2438">
        <f t="shared" si="15"/>
        <v>-3.2500000000000003E-3</v>
      </c>
      <c r="E62" s="2460"/>
      <c r="F62" s="2458"/>
      <c r="G62" s="2436">
        <v>3.2500000000000003E-3</v>
      </c>
      <c r="H62" s="2437">
        <f t="shared" si="19"/>
        <v>3.2500000000000003E-3</v>
      </c>
      <c r="I62" s="2456">
        <v>0.05</v>
      </c>
      <c r="J62" s="2459">
        <f t="shared" si="16"/>
        <v>6.5000000000000006E-3</v>
      </c>
      <c r="K62" s="2459">
        <f t="shared" si="17"/>
        <v>3.2500000000000003E-3</v>
      </c>
      <c r="L62" s="2459">
        <v>0</v>
      </c>
      <c r="M62" s="2459">
        <f t="shared" si="18"/>
        <v>-3.2500000000000003E-3</v>
      </c>
      <c r="N62" s="2459">
        <f t="shared" si="18"/>
        <v>-6.5000000000000006E-3</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36">
      <c r="A63" s="1066" t="s">
        <v>1022</v>
      </c>
      <c r="B63" s="3109" t="s">
        <v>2928</v>
      </c>
      <c r="C63" s="1049" t="s">
        <v>3082</v>
      </c>
      <c r="D63" s="2438">
        <f t="shared" si="15"/>
        <v>6.5000000000000006E-3</v>
      </c>
      <c r="E63" s="2460"/>
      <c r="F63" s="2458"/>
      <c r="G63" s="2436">
        <v>3.2500000000000003E-3</v>
      </c>
      <c r="H63" s="2437">
        <f t="shared" si="19"/>
        <v>3.2500000000000003E-3</v>
      </c>
      <c r="I63" s="2456">
        <v>0.05</v>
      </c>
      <c r="J63" s="2459">
        <f t="shared" si="16"/>
        <v>6.5000000000000006E-3</v>
      </c>
      <c r="K63" s="2459">
        <f t="shared" si="17"/>
        <v>3.2500000000000003E-3</v>
      </c>
      <c r="L63" s="2459">
        <v>0</v>
      </c>
      <c r="M63" s="2459">
        <f t="shared" si="18"/>
        <v>-3.2500000000000003E-3</v>
      </c>
      <c r="N63" s="2459">
        <f t="shared" si="18"/>
        <v>-6.5000000000000006E-3</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1023</v>
      </c>
      <c r="B64" s="2430" t="str">
        <f>估价对象房地状况!C21</f>
        <v>公共配套设施齐备度较差</v>
      </c>
      <c r="C64" s="1049" t="s">
        <v>3067</v>
      </c>
      <c r="D64" s="2438">
        <f t="shared" si="15"/>
        <v>-3.8999999999999998E-3</v>
      </c>
      <c r="E64" s="2460"/>
      <c r="F64" s="2458"/>
      <c r="G64" s="2436">
        <v>3.8999999999999998E-3</v>
      </c>
      <c r="H64" s="2437">
        <f t="shared" si="19"/>
        <v>3.8999999999999998E-3</v>
      </c>
      <c r="I64" s="2456">
        <v>0.06</v>
      </c>
      <c r="J64" s="2459">
        <f t="shared" si="16"/>
        <v>7.7999999999999996E-3</v>
      </c>
      <c r="K64" s="2459">
        <f t="shared" si="17"/>
        <v>3.8999999999999998E-3</v>
      </c>
      <c r="L64" s="2459">
        <v>0</v>
      </c>
      <c r="M64" s="2459">
        <f t="shared" si="18"/>
        <v>-3.8999999999999998E-3</v>
      </c>
      <c r="N64" s="2459">
        <f t="shared" si="18"/>
        <v>-7.7999999999999996E-3</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1024</v>
      </c>
      <c r="B65" s="2430" t="str">
        <f>估价对象房地状况!C22</f>
        <v>七通</v>
      </c>
      <c r="C65" s="1049" t="s">
        <v>3082</v>
      </c>
      <c r="D65" s="2438">
        <f t="shared" si="15"/>
        <v>1.5599999999999999E-2</v>
      </c>
      <c r="E65" s="2460"/>
      <c r="F65" s="2458"/>
      <c r="G65" s="2436">
        <v>7.7999999999999996E-3</v>
      </c>
      <c r="H65" s="2437">
        <f t="shared" si="19"/>
        <v>7.7999999999999996E-3</v>
      </c>
      <c r="I65" s="2456">
        <v>0.12</v>
      </c>
      <c r="J65" s="2459">
        <f t="shared" si="16"/>
        <v>1.5599999999999999E-2</v>
      </c>
      <c r="K65" s="2459">
        <f t="shared" si="17"/>
        <v>7.7999999999999996E-3</v>
      </c>
      <c r="L65" s="2459">
        <v>0</v>
      </c>
      <c r="M65" s="2459">
        <f t="shared" si="18"/>
        <v>-7.7999999999999996E-3</v>
      </c>
      <c r="N65" s="2459">
        <f t="shared" si="18"/>
        <v>-1.5599999999999999E-2</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6" thickBot="1">
      <c r="A66" s="2462" t="s">
        <v>1025</v>
      </c>
      <c r="B66" s="2434" t="str">
        <f>估价对象房地状况!C20</f>
        <v>自然人文环境较差</v>
      </c>
      <c r="C66" s="1049" t="s">
        <v>3067</v>
      </c>
      <c r="D66" s="2438">
        <f t="shared" si="15"/>
        <v>-3.8999999999999998E-3</v>
      </c>
      <c r="E66" s="2464"/>
      <c r="F66" s="2458"/>
      <c r="G66" s="2436">
        <v>3.8999999999999998E-3</v>
      </c>
      <c r="H66" s="2437">
        <f t="shared" si="19"/>
        <v>3.8999999999999998E-3</v>
      </c>
      <c r="I66" s="2463">
        <v>0.06</v>
      </c>
      <c r="J66" s="2459">
        <f t="shared" si="16"/>
        <v>7.7999999999999996E-3</v>
      </c>
      <c r="K66" s="2459">
        <f t="shared" si="17"/>
        <v>3.8999999999999998E-3</v>
      </c>
      <c r="L66" s="2459">
        <v>0</v>
      </c>
      <c r="M66" s="2459">
        <f t="shared" si="18"/>
        <v>-3.8999999999999998E-3</v>
      </c>
      <c r="N66" s="2459">
        <f t="shared" si="18"/>
        <v>-7.7999999999999996E-3</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4.4">
      <c r="A67" s="2445" t="s">
        <v>1028</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24">
      <c r="A69" s="1066" t="s">
        <v>1029</v>
      </c>
      <c r="B69" s="2432">
        <f>估价对象房地状况!C15</f>
        <v>0</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24">
      <c r="A70" s="1066" t="s">
        <v>1030</v>
      </c>
      <c r="B70" s="2429" t="str">
        <f>估价对象房地状况!C18</f>
        <v>交通便捷度较差</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1019</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3.8">
      <c r="A72" s="1066" t="s">
        <v>1031</v>
      </c>
      <c r="B72" s="2429" t="str">
        <f>估价对象房地状况!C24</f>
        <v>旧忠路</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1023</v>
      </c>
      <c r="B73" s="2430" t="str">
        <f>估价对象房地状况!C21</f>
        <v>公共配套设施齐备度较差</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1024</v>
      </c>
      <c r="B74" s="2430" t="str">
        <f>估价对象房地状况!C22</f>
        <v>七通</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36">
      <c r="A75" s="1066" t="s">
        <v>1022</v>
      </c>
      <c r="B75" s="3109" t="s">
        <v>2928</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6" t="s">
        <v>1025</v>
      </c>
      <c r="B76" s="2432" t="str">
        <f>估价对象房地状况!C20</f>
        <v>自然人文环境较差</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36.6" thickBot="1">
      <c r="A77" s="2462" t="s">
        <v>1032</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4.4">
      <c r="A78" s="2445" t="s">
        <v>1033</v>
      </c>
      <c r="B78" s="2446">
        <f>1+E80</f>
        <v>0.99299999999999999</v>
      </c>
      <c r="C78" s="2465"/>
      <c r="D78" s="2448"/>
      <c r="E78" s="2449"/>
      <c r="F78" s="2450"/>
      <c r="G78" s="2444"/>
      <c r="H78" s="2444"/>
      <c r="I78" s="2444"/>
      <c r="J78" s="1065"/>
      <c r="K78" s="1065"/>
      <c r="L78" s="1065"/>
      <c r="M78" s="1065"/>
      <c r="N78" s="1065"/>
      <c r="AC78" s="1402"/>
      <c r="AD78" s="1401"/>
      <c r="AJ78" s="1400"/>
      <c r="AN78" s="1401"/>
    </row>
    <row r="79" spans="1:40" ht="24">
      <c r="A79" s="1066"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2"/>
      <c r="AD79" s="1401"/>
      <c r="AJ79" s="1400"/>
      <c r="AN79" s="1401"/>
    </row>
    <row r="80" spans="1:40" ht="48">
      <c r="A80" s="1066" t="s">
        <v>1034</v>
      </c>
      <c r="B80" s="2429" t="str">
        <f>估价对象房地状况!G15</f>
        <v>估价对象位于顺义区明珠大街75号，周边工业项目较少，产业集聚程度较差</v>
      </c>
      <c r="C80" s="1049" t="s">
        <v>3067</v>
      </c>
      <c r="D80" s="2438">
        <f t="shared" ref="D80:D87" si="25">SUMIF($J$79:$N$79,C80,J80:N80)</f>
        <v>-0.01</v>
      </c>
      <c r="E80" s="2457">
        <f>ROUND(SUM(D80:D87),4)</f>
        <v>-7.0000000000000001E-3</v>
      </c>
      <c r="F80" s="2458" t="str">
        <f>IF(E2="工业",SUMIF(L1:L12,G2,N1:N12),"——")</f>
        <v>——</v>
      </c>
      <c r="G80" s="2436">
        <v>0.01</v>
      </c>
      <c r="H80" s="2482" t="str">
        <f t="shared" ref="H80:H87" si="26">IFERROR(ROUNDDOWN($F$80*I80/2,4),"——")</f>
        <v>——</v>
      </c>
      <c r="I80" s="2456">
        <v>0.26</v>
      </c>
      <c r="J80" s="2459">
        <f t="shared" ref="J80:J87" si="27">K80+$G80</f>
        <v>0.02</v>
      </c>
      <c r="K80" s="2459">
        <f t="shared" ref="K80:K87" si="28">$L80+$G80</f>
        <v>0.01</v>
      </c>
      <c r="L80" s="2459">
        <v>0</v>
      </c>
      <c r="M80" s="2459">
        <f t="shared" ref="M80:N87" si="29">L80-$G80</f>
        <v>-0.01</v>
      </c>
      <c r="N80" s="2459">
        <f t="shared" si="29"/>
        <v>-0.02</v>
      </c>
      <c r="AC80" s="1402"/>
      <c r="AD80" s="1401"/>
      <c r="AJ80" s="1400"/>
      <c r="AN80" s="1401"/>
    </row>
    <row r="81" spans="1:40" ht="60">
      <c r="A81" s="1066" t="s">
        <v>1030</v>
      </c>
      <c r="B81" s="2429" t="str">
        <f>估价对象房地状况!G16</f>
        <v>估价对象周边道路状况、公共交通通达情况：882、顺18、停车便捷程度较好，综合评价交通便捷度较差</v>
      </c>
      <c r="C81" s="1049" t="s">
        <v>3067</v>
      </c>
      <c r="D81" s="2438">
        <f t="shared" si="25"/>
        <v>-1.4999999999999999E-2</v>
      </c>
      <c r="E81" s="2466"/>
      <c r="F81" s="2467"/>
      <c r="G81" s="2436">
        <v>1.4999999999999999E-2</v>
      </c>
      <c r="H81" s="2482" t="str">
        <f t="shared" si="26"/>
        <v>——</v>
      </c>
      <c r="I81" s="2456">
        <v>0.33</v>
      </c>
      <c r="J81" s="2459">
        <f t="shared" si="27"/>
        <v>0.03</v>
      </c>
      <c r="K81" s="2459">
        <f t="shared" si="28"/>
        <v>1.4999999999999999E-2</v>
      </c>
      <c r="L81" s="2459">
        <v>0</v>
      </c>
      <c r="M81" s="2459">
        <f t="shared" si="29"/>
        <v>-1.4999999999999999E-2</v>
      </c>
      <c r="N81" s="2459">
        <f t="shared" si="29"/>
        <v>-0.03</v>
      </c>
      <c r="AC81" s="1402"/>
      <c r="AD81" s="1401"/>
      <c r="AJ81" s="1400"/>
      <c r="AN81" s="1401"/>
    </row>
    <row r="82" spans="1:40" ht="24">
      <c r="A82" s="1066" t="s">
        <v>1019</v>
      </c>
      <c r="B82" s="2429">
        <f>估价对象房地状况!G17</f>
        <v>0</v>
      </c>
      <c r="C82" s="1049" t="s">
        <v>3066</v>
      </c>
      <c r="D82" s="2438">
        <f t="shared" si="25"/>
        <v>0</v>
      </c>
      <c r="E82" s="2466"/>
      <c r="F82" s="2467"/>
      <c r="G82" s="2436">
        <v>2E-3</v>
      </c>
      <c r="H82" s="2482" t="str">
        <f t="shared" si="26"/>
        <v>——</v>
      </c>
      <c r="I82" s="2456">
        <v>0.05</v>
      </c>
      <c r="J82" s="2459">
        <f t="shared" si="27"/>
        <v>4.0000000000000001E-3</v>
      </c>
      <c r="K82" s="2459">
        <f t="shared" si="28"/>
        <v>2E-3</v>
      </c>
      <c r="L82" s="2459">
        <v>0</v>
      </c>
      <c r="M82" s="2459">
        <f t="shared" si="29"/>
        <v>-2E-3</v>
      </c>
      <c r="N82" s="2459">
        <f t="shared" si="29"/>
        <v>-4.0000000000000001E-3</v>
      </c>
      <c r="AC82" s="1402"/>
      <c r="AD82" s="1401"/>
      <c r="AJ82" s="1400"/>
      <c r="AN82" s="1401"/>
    </row>
    <row r="83" spans="1:40" ht="13.8">
      <c r="A83" s="1066" t="s">
        <v>1031</v>
      </c>
      <c r="B83" s="2429" t="str">
        <f>估价对象房地状况!G22</f>
        <v>次干道-木燕路</v>
      </c>
      <c r="C83" s="1049" t="s">
        <v>3066</v>
      </c>
      <c r="D83" s="2438">
        <f t="shared" si="25"/>
        <v>0</v>
      </c>
      <c r="E83" s="2466"/>
      <c r="F83" s="2467"/>
      <c r="G83" s="2436">
        <v>2E-3</v>
      </c>
      <c r="H83" s="2482" t="str">
        <f t="shared" si="26"/>
        <v>——</v>
      </c>
      <c r="I83" s="2456">
        <v>0.04</v>
      </c>
      <c r="J83" s="2459">
        <f t="shared" si="27"/>
        <v>4.0000000000000001E-3</v>
      </c>
      <c r="K83" s="2459">
        <f t="shared" si="28"/>
        <v>2E-3</v>
      </c>
      <c r="L83" s="2459">
        <v>0</v>
      </c>
      <c r="M83" s="2459">
        <f t="shared" si="29"/>
        <v>-2E-3</v>
      </c>
      <c r="N83" s="2459">
        <f t="shared" si="29"/>
        <v>-4.0000000000000001E-3</v>
      </c>
      <c r="AC83" s="1402"/>
      <c r="AD83" s="1401"/>
      <c r="AJ83" s="1400"/>
      <c r="AN83" s="1401"/>
    </row>
    <row r="84" spans="1:40" ht="36">
      <c r="A84" s="1066" t="s">
        <v>1023</v>
      </c>
      <c r="B84" s="2430" t="str">
        <f>估价对象房地状况!G19</f>
        <v>估价对象所在区域公共配套设施齐备情况较差</v>
      </c>
      <c r="C84" s="1049" t="s">
        <v>3067</v>
      </c>
      <c r="D84" s="2438">
        <f t="shared" si="25"/>
        <v>-2E-3</v>
      </c>
      <c r="E84" s="2466"/>
      <c r="F84" s="2467"/>
      <c r="G84" s="2436">
        <v>2E-3</v>
      </c>
      <c r="H84" s="2482" t="str">
        <f t="shared" si="26"/>
        <v>——</v>
      </c>
      <c r="I84" s="2456">
        <v>0.06</v>
      </c>
      <c r="J84" s="2459">
        <f t="shared" si="27"/>
        <v>4.0000000000000001E-3</v>
      </c>
      <c r="K84" s="2459">
        <f t="shared" si="28"/>
        <v>2E-3</v>
      </c>
      <c r="L84" s="2459">
        <v>0</v>
      </c>
      <c r="M84" s="2459">
        <f t="shared" si="29"/>
        <v>-2E-3</v>
      </c>
      <c r="N84" s="2459">
        <f t="shared" si="29"/>
        <v>-4.0000000000000001E-3</v>
      </c>
      <c r="AC84" s="1402"/>
      <c r="AD84" s="1401"/>
      <c r="AJ84" s="1400"/>
      <c r="AN84" s="1401"/>
    </row>
    <row r="85" spans="1:40" ht="24">
      <c r="A85" s="1066" t="s">
        <v>1024</v>
      </c>
      <c r="B85" s="2430" t="str">
        <f>估价对象房地状况!G20</f>
        <v>七通</v>
      </c>
      <c r="C85" s="1049" t="s">
        <v>3082</v>
      </c>
      <c r="D85" s="2438">
        <f t="shared" si="25"/>
        <v>0.02</v>
      </c>
      <c r="E85" s="2466"/>
      <c r="F85" s="2467"/>
      <c r="G85" s="2436">
        <v>0.01</v>
      </c>
      <c r="H85" s="2482" t="str">
        <f t="shared" si="26"/>
        <v>——</v>
      </c>
      <c r="I85" s="2456">
        <v>0.15</v>
      </c>
      <c r="J85" s="2459">
        <f t="shared" si="27"/>
        <v>0.02</v>
      </c>
      <c r="K85" s="2459">
        <f t="shared" si="28"/>
        <v>0.01</v>
      </c>
      <c r="L85" s="2459">
        <v>0</v>
      </c>
      <c r="M85" s="2459">
        <f t="shared" si="29"/>
        <v>-0.01</v>
      </c>
      <c r="N85" s="2459">
        <f t="shared" si="29"/>
        <v>-0.02</v>
      </c>
      <c r="AC85" s="1402"/>
      <c r="AD85" s="1401"/>
      <c r="AJ85" s="1400"/>
      <c r="AN85" s="1401"/>
    </row>
    <row r="86" spans="1:40" ht="36">
      <c r="A86" s="1066" t="s">
        <v>1022</v>
      </c>
      <c r="B86" s="3109" t="s">
        <v>3121</v>
      </c>
      <c r="C86" s="1049" t="s">
        <v>3066</v>
      </c>
      <c r="D86" s="2438">
        <f t="shared" si="25"/>
        <v>0</v>
      </c>
      <c r="E86" s="2466"/>
      <c r="F86" s="2467"/>
      <c r="G86" s="2436">
        <v>2.5000000000000001E-3</v>
      </c>
      <c r="H86" s="2482" t="str">
        <f t="shared" si="26"/>
        <v>——</v>
      </c>
      <c r="I86" s="2456">
        <v>0.05</v>
      </c>
      <c r="J86" s="2459">
        <f t="shared" si="27"/>
        <v>5.0000000000000001E-3</v>
      </c>
      <c r="K86" s="2459">
        <f t="shared" si="28"/>
        <v>2.5000000000000001E-3</v>
      </c>
      <c r="L86" s="2459">
        <v>0</v>
      </c>
      <c r="M86" s="2459">
        <f t="shared" si="29"/>
        <v>-2.5000000000000001E-3</v>
      </c>
      <c r="N86" s="2459">
        <f t="shared" si="29"/>
        <v>-5.0000000000000001E-3</v>
      </c>
      <c r="AC86" s="1402"/>
      <c r="AD86" s="1401"/>
      <c r="AJ86" s="1400"/>
      <c r="AN86" s="1401"/>
    </row>
    <row r="87" spans="1:40" ht="48.6" thickBot="1">
      <c r="A87" s="2462" t="s">
        <v>1035</v>
      </c>
      <c r="B87" s="2431" t="str">
        <f>估价对象房地状况!G18</f>
        <v>该园区内是否有污染型企业，绿化情况，卫生条件，整体环境状况判断一般</v>
      </c>
      <c r="C87" s="1049" t="s">
        <v>3066</v>
      </c>
      <c r="D87" s="2438">
        <f t="shared" si="25"/>
        <v>0</v>
      </c>
      <c r="E87" s="2468"/>
      <c r="F87" s="2467"/>
      <c r="G87" s="2436">
        <v>2.5000000000000001E-3</v>
      </c>
      <c r="H87" s="2482" t="str">
        <f t="shared" si="26"/>
        <v>——</v>
      </c>
      <c r="I87" s="2463">
        <v>0.06</v>
      </c>
      <c r="J87" s="2459">
        <f t="shared" si="27"/>
        <v>5.0000000000000001E-3</v>
      </c>
      <c r="K87" s="2459">
        <f t="shared" si="28"/>
        <v>2.5000000000000001E-3</v>
      </c>
      <c r="L87" s="2459">
        <v>0</v>
      </c>
      <c r="M87" s="2459">
        <f t="shared" si="29"/>
        <v>-2.5000000000000001E-3</v>
      </c>
      <c r="N87" s="2459">
        <f t="shared" si="29"/>
        <v>-5.0000000000000001E-3</v>
      </c>
      <c r="AC87" s="1402"/>
      <c r="AD87" s="1401"/>
      <c r="AJ87" s="1400"/>
      <c r="AN87" s="1401"/>
    </row>
    <row r="90" spans="1:40">
      <c r="A90" s="3442" t="s">
        <v>1630</v>
      </c>
      <c r="B90" s="3442"/>
      <c r="C90" s="3442"/>
      <c r="D90" s="3442"/>
      <c r="E90" s="3442"/>
      <c r="F90" s="3442"/>
      <c r="G90" s="3442"/>
      <c r="H90" s="3442"/>
      <c r="I90" s="3442"/>
      <c r="J90" s="3442"/>
      <c r="K90" s="2471"/>
      <c r="L90" s="2471"/>
      <c r="M90" s="2471"/>
      <c r="N90" s="2471"/>
    </row>
    <row r="91" spans="1:40">
      <c r="A91" s="3441" t="s">
        <v>1440</v>
      </c>
      <c r="B91" s="3441" t="s">
        <v>1631</v>
      </c>
      <c r="C91" s="1139" t="s">
        <v>1632</v>
      </c>
      <c r="D91" s="1140"/>
      <c r="E91" s="1140"/>
      <c r="F91" s="1140"/>
      <c r="G91" s="1140"/>
      <c r="H91" s="1140"/>
      <c r="I91" s="1140"/>
      <c r="J91" s="1141"/>
      <c r="K91" s="1133"/>
      <c r="L91" s="1133"/>
      <c r="M91" s="1133"/>
      <c r="N91" s="1133"/>
    </row>
    <row r="92" spans="1:40">
      <c r="A92" s="3441"/>
      <c r="B92" s="3441"/>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50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0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0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0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0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0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04"/>
      <c r="B99" s="1142" t="s">
        <v>1633</v>
      </c>
      <c r="C99" s="1144">
        <f>$I$3</f>
        <v>0</v>
      </c>
      <c r="D99" s="1144">
        <f t="shared" ref="D99:N99" si="30">$I$3</f>
        <v>0</v>
      </c>
      <c r="E99" s="1144">
        <f t="shared" si="30"/>
        <v>0</v>
      </c>
      <c r="F99" s="1144">
        <f t="shared" si="30"/>
        <v>0</v>
      </c>
      <c r="G99" s="1144">
        <f t="shared" si="30"/>
        <v>0</v>
      </c>
      <c r="H99" s="1144">
        <f t="shared" si="30"/>
        <v>0</v>
      </c>
      <c r="I99" s="1144">
        <f t="shared" si="30"/>
        <v>0</v>
      </c>
      <c r="J99" s="1144">
        <f t="shared" si="30"/>
        <v>0</v>
      </c>
      <c r="K99" s="1144">
        <f t="shared" si="30"/>
        <v>0</v>
      </c>
      <c r="L99" s="1144">
        <f t="shared" si="30"/>
        <v>0</v>
      </c>
      <c r="M99" s="1144">
        <f t="shared" si="30"/>
        <v>0</v>
      </c>
      <c r="N99" s="1144">
        <f t="shared" si="30"/>
        <v>0</v>
      </c>
    </row>
    <row r="100" spans="1:14">
      <c r="A100" s="3505"/>
      <c r="B100" s="1142">
        <v>7</v>
      </c>
      <c r="C100" s="1145">
        <f>(-0.163*(C99^2)-0.59*C99+7617)*(10^(-4))</f>
        <v>0.76170000000000004</v>
      </c>
      <c r="D100" s="1145">
        <f>(-0.163*(D99^2)-0.59*D99+7617)*(10^(-4))</f>
        <v>0.76170000000000004</v>
      </c>
      <c r="E100" s="1145">
        <f>(-0.161*(E99^2)-7.509*E99+6533)*(10^(-4))</f>
        <v>0.65329999999999999</v>
      </c>
      <c r="F100" s="1145">
        <f>(-0.161*(F99^2)-7.509*F99+6533)*(10^(-4))</f>
        <v>0.65329999999999999</v>
      </c>
      <c r="G100" s="1145">
        <f>(-0.161*(G99^2)-7.509*G99+6533)*(10^(-4))</f>
        <v>0.65329999999999999</v>
      </c>
      <c r="H100" s="1145">
        <f>(-0.161*(H99^2)-7.509*H99+6533)*(10^(-4))</f>
        <v>0.65329999999999999</v>
      </c>
      <c r="I100" s="1145">
        <f>(-0.161*(I99^2)-7.509*I99+6533)*(10^(-4))</f>
        <v>0.65329999999999999</v>
      </c>
      <c r="J100" s="1145">
        <f>(-0.214*(J99^2)-21.991*J99+4665)*(10^(-4))</f>
        <v>0.46650000000000003</v>
      </c>
      <c r="K100" s="1145">
        <f>(-0.214*(K99^2)-21.991*K99+4665)*(10^(-4))</f>
        <v>0.46650000000000003</v>
      </c>
      <c r="L100" s="1145">
        <f>(-0.214*(L99^2)-21.991*L99+4665)*(10^(-4))</f>
        <v>0.46650000000000003</v>
      </c>
      <c r="M100" s="1145">
        <f>(-0.214*(M99^2)-21.991*M99+4665)*(10^(-4))</f>
        <v>0.46650000000000003</v>
      </c>
      <c r="N100" s="1145">
        <f>(-0.214*(N99^2)-21.991*N99+4665)*(10^(-4))</f>
        <v>0.46650000000000003</v>
      </c>
    </row>
    <row r="101" spans="1:14">
      <c r="A101" s="3503" t="s">
        <v>1634</v>
      </c>
      <c r="B101" s="1146" t="s">
        <v>902</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504"/>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504"/>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504"/>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504"/>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504"/>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504"/>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504"/>
      <c r="B108" s="3506" t="s">
        <v>1635</v>
      </c>
      <c r="C108" s="1144">
        <f>C99</f>
        <v>0</v>
      </c>
      <c r="D108" s="1144">
        <f t="shared" ref="D108:N108" si="32">D99</f>
        <v>0</v>
      </c>
      <c r="E108" s="1144">
        <f t="shared" si="32"/>
        <v>0</v>
      </c>
      <c r="F108" s="1144">
        <f t="shared" si="32"/>
        <v>0</v>
      </c>
      <c r="G108" s="1144">
        <f t="shared" si="32"/>
        <v>0</v>
      </c>
      <c r="H108" s="1144">
        <f t="shared" si="32"/>
        <v>0</v>
      </c>
      <c r="I108" s="1144">
        <f t="shared" si="32"/>
        <v>0</v>
      </c>
      <c r="J108" s="1144">
        <f t="shared" si="32"/>
        <v>0</v>
      </c>
      <c r="K108" s="1144">
        <f t="shared" si="32"/>
        <v>0</v>
      </c>
      <c r="L108" s="1144">
        <f t="shared" si="32"/>
        <v>0</v>
      </c>
      <c r="M108" s="1144">
        <f t="shared" si="32"/>
        <v>0</v>
      </c>
      <c r="N108" s="1144">
        <f t="shared" si="32"/>
        <v>0</v>
      </c>
    </row>
    <row r="109" spans="1:14">
      <c r="A109" s="3505"/>
      <c r="B109" s="3507"/>
      <c r="C109" s="1145">
        <f>(-0.163*(C108^2)-0.59*C108+7617)*(10^(-4))/C101</f>
        <v>0.25390000000000001</v>
      </c>
      <c r="D109" s="1145">
        <f>(-0.163*(D108^2)-0.59*D108+7617)*(10^(-4))/D101</f>
        <v>0.25390000000000001</v>
      </c>
      <c r="E109" s="1145">
        <f>(-0.161*(E108^2)-7.509*E108+6533)*(10^(-4))/E101</f>
        <v>0.21776666666666666</v>
      </c>
      <c r="F109" s="1145">
        <f>(-0.161*(F108^2)-7.509*F108+6533)*(10^(-4))/F101</f>
        <v>0.21776666666666666</v>
      </c>
      <c r="G109" s="1145">
        <f>(-0.161*(G108^2)-7.509*G108+6533)*(10^(-4))/G101</f>
        <v>0.21776666666666666</v>
      </c>
      <c r="H109" s="1145">
        <f>(-0.161*(H108^2)-7.509*H108+6533)*(10^(-4))/H101</f>
        <v>0.21776666666666666</v>
      </c>
      <c r="I109" s="1145">
        <f>(-0.161*(I108^2)-7.509*I108+6533)*(10^(-4))/I101</f>
        <v>0.21776666666666666</v>
      </c>
      <c r="J109" s="1145">
        <f>(-0.214*(J108^2)-21.991*J108+4665)*(10^(-4))/J101</f>
        <v>0.1555</v>
      </c>
      <c r="K109" s="1145">
        <f>(-0.214*(K108^2)-21.991*K108+4665)*(10^(-4))/K101</f>
        <v>0.1555</v>
      </c>
      <c r="L109" s="1145">
        <f>(-0.214*(L108^2)-21.991*L108+4665)*(10^(-4))/L101</f>
        <v>0.1555</v>
      </c>
      <c r="M109" s="1145">
        <f>(-0.214*(M108^2)-21.991*M108+4665)*(10^(-4))/M101</f>
        <v>0.1555</v>
      </c>
      <c r="N109" s="1145">
        <f>(-0.214*(N108^2)-21.991*N108+4665)*(10^(-4))/N101</f>
        <v>0.1555</v>
      </c>
    </row>
    <row r="110" spans="1:14">
      <c r="A110" s="3492" t="s">
        <v>1636</v>
      </c>
      <c r="B110" s="3492"/>
      <c r="C110" s="3492"/>
      <c r="D110" s="3492"/>
      <c r="E110" s="3492"/>
      <c r="F110" s="3492"/>
      <c r="G110" s="3492"/>
      <c r="H110" s="3492"/>
      <c r="I110" s="3492"/>
      <c r="J110" s="3492"/>
      <c r="K110" s="2469"/>
      <c r="L110" s="2469"/>
      <c r="M110" s="2469"/>
      <c r="N110" s="2469"/>
    </row>
    <row r="112" spans="1:14" ht="12.6" thickBot="1"/>
    <row r="113" spans="1:13" ht="25.8" thickBot="1">
      <c r="A113" s="1015" t="s">
        <v>892</v>
      </c>
      <c r="B113" s="2472">
        <f>G3</f>
        <v>3</v>
      </c>
      <c r="C113" s="1016" t="s">
        <v>893</v>
      </c>
      <c r="D113" s="1017">
        <f>SUMPRODUCT((A115:A118=F113)*(B114:M114=H113)*B115:M118)</f>
        <v>0.81769999999999998</v>
      </c>
      <c r="E113" s="1018" t="s">
        <v>894</v>
      </c>
      <c r="F113" s="1019" t="str">
        <f>E2</f>
        <v>办公</v>
      </c>
      <c r="G113" s="1018" t="s">
        <v>895</v>
      </c>
      <c r="H113" s="1019" t="str">
        <f>G2</f>
        <v>七级</v>
      </c>
      <c r="I113" s="1018"/>
      <c r="J113" s="1010"/>
      <c r="K113" s="1010"/>
      <c r="L113" s="1010"/>
      <c r="M113" s="1010"/>
    </row>
    <row r="114" spans="1:13" ht="13.2">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3.2">
      <c r="A115" s="1028" t="s">
        <v>896</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3.2">
      <c r="A116" s="1028" t="s">
        <v>897</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3.2">
      <c r="A117" s="1031" t="s">
        <v>898</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8" thickBot="1">
      <c r="A118" s="1032" t="s">
        <v>899</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F31" sqref="F31"/>
    </sheetView>
  </sheetViews>
  <sheetFormatPr defaultRowHeight="14.4"/>
  <cols>
    <col min="1" max="1" width="40.109375" customWidth="1"/>
    <col min="8" max="8" width="13.33203125" customWidth="1"/>
    <col min="9" max="9" width="11.44140625" customWidth="1"/>
    <col min="12" max="12" width="16.21875" customWidth="1"/>
  </cols>
  <sheetData>
    <row r="1" spans="1:13" s="2960" customFormat="1">
      <c r="A1" s="2960" t="s">
        <v>3137</v>
      </c>
      <c r="B1" s="2960" t="s">
        <v>3138</v>
      </c>
      <c r="C1" s="2960" t="s">
        <v>3139</v>
      </c>
      <c r="D1" s="2960" t="s">
        <v>3140</v>
      </c>
      <c r="E1" s="2960" t="s">
        <v>3141</v>
      </c>
      <c r="F1" s="2960" t="s">
        <v>3142</v>
      </c>
      <c r="G1" s="2960" t="s">
        <v>2031</v>
      </c>
      <c r="H1" s="2960" t="s">
        <v>3143</v>
      </c>
      <c r="I1" s="2960" t="s">
        <v>3144</v>
      </c>
      <c r="J1" s="2960" t="s">
        <v>3145</v>
      </c>
      <c r="K1" s="2960" t="s">
        <v>3146</v>
      </c>
      <c r="L1" s="2960" t="s">
        <v>3147</v>
      </c>
      <c r="M1" s="2960" t="s">
        <v>3148</v>
      </c>
    </row>
    <row r="2" spans="1:13" s="3212" customFormat="1">
      <c r="A2" s="3212" t="s">
        <v>3149</v>
      </c>
      <c r="B2" s="3212" t="s">
        <v>1944</v>
      </c>
      <c r="C2" s="3212" t="s">
        <v>3150</v>
      </c>
      <c r="D2" s="3212" t="s">
        <v>3151</v>
      </c>
      <c r="E2" s="3212">
        <v>33071.620000000003</v>
      </c>
      <c r="F2" s="3212">
        <v>122423.9</v>
      </c>
      <c r="G2" s="3212">
        <v>3.7</v>
      </c>
      <c r="H2" s="3212" t="s">
        <v>3152</v>
      </c>
      <c r="I2" s="3212" t="s">
        <v>3153</v>
      </c>
      <c r="J2" s="3212">
        <v>183000</v>
      </c>
      <c r="K2" s="3212">
        <v>183000</v>
      </c>
      <c r="L2" s="3212">
        <v>14948.05</v>
      </c>
      <c r="M2" s="3212">
        <v>0</v>
      </c>
    </row>
    <row r="3" spans="1:13" s="3211" customFormat="1">
      <c r="A3" s="3211" t="s">
        <v>3154</v>
      </c>
      <c r="B3" s="3211" t="s">
        <v>1944</v>
      </c>
      <c r="C3" s="3211" t="s">
        <v>3150</v>
      </c>
      <c r="D3" s="3211" t="s">
        <v>3151</v>
      </c>
      <c r="E3" s="3211">
        <v>66237.2</v>
      </c>
      <c r="F3" s="3211">
        <v>264058.7</v>
      </c>
      <c r="G3" s="3211">
        <v>3.99</v>
      </c>
      <c r="H3" s="3211" t="s">
        <v>3155</v>
      </c>
      <c r="I3" s="3211" t="s">
        <v>3156</v>
      </c>
      <c r="J3" s="3211">
        <v>385000</v>
      </c>
      <c r="K3" s="3211">
        <v>385000</v>
      </c>
      <c r="L3" s="3211">
        <v>14580.09</v>
      </c>
      <c r="M3" s="3211">
        <v>0</v>
      </c>
    </row>
    <row r="4" spans="1:13" s="2960" customFormat="1">
      <c r="A4" s="2960" t="s">
        <v>3157</v>
      </c>
      <c r="B4" s="2960" t="s">
        <v>1944</v>
      </c>
      <c r="C4" s="2960" t="s">
        <v>3150</v>
      </c>
      <c r="D4" s="2960" t="s">
        <v>3151</v>
      </c>
      <c r="E4" s="2960">
        <v>18303.330000000002</v>
      </c>
      <c r="F4" s="2960">
        <v>58571</v>
      </c>
      <c r="G4" s="2960">
        <v>3.2</v>
      </c>
      <c r="H4" s="2960" t="s">
        <v>3158</v>
      </c>
      <c r="I4" s="2960" t="s">
        <v>3159</v>
      </c>
      <c r="J4" s="2960">
        <v>79600</v>
      </c>
      <c r="K4" s="2960">
        <v>129000</v>
      </c>
      <c r="L4" s="2960">
        <v>22024.54</v>
      </c>
      <c r="M4" s="2960">
        <v>62.06</v>
      </c>
    </row>
    <row r="5" spans="1:13" s="3211" customFormat="1">
      <c r="A5" s="3211" t="s">
        <v>3160</v>
      </c>
      <c r="B5" s="3211" t="s">
        <v>1944</v>
      </c>
      <c r="C5" s="3211" t="s">
        <v>3150</v>
      </c>
      <c r="D5" s="3211" t="s">
        <v>3151</v>
      </c>
      <c r="E5" s="3211">
        <v>29183.54</v>
      </c>
      <c r="F5" s="3211">
        <v>72959</v>
      </c>
      <c r="G5" s="3211">
        <v>2.5</v>
      </c>
      <c r="H5" s="3211" t="s">
        <v>3161</v>
      </c>
      <c r="I5" s="3211" t="s">
        <v>3162</v>
      </c>
      <c r="J5" s="3211">
        <v>83000</v>
      </c>
      <c r="K5" s="3211">
        <v>106000</v>
      </c>
      <c r="L5" s="3211">
        <v>14528.7</v>
      </c>
      <c r="M5" s="3211">
        <v>27.71</v>
      </c>
    </row>
    <row r="6" spans="1:13" s="3211" customFormat="1">
      <c r="A6" s="3211" t="s">
        <v>3163</v>
      </c>
      <c r="B6" s="3211" t="s">
        <v>1944</v>
      </c>
      <c r="C6" s="3211" t="s">
        <v>3150</v>
      </c>
      <c r="D6" s="3211" t="s">
        <v>3151</v>
      </c>
      <c r="E6" s="3211">
        <v>23639.39</v>
      </c>
      <c r="F6" s="3211">
        <v>75646</v>
      </c>
      <c r="G6" s="3211">
        <v>3.2</v>
      </c>
      <c r="H6" s="3211" t="s">
        <v>3164</v>
      </c>
      <c r="I6" s="3211" t="s">
        <v>3165</v>
      </c>
      <c r="J6" s="3211">
        <v>102000</v>
      </c>
      <c r="K6" s="3211">
        <v>103020</v>
      </c>
      <c r="L6" s="3211">
        <v>13618.7</v>
      </c>
      <c r="M6" s="3211">
        <v>1</v>
      </c>
    </row>
    <row r="7" spans="1:13" s="2960" customFormat="1">
      <c r="A7" s="2960" t="s">
        <v>3166</v>
      </c>
      <c r="B7" s="2960" t="s">
        <v>1944</v>
      </c>
      <c r="C7" s="2960" t="s">
        <v>3150</v>
      </c>
      <c r="D7" s="2960" t="s">
        <v>3151</v>
      </c>
      <c r="E7" s="2960">
        <v>33619.79</v>
      </c>
      <c r="F7" s="2960">
        <v>134479</v>
      </c>
      <c r="G7" s="2960">
        <v>4</v>
      </c>
      <c r="H7" s="2960" t="s">
        <v>3167</v>
      </c>
      <c r="I7" s="2960" t="s">
        <v>3168</v>
      </c>
      <c r="J7" s="2960">
        <v>153000</v>
      </c>
      <c r="K7" s="2960">
        <v>334000</v>
      </c>
      <c r="L7" s="2960">
        <v>24836.59</v>
      </c>
      <c r="M7" s="2960">
        <v>118.3</v>
      </c>
    </row>
    <row r="8" spans="1:13" s="2960" customFormat="1">
      <c r="A8" s="2960" t="s">
        <v>3169</v>
      </c>
      <c r="B8" s="2960" t="s">
        <v>1944</v>
      </c>
      <c r="C8" s="2960" t="s">
        <v>3150</v>
      </c>
      <c r="D8" s="2960" t="s">
        <v>3151</v>
      </c>
      <c r="E8" s="2960">
        <v>71916.58</v>
      </c>
      <c r="F8" s="2960">
        <v>107875</v>
      </c>
      <c r="G8" s="2960">
        <v>1.5</v>
      </c>
      <c r="H8" s="2960" t="s">
        <v>3170</v>
      </c>
      <c r="I8" s="2960" t="s">
        <v>3171</v>
      </c>
      <c r="J8" s="2960">
        <v>90000</v>
      </c>
      <c r="K8" s="2960">
        <v>181000</v>
      </c>
      <c r="L8" s="2960">
        <v>16778.68</v>
      </c>
      <c r="M8" s="2960">
        <v>101.11</v>
      </c>
    </row>
    <row r="9" spans="1:13" s="2960" customFormat="1">
      <c r="A9" s="2960" t="s">
        <v>3172</v>
      </c>
      <c r="B9" s="2960" t="s">
        <v>1944</v>
      </c>
      <c r="C9" s="2960" t="s">
        <v>3150</v>
      </c>
      <c r="D9" s="2960" t="s">
        <v>3151</v>
      </c>
      <c r="E9" s="2960">
        <v>47919.26</v>
      </c>
      <c r="F9" s="2960">
        <v>143758</v>
      </c>
      <c r="G9" s="2960">
        <v>3</v>
      </c>
      <c r="H9" s="2960" t="s">
        <v>3173</v>
      </c>
      <c r="I9" s="2960" t="s">
        <v>3171</v>
      </c>
      <c r="J9" s="2960">
        <v>120000</v>
      </c>
      <c r="K9" s="2960">
        <v>130000</v>
      </c>
      <c r="L9" s="2960">
        <v>9042.9599999999991</v>
      </c>
      <c r="M9" s="2960">
        <v>8.33</v>
      </c>
    </row>
    <row r="10" spans="1:13" s="2960" customFormat="1">
      <c r="A10" s="2960" t="s">
        <v>3174</v>
      </c>
      <c r="B10" s="2960" t="s">
        <v>1944</v>
      </c>
      <c r="C10" s="2960" t="s">
        <v>3150</v>
      </c>
      <c r="D10" s="2960" t="s">
        <v>3151</v>
      </c>
      <c r="E10" s="2960">
        <v>61900.3</v>
      </c>
      <c r="F10" s="2960">
        <v>111421</v>
      </c>
      <c r="G10" s="2960">
        <v>1.8</v>
      </c>
      <c r="H10" s="2960" t="s">
        <v>3175</v>
      </c>
      <c r="I10" s="2960" t="s">
        <v>3171</v>
      </c>
      <c r="J10" s="2960">
        <v>89500</v>
      </c>
      <c r="K10" s="2960">
        <v>197000</v>
      </c>
      <c r="L10" s="2960">
        <v>17680.68</v>
      </c>
      <c r="M10" s="2960">
        <v>120.11</v>
      </c>
    </row>
    <row r="11" spans="1:13" s="2960" customFormat="1">
      <c r="A11" s="2960" t="s">
        <v>3176</v>
      </c>
      <c r="B11" s="2960" t="s">
        <v>1944</v>
      </c>
      <c r="C11" s="2960" t="s">
        <v>3150</v>
      </c>
      <c r="D11" s="2960" t="s">
        <v>3151</v>
      </c>
      <c r="E11" s="2960">
        <v>66594.820000000007</v>
      </c>
      <c r="F11" s="2960">
        <v>119871</v>
      </c>
      <c r="G11" s="2960">
        <v>1.8</v>
      </c>
      <c r="H11" s="2960" t="s">
        <v>3175</v>
      </c>
      <c r="I11" s="2960" t="s">
        <v>3171</v>
      </c>
      <c r="J11" s="2960">
        <v>96000</v>
      </c>
      <c r="K11" s="2960">
        <v>196000</v>
      </c>
      <c r="L11" s="2960">
        <v>16350.9</v>
      </c>
      <c r="M11" s="2960">
        <v>104.17</v>
      </c>
    </row>
    <row r="12" spans="1:13" s="2960" customFormat="1" hidden="1">
      <c r="A12" s="2960" t="s">
        <v>3177</v>
      </c>
      <c r="B12" s="2960" t="s">
        <v>1944</v>
      </c>
      <c r="C12" s="2960" t="s">
        <v>3150</v>
      </c>
      <c r="D12" s="2960" t="s">
        <v>3151</v>
      </c>
      <c r="E12" s="2960">
        <v>24464</v>
      </c>
      <c r="F12" s="2960">
        <v>48928</v>
      </c>
      <c r="G12" s="2960">
        <v>2</v>
      </c>
      <c r="H12" s="2960" t="s">
        <v>3178</v>
      </c>
      <c r="I12" s="2960" t="s">
        <v>3179</v>
      </c>
      <c r="J12" s="2960">
        <v>28200</v>
      </c>
      <c r="K12" s="2960">
        <v>46800</v>
      </c>
      <c r="L12" s="2960">
        <v>9565.07</v>
      </c>
      <c r="M12" s="2960">
        <v>65.959999999999994</v>
      </c>
    </row>
    <row r="13" spans="1:13" s="2960" customFormat="1" hidden="1">
      <c r="A13" s="2960" t="s">
        <v>3180</v>
      </c>
      <c r="B13" s="2960" t="s">
        <v>1944</v>
      </c>
      <c r="C13" s="2960" t="s">
        <v>3150</v>
      </c>
      <c r="D13" s="2960" t="s">
        <v>3151</v>
      </c>
      <c r="E13" s="2960">
        <v>38024.39</v>
      </c>
      <c r="F13" s="2960">
        <v>106468</v>
      </c>
      <c r="G13" s="2960">
        <v>2.8</v>
      </c>
      <c r="H13" s="2960" t="s">
        <v>3181</v>
      </c>
      <c r="I13" s="2960" t="s">
        <v>3182</v>
      </c>
      <c r="J13" s="2960">
        <v>87000</v>
      </c>
      <c r="K13" s="2960">
        <v>97000</v>
      </c>
      <c r="L13" s="2960">
        <v>9110.7099999999991</v>
      </c>
      <c r="M13" s="2960">
        <v>11.49</v>
      </c>
    </row>
    <row r="14" spans="1:13" s="2960" customFormat="1" hidden="1">
      <c r="A14" s="2960" t="s">
        <v>3183</v>
      </c>
      <c r="B14" s="2960" t="s">
        <v>1944</v>
      </c>
      <c r="C14" s="2960" t="s">
        <v>3150</v>
      </c>
      <c r="D14" s="2960" t="s">
        <v>3151</v>
      </c>
      <c r="E14" s="2960">
        <v>13920.77</v>
      </c>
      <c r="F14" s="2960">
        <v>16705</v>
      </c>
      <c r="G14" s="2960">
        <v>1.2</v>
      </c>
      <c r="H14" s="2960" t="s">
        <v>3184</v>
      </c>
      <c r="I14" s="2960" t="s">
        <v>3185</v>
      </c>
      <c r="J14" s="2960">
        <v>10500</v>
      </c>
      <c r="K14" s="2960">
        <v>12200</v>
      </c>
      <c r="L14" s="2960">
        <v>7303.19</v>
      </c>
      <c r="M14" s="2960">
        <v>16.190000000000001</v>
      </c>
    </row>
    <row r="15" spans="1:13" s="2960" customFormat="1" hidden="1">
      <c r="A15" s="2960" t="s">
        <v>3186</v>
      </c>
      <c r="B15" s="2960" t="s">
        <v>1944</v>
      </c>
      <c r="C15" s="2960" t="s">
        <v>3150</v>
      </c>
      <c r="D15" s="2960" t="s">
        <v>3151</v>
      </c>
      <c r="E15" s="2960">
        <v>6189.23</v>
      </c>
      <c r="F15" s="2960">
        <v>6189</v>
      </c>
      <c r="G15" s="2960">
        <v>1</v>
      </c>
      <c r="H15" s="2960" t="s">
        <v>3187</v>
      </c>
      <c r="I15" s="2960" t="s">
        <v>3188</v>
      </c>
      <c r="J15" s="2960">
        <v>7500</v>
      </c>
      <c r="K15" s="2960">
        <v>12900</v>
      </c>
      <c r="L15" s="2960">
        <v>20843.43</v>
      </c>
      <c r="M15" s="2960">
        <v>72</v>
      </c>
    </row>
    <row r="16" spans="1:13" s="2960" customFormat="1" hidden="1">
      <c r="A16" s="2960" t="s">
        <v>3189</v>
      </c>
      <c r="B16" s="2960" t="s">
        <v>1944</v>
      </c>
      <c r="C16" s="2960" t="s">
        <v>3150</v>
      </c>
      <c r="D16" s="2960" t="s">
        <v>3151</v>
      </c>
      <c r="E16" s="2960">
        <v>40417.42</v>
      </c>
      <c r="F16" s="2960">
        <v>121252</v>
      </c>
      <c r="G16" s="2960">
        <v>3</v>
      </c>
      <c r="H16" s="2960" t="s">
        <v>3190</v>
      </c>
      <c r="I16" s="2960" t="s">
        <v>3191</v>
      </c>
      <c r="J16" s="2960">
        <v>103000</v>
      </c>
      <c r="K16" s="2960">
        <v>191000</v>
      </c>
      <c r="L16" s="2960">
        <v>15752.31</v>
      </c>
      <c r="M16" s="2960">
        <v>85.44</v>
      </c>
    </row>
  </sheetData>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M1" zoomScale="80" zoomScaleNormal="80" workbookViewId="0">
      <selection activeCell="AF3" sqref="AF3:AF2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510" t="s">
        <v>2576</v>
      </c>
      <c r="C1" s="3510"/>
      <c r="D1" s="3510"/>
      <c r="E1" s="3510"/>
      <c r="F1" s="3510"/>
      <c r="G1" s="3509" t="s">
        <v>2577</v>
      </c>
      <c r="H1" s="3509"/>
      <c r="I1" s="3509"/>
      <c r="J1" s="3509"/>
      <c r="K1" s="3509"/>
      <c r="L1" s="3509"/>
      <c r="N1" s="3509" t="s">
        <v>2578</v>
      </c>
      <c r="O1" s="3509"/>
      <c r="P1" s="3509"/>
      <c r="Q1" s="3509"/>
      <c r="R1" s="2675"/>
      <c r="S1" s="3509" t="s">
        <v>2579</v>
      </c>
      <c r="T1" s="3509"/>
      <c r="U1" s="3509"/>
      <c r="V1" s="3509"/>
      <c r="X1" s="3508" t="s">
        <v>2639</v>
      </c>
      <c r="Y1" s="3509"/>
      <c r="Z1" s="3509"/>
      <c r="AA1" s="3509"/>
      <c r="AB1" s="3509"/>
      <c r="AD1" s="3508" t="s">
        <v>2643</v>
      </c>
      <c r="AE1" s="3509"/>
      <c r="AF1" s="3509"/>
      <c r="AG1" s="3509"/>
      <c r="AH1" s="3509"/>
    </row>
    <row r="2" spans="1:34" s="2777" customFormat="1" ht="15" thickBot="1">
      <c r="B2" s="2785" t="s">
        <v>2580</v>
      </c>
      <c r="C2" s="2785" t="s">
        <v>2641</v>
      </c>
      <c r="D2" s="2778" t="s">
        <v>1641</v>
      </c>
      <c r="E2" s="2778" t="s">
        <v>1948</v>
      </c>
      <c r="F2" s="2785" t="s">
        <v>2642</v>
      </c>
      <c r="G2" s="2781"/>
      <c r="H2" s="2780"/>
      <c r="I2" s="2785" t="s">
        <v>2949</v>
      </c>
      <c r="J2" s="2778" t="s">
        <v>2951</v>
      </c>
      <c r="K2" s="2778" t="s">
        <v>2952</v>
      </c>
      <c r="L2" s="2785" t="s">
        <v>2953</v>
      </c>
      <c r="N2" s="2785" t="s">
        <v>2580</v>
      </c>
      <c r="O2" s="2778" t="s">
        <v>2950</v>
      </c>
      <c r="P2" s="2778" t="s">
        <v>1948</v>
      </c>
      <c r="Q2" s="2785" t="s">
        <v>2642</v>
      </c>
      <c r="R2" s="2779"/>
      <c r="S2" s="2785" t="s">
        <v>2580</v>
      </c>
      <c r="T2" s="2778" t="s">
        <v>2950</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3" customFormat="1" ht="14.4">
      <c r="A3" s="3165" t="s">
        <v>2962</v>
      </c>
      <c r="B3" s="3154"/>
      <c r="C3" s="3154"/>
      <c r="D3" s="3155"/>
      <c r="E3" s="3155"/>
      <c r="F3" s="3154"/>
      <c r="G3" s="3156"/>
      <c r="H3" s="3157"/>
      <c r="I3" s="3164">
        <f>ROUND(AVERAGE($I7:$I22),2)</f>
        <v>2.4500000000000002</v>
      </c>
      <c r="J3" s="3164">
        <f>ROUND(AVERAGE($J7:$J22),2)</f>
        <v>1.65</v>
      </c>
      <c r="K3" s="3164">
        <f>ROUND(AVERAGE($K7:$K22),2)</f>
        <v>2.71</v>
      </c>
      <c r="L3" s="3164">
        <f>ROUND(AVERAGE($L7:$L22),2)</f>
        <v>1.39</v>
      </c>
      <c r="N3" s="3156"/>
      <c r="O3" s="3158"/>
      <c r="P3" s="3158"/>
      <c r="Q3" s="3158"/>
      <c r="R3" s="3158"/>
      <c r="S3" s="3156"/>
      <c r="T3" s="3158"/>
      <c r="U3" s="3158"/>
      <c r="V3" s="3158"/>
      <c r="W3" s="3161"/>
      <c r="X3" s="3159">
        <f>ROUND(SUMPRODUCT(PRODUCT(1+N3:N$21)),4)</f>
        <v>1.4517</v>
      </c>
      <c r="Y3" s="3159">
        <f>ROUND(SUMPRODUCT(PRODUCT(1+O3:O$21)),4)</f>
        <v>1.2928999999999999</v>
      </c>
      <c r="Z3" s="3159">
        <f t="shared" ref="Z3:Z19" si="0">Y3</f>
        <v>1.2928999999999999</v>
      </c>
      <c r="AA3" s="3159">
        <f>ROUND(SUMPRODUCT(PRODUCT(1+P3:P$21)),4)</f>
        <v>1.5068999999999999</v>
      </c>
      <c r="AB3" s="3159">
        <f>ROUND(SUMPRODUCT(PRODUCT(1+Q3:Q$21)),4)</f>
        <v>1.2557</v>
      </c>
      <c r="AD3" s="3160">
        <f>ROUND(AVERAGE(I3:I$22)/100,4)</f>
        <v>2.2800000000000001E-2</v>
      </c>
      <c r="AE3" s="3160">
        <f>ROUND(AVERAGE(J3:J$22)/100,4)</f>
        <v>1.5699999999999999E-2</v>
      </c>
      <c r="AF3" s="3160">
        <f t="shared" ref="AF3:AF20" si="1">AE3</f>
        <v>1.5699999999999999E-2</v>
      </c>
      <c r="AG3" s="3160">
        <f>ROUND(AVERAGE(K3:K$22)/100,4)</f>
        <v>2.5100000000000001E-2</v>
      </c>
      <c r="AH3" s="3160">
        <f>ROUND(AVERAGE(L3:L$22)/100,4)</f>
        <v>1.35E-2</v>
      </c>
    </row>
    <row r="4" spans="1:34" s="2770" customFormat="1" ht="14.4">
      <c r="B4" s="2771"/>
      <c r="C4" s="2771"/>
      <c r="D4" s="2772"/>
      <c r="E4" s="2772"/>
      <c r="F4" s="2771"/>
      <c r="G4" s="2776"/>
      <c r="H4" s="2773"/>
      <c r="I4" s="3146"/>
      <c r="J4" s="3146"/>
      <c r="K4" s="3146"/>
      <c r="L4" s="3146"/>
      <c r="N4" s="2776"/>
      <c r="O4" s="2774"/>
      <c r="P4" s="2774"/>
      <c r="Q4" s="2774"/>
      <c r="R4" s="2774"/>
      <c r="S4" s="2776"/>
      <c r="T4" s="2774"/>
      <c r="U4" s="2774"/>
      <c r="V4" s="2774"/>
      <c r="W4" s="3162"/>
      <c r="X4" s="2775"/>
      <c r="Y4" s="2775"/>
      <c r="Z4" s="2775"/>
      <c r="AA4" s="2775"/>
      <c r="AB4" s="2775"/>
      <c r="AD4" s="2695"/>
      <c r="AE4" s="2695"/>
      <c r="AF4" s="2695"/>
      <c r="AG4" s="2695"/>
      <c r="AH4" s="2695"/>
    </row>
    <row r="5" spans="1:34" s="3132" customFormat="1">
      <c r="A5" s="3130" t="s">
        <v>2969</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1">
        <v>2</v>
      </c>
      <c r="I5" s="3147">
        <v>0</v>
      </c>
      <c r="J5" s="3147">
        <v>0</v>
      </c>
      <c r="K5" s="3147">
        <v>0</v>
      </c>
      <c r="L5" s="3147">
        <v>0</v>
      </c>
      <c r="N5" s="2783">
        <f t="shared" ref="N5" si="6">I5/100</f>
        <v>0</v>
      </c>
      <c r="O5" s="2783">
        <f t="shared" ref="O5" si="7">J5/100</f>
        <v>0</v>
      </c>
      <c r="P5" s="2783">
        <f t="shared" ref="P5" si="8">K5/100</f>
        <v>0</v>
      </c>
      <c r="Q5" s="2783">
        <f t="shared" ref="Q5" si="9">L5/100</f>
        <v>0</v>
      </c>
      <c r="R5" s="3133"/>
      <c r="S5" s="3134"/>
      <c r="T5" s="3133"/>
      <c r="U5" s="3133"/>
      <c r="V5" s="3133"/>
      <c r="W5" s="3163" t="s">
        <v>2963</v>
      </c>
      <c r="X5" s="3135">
        <f>ROUND(SUMPRODUCT(PRODUCT(1+N5:N$21)),4)</f>
        <v>1.4517</v>
      </c>
      <c r="Y5" s="3135">
        <f>ROUND(SUMPRODUCT(PRODUCT(1+O5:O$21)),4)</f>
        <v>1.2928999999999999</v>
      </c>
      <c r="Z5" s="3135">
        <f t="shared" ref="Z5" si="10">Y5</f>
        <v>1.2928999999999999</v>
      </c>
      <c r="AA5" s="3135">
        <f>ROUND(SUMPRODUCT(PRODUCT(1+P5:P$21)),4)</f>
        <v>1.5068999999999999</v>
      </c>
      <c r="AB5" s="3135">
        <f>ROUND(SUMPRODUCT(PRODUCT(1+Q5:Q$21)),4)</f>
        <v>1.2557</v>
      </c>
      <c r="AD5" s="3136">
        <f>ROUND(AVERAGE(I5:I$22)/100,4)</f>
        <v>2.2700000000000001E-2</v>
      </c>
      <c r="AE5" s="3136">
        <f>ROUND(AVERAGE(J5:J$22)/100,4)</f>
        <v>1.5699999999999999E-2</v>
      </c>
      <c r="AF5" s="3136">
        <f t="shared" ref="AF5" si="11">AE5</f>
        <v>1.5699999999999999E-2</v>
      </c>
      <c r="AG5" s="3136">
        <f>ROUND(AVERAGE(K5:K$22)/100,4)</f>
        <v>2.5000000000000001E-2</v>
      </c>
      <c r="AH5" s="3136">
        <f>ROUND(AVERAGE(L5:L$22)/100,4)</f>
        <v>1.35E-2</v>
      </c>
    </row>
    <row r="6" spans="1:34" s="2782" customFormat="1" ht="13.8" thickBot="1">
      <c r="A6" s="2676" t="s">
        <v>2970</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2">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2960</v>
      </c>
      <c r="B7" s="3167">
        <v>439</v>
      </c>
      <c r="C7" s="3167">
        <v>327</v>
      </c>
      <c r="D7" s="3167">
        <f t="shared" si="13"/>
        <v>327</v>
      </c>
      <c r="E7" s="3167">
        <v>627</v>
      </c>
      <c r="F7" s="3168">
        <v>283</v>
      </c>
      <c r="G7" s="3150">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2964</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2"/>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1"/>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2"/>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17">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12"/>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12"/>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13"/>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964</v>
      </c>
      <c r="B15" s="2682">
        <v>333</v>
      </c>
      <c r="C15" s="2682">
        <v>277</v>
      </c>
      <c r="D15" s="2682">
        <f t="shared" si="35"/>
        <v>277</v>
      </c>
      <c r="E15" s="2682">
        <v>459</v>
      </c>
      <c r="F15" s="2683">
        <v>249</v>
      </c>
      <c r="G15" s="3511">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12"/>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12"/>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13"/>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960</v>
      </c>
      <c r="B19" s="2704">
        <v>318</v>
      </c>
      <c r="C19" s="2704">
        <v>268</v>
      </c>
      <c r="D19" s="2704">
        <f t="shared" si="35"/>
        <v>268</v>
      </c>
      <c r="E19" s="2704">
        <v>437</v>
      </c>
      <c r="F19" s="2705">
        <v>237</v>
      </c>
      <c r="G19" s="3511">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12"/>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12"/>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13"/>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2583</v>
      </c>
      <c r="B23" s="2682">
        <v>299</v>
      </c>
      <c r="C23" s="2682">
        <v>252</v>
      </c>
      <c r="D23" s="2682">
        <f t="shared" si="35"/>
        <v>252</v>
      </c>
      <c r="E23" s="2682">
        <v>409</v>
      </c>
      <c r="F23" s="2683">
        <v>227</v>
      </c>
      <c r="G23" s="3514">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15"/>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15"/>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16"/>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2587</v>
      </c>
      <c r="B27" s="2720">
        <v>278</v>
      </c>
      <c r="C27" s="2720">
        <v>234</v>
      </c>
      <c r="D27" s="2720">
        <f t="shared" si="35"/>
        <v>234</v>
      </c>
      <c r="E27" s="2720">
        <v>379</v>
      </c>
      <c r="F27" s="2721">
        <v>220</v>
      </c>
      <c r="G27" s="3511">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512"/>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512"/>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2590</v>
      </c>
      <c r="B30" s="2690">
        <f>B29/(1+N29)</f>
        <v>275.19025476197027</v>
      </c>
      <c r="C30" s="2722">
        <v>232</v>
      </c>
      <c r="D30" s="2722">
        <f t="shared" si="35"/>
        <v>232</v>
      </c>
      <c r="E30" s="2690">
        <f t="shared" si="46"/>
        <v>375.65990977608692</v>
      </c>
      <c r="F30" s="2690">
        <f t="shared" si="46"/>
        <v>214.12518283971252</v>
      </c>
      <c r="G30" s="3513"/>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2591</v>
      </c>
      <c r="B31" s="2682">
        <v>275</v>
      </c>
      <c r="C31" s="2682">
        <v>232</v>
      </c>
      <c r="D31" s="2682">
        <f t="shared" si="35"/>
        <v>232</v>
      </c>
      <c r="E31" s="2682">
        <v>376</v>
      </c>
      <c r="F31" s="2683">
        <v>213</v>
      </c>
      <c r="G31" s="3511">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12">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512">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13">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2595</v>
      </c>
      <c r="B35" s="2682">
        <v>269</v>
      </c>
      <c r="C35" s="2682">
        <v>221</v>
      </c>
      <c r="D35" s="2682">
        <f t="shared" si="35"/>
        <v>221</v>
      </c>
      <c r="E35" s="2682">
        <v>373</v>
      </c>
      <c r="F35" s="2683">
        <v>196</v>
      </c>
      <c r="G35" s="3511">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12">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512">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13">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2599</v>
      </c>
      <c r="B39" s="2682">
        <v>220</v>
      </c>
      <c r="C39" s="2682">
        <v>187</v>
      </c>
      <c r="D39" s="2682">
        <f t="shared" si="35"/>
        <v>187</v>
      </c>
      <c r="E39" s="2682">
        <v>301</v>
      </c>
      <c r="F39" s="2683">
        <v>168</v>
      </c>
      <c r="G39" s="3511">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12">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512">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13">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2603</v>
      </c>
      <c r="B43" s="2720">
        <v>214</v>
      </c>
      <c r="C43" s="2720">
        <v>188</v>
      </c>
      <c r="D43" s="2720">
        <f t="shared" si="35"/>
        <v>188</v>
      </c>
      <c r="E43" s="2720">
        <v>289</v>
      </c>
      <c r="F43" s="2721">
        <v>166</v>
      </c>
      <c r="G43" s="3511">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12">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512">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13">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2607</v>
      </c>
      <c r="B47" s="2682">
        <v>188</v>
      </c>
      <c r="C47" s="2682">
        <v>165</v>
      </c>
      <c r="D47" s="2682">
        <f t="shared" si="35"/>
        <v>165</v>
      </c>
      <c r="E47" s="2682">
        <v>254</v>
      </c>
      <c r="F47" s="2683">
        <v>148</v>
      </c>
      <c r="G47" s="3511">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12">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512">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13">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2611</v>
      </c>
      <c r="B51" s="2704">
        <v>159</v>
      </c>
      <c r="C51" s="2704">
        <v>141</v>
      </c>
      <c r="D51" s="2704">
        <f t="shared" si="35"/>
        <v>141</v>
      </c>
      <c r="E51" s="2704">
        <v>195</v>
      </c>
      <c r="F51" s="2705">
        <v>122</v>
      </c>
      <c r="G51" s="3511">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12">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512">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13">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2615</v>
      </c>
      <c r="B55" s="2704">
        <v>138</v>
      </c>
      <c r="C55" s="2704">
        <v>131</v>
      </c>
      <c r="D55" s="2704">
        <f t="shared" si="35"/>
        <v>131</v>
      </c>
      <c r="E55" s="2704">
        <v>155</v>
      </c>
      <c r="F55" s="2705">
        <v>114</v>
      </c>
      <c r="G55" s="3511">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12">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512">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13">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2619</v>
      </c>
      <c r="B59" s="2720">
        <v>121</v>
      </c>
      <c r="C59" s="2720">
        <v>122</v>
      </c>
      <c r="D59" s="2720">
        <f t="shared" si="35"/>
        <v>122</v>
      </c>
      <c r="E59" s="2720">
        <v>124</v>
      </c>
      <c r="F59" s="2721">
        <v>107</v>
      </c>
      <c r="G59" s="3511">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12">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512">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13">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2623</v>
      </c>
      <c r="B63" s="2741">
        <v>111</v>
      </c>
      <c r="C63" s="2741">
        <v>114</v>
      </c>
      <c r="D63" s="2741">
        <f t="shared" si="35"/>
        <v>114</v>
      </c>
      <c r="E63" s="2741">
        <v>108</v>
      </c>
      <c r="F63" s="2742">
        <v>104</v>
      </c>
      <c r="G63" s="3511">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512">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512">
        <v>2003</v>
      </c>
      <c r="H65" s="2681">
        <v>2</v>
      </c>
      <c r="I65" s="2743"/>
      <c r="J65" s="2743"/>
      <c r="K65" s="2743"/>
      <c r="L65" s="2743"/>
      <c r="X65" s="2735"/>
      <c r="Y65" s="2735"/>
      <c r="Z65" s="2735"/>
    </row>
    <row r="66" spans="1:26" ht="13.8" thickBot="1">
      <c r="A66" s="2676" t="s">
        <v>2626</v>
      </c>
      <c r="B66" s="2745">
        <f t="shared" si="71"/>
        <v>107.25</v>
      </c>
      <c r="C66" s="2745">
        <f t="shared" si="71"/>
        <v>108.75</v>
      </c>
      <c r="D66" s="2745">
        <f t="shared" si="35"/>
        <v>108.75</v>
      </c>
      <c r="E66" s="2745">
        <f t="shared" si="72"/>
        <v>105.75</v>
      </c>
      <c r="F66" s="2745">
        <f t="shared" si="72"/>
        <v>102.5</v>
      </c>
      <c r="G66" s="3513">
        <v>2003</v>
      </c>
      <c r="H66" s="2746">
        <v>1</v>
      </c>
      <c r="I66" s="2743"/>
      <c r="J66" s="2743"/>
      <c r="K66" s="2743"/>
      <c r="L66" s="2743"/>
      <c r="S66" s="2685"/>
      <c r="T66" s="2686"/>
      <c r="U66" s="2686"/>
      <c r="X66" s="2735"/>
      <c r="Y66" s="2735"/>
      <c r="Z66" s="2735"/>
    </row>
    <row r="67" spans="1:26" ht="13.8" thickBot="1">
      <c r="A67" s="2676" t="s">
        <v>2627</v>
      </c>
      <c r="B67" s="2747">
        <v>106</v>
      </c>
      <c r="C67" s="2747">
        <v>107</v>
      </c>
      <c r="D67" s="2747">
        <f t="shared" si="35"/>
        <v>107</v>
      </c>
      <c r="E67" s="2747">
        <v>105</v>
      </c>
      <c r="F67" s="2748">
        <v>102</v>
      </c>
      <c r="G67" s="3511">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512">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512">
        <v>2002</v>
      </c>
      <c r="H69" s="2681">
        <v>2</v>
      </c>
      <c r="I69" s="2743"/>
      <c r="J69" s="2743"/>
      <c r="K69" s="2743"/>
      <c r="L69" s="2743"/>
      <c r="X69" s="2735"/>
      <c r="Y69" s="2735"/>
      <c r="Z69" s="2735"/>
    </row>
    <row r="70" spans="1:26" s="2712" customFormat="1" ht="13.8" thickBot="1">
      <c r="A70" s="2708" t="s">
        <v>2630</v>
      </c>
      <c r="B70" s="2749">
        <f t="shared" si="73"/>
        <v>103</v>
      </c>
      <c r="C70" s="2749">
        <f t="shared" si="73"/>
        <v>104</v>
      </c>
      <c r="D70" s="2749">
        <f t="shared" si="35"/>
        <v>104</v>
      </c>
      <c r="E70" s="2749">
        <f t="shared" si="74"/>
        <v>103.5</v>
      </c>
      <c r="F70" s="2749">
        <f t="shared" si="74"/>
        <v>100.5</v>
      </c>
      <c r="G70" s="3513">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8"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2" t="s">
        <v>2037</v>
      </c>
      <c r="B1" s="3222"/>
      <c r="C1" s="3222"/>
      <c r="D1" s="3222"/>
      <c r="E1" s="3222"/>
      <c r="F1" s="3222"/>
      <c r="G1" s="3222"/>
      <c r="H1" s="3222"/>
      <c r="I1" s="3222"/>
      <c r="J1" s="3222"/>
      <c r="K1" s="3222"/>
      <c r="L1" s="3222"/>
      <c r="M1" s="3222"/>
      <c r="N1" s="3222"/>
      <c r="O1" s="3222"/>
      <c r="P1" s="3222"/>
      <c r="Q1" s="3222"/>
      <c r="R1" s="3222"/>
    </row>
    <row r="2" spans="1:18">
      <c r="A2" s="1804" t="s">
        <v>2039</v>
      </c>
      <c r="B2" s="1804"/>
      <c r="C2" s="1804"/>
      <c r="D2" s="1804"/>
      <c r="E2" s="1804"/>
      <c r="F2" s="1804"/>
      <c r="G2" s="1804"/>
      <c r="H2" s="1804"/>
      <c r="I2" s="1805"/>
      <c r="J2" s="1805"/>
      <c r="K2" s="1806" t="str">
        <f>"估价期日："&amp;TEXT(项目基本情况!D3,"yyyy年m月d日;;")</f>
        <v>估价期日：2018年8月28日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3" t="s">
        <v>2028</v>
      </c>
      <c r="B3" s="3223" t="s">
        <v>2731</v>
      </c>
      <c r="C3" s="3224" t="s">
        <v>2029</v>
      </c>
      <c r="D3" s="3223" t="s">
        <v>2735</v>
      </c>
      <c r="E3" s="3226" t="s">
        <v>2030</v>
      </c>
      <c r="F3" s="3226"/>
      <c r="G3" s="3226"/>
      <c r="H3" s="3226" t="s">
        <v>2031</v>
      </c>
      <c r="I3" s="3226"/>
      <c r="J3" s="3226"/>
      <c r="K3" s="3224" t="s">
        <v>2032</v>
      </c>
      <c r="L3" s="3224" t="s">
        <v>2033</v>
      </c>
      <c r="M3" s="3223" t="s">
        <v>2732</v>
      </c>
      <c r="N3" s="3225" t="str">
        <f>"（分摊）"&amp;项目基本情况!B16&amp;"国有建设用地使用权面积/㎡"</f>
        <v>（分摊）出让国有建设用地使用权面积/㎡</v>
      </c>
      <c r="O3" s="3223" t="s">
        <v>2062</v>
      </c>
      <c r="P3" s="3224" t="s">
        <v>2042</v>
      </c>
      <c r="Q3" s="3224" t="s">
        <v>2063</v>
      </c>
      <c r="R3" s="3224" t="s">
        <v>2034</v>
      </c>
    </row>
    <row r="4" spans="1:18" ht="36.75" customHeight="1">
      <c r="A4" s="3223"/>
      <c r="B4" s="3223"/>
      <c r="C4" s="3224"/>
      <c r="D4" s="3223"/>
      <c r="E4" s="2670" t="s">
        <v>2041</v>
      </c>
      <c r="F4" s="2670" t="s">
        <v>2744</v>
      </c>
      <c r="G4" s="2670" t="s">
        <v>2035</v>
      </c>
      <c r="H4" s="2670" t="s">
        <v>2036</v>
      </c>
      <c r="I4" s="2670" t="s">
        <v>2745</v>
      </c>
      <c r="J4" s="2670" t="s">
        <v>2035</v>
      </c>
      <c r="K4" s="3224"/>
      <c r="L4" s="3224"/>
      <c r="M4" s="3223"/>
      <c r="N4" s="3225"/>
      <c r="O4" s="3223"/>
      <c r="P4" s="3224"/>
      <c r="Q4" s="3224"/>
      <c r="R4" s="3224"/>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2990</v>
      </c>
      <c r="O5" s="1807">
        <f>项目基本情况!C21</f>
        <v>8970</v>
      </c>
      <c r="P5" s="1807">
        <f ca="1">结果表!E42</f>
        <v>35077</v>
      </c>
      <c r="Q5" s="1807">
        <f ca="1">结果表!D42</f>
        <v>11692</v>
      </c>
      <c r="R5" s="1808">
        <f ca="1">结果表!C42</f>
        <v>10488</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09">
        <f ca="1">结果表!O39</f>
        <v>5933</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09"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30" t="s">
        <v>2064</v>
      </c>
      <c r="B1" s="3230"/>
      <c r="C1" s="3230"/>
      <c r="D1" s="3230"/>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2065</v>
      </c>
      <c r="B5" s="3233"/>
      <c r="C5" s="3233"/>
      <c r="D5" s="3233"/>
    </row>
    <row r="6" spans="1:4">
      <c r="A6" s="3230" t="s">
        <v>2043</v>
      </c>
      <c r="B6" s="3230"/>
      <c r="C6" s="3230"/>
      <c r="D6" s="3230"/>
    </row>
    <row r="7" spans="1:4" ht="33" customHeight="1">
      <c r="A7" s="3230" t="s">
        <v>2575</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v>
      </c>
      <c r="B11" s="3232"/>
      <c r="C11" s="3232"/>
      <c r="D11" s="3232"/>
    </row>
    <row r="12" spans="1:4" ht="168" customHeight="1">
      <c r="A12" s="3233" t="s">
        <v>2067</v>
      </c>
      <c r="B12" s="3233"/>
      <c r="C12" s="3233"/>
      <c r="D12" s="3233"/>
    </row>
    <row r="13" spans="1:4">
      <c r="A13" s="3231" t="s">
        <v>2746</v>
      </c>
      <c r="B13" s="3231"/>
      <c r="C13" s="3231"/>
      <c r="D13" s="3231"/>
    </row>
    <row r="14" spans="1:4">
      <c r="A14" s="3232" t="str">
        <f ca="1">IF(项目基本情况!B8="抵押","综上，"&amp;结果表!K47,"——")</f>
        <v>综上，本次评估估价师知悉的法定优先受偿款为人民币4555万元整。</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2702</v>
      </c>
      <c r="B17" s="3230"/>
      <c r="C17" s="3230"/>
      <c r="D17" s="3230"/>
    </row>
    <row r="18" spans="1:4">
      <c r="A18" s="3230" t="s">
        <v>2694</v>
      </c>
      <c r="B18" s="3230"/>
      <c r="C18" s="3230"/>
      <c r="D18" s="3230"/>
    </row>
    <row r="19" spans="1:4">
      <c r="A19" s="2889" t="s">
        <v>2695</v>
      </c>
      <c r="B19" s="2889" t="s">
        <v>2696</v>
      </c>
      <c r="C19" s="2889" t="s">
        <v>2697</v>
      </c>
      <c r="D19" s="2889" t="s">
        <v>2698</v>
      </c>
    </row>
    <row r="20" spans="1:4">
      <c r="A20" s="2889" t="str">
        <f>项目基本情况!B4</f>
        <v>土地估价师</v>
      </c>
      <c r="B20" s="2889">
        <f>项目基本情况!C4</f>
        <v>0</v>
      </c>
      <c r="C20" s="2891"/>
      <c r="D20" s="1797" t="s">
        <v>2703</v>
      </c>
    </row>
    <row r="21" spans="1:4">
      <c r="A21" s="2889" t="str">
        <f>项目基本情况!D4</f>
        <v>土地估价师</v>
      </c>
      <c r="B21" s="2889">
        <f>项目基本情况!E4</f>
        <v>0</v>
      </c>
      <c r="C21" s="2891"/>
      <c r="D21" s="1797" t="s">
        <v>2704</v>
      </c>
    </row>
    <row r="23" spans="1:4">
      <c r="A23" s="3230" t="s">
        <v>2699</v>
      </c>
      <c r="B23" s="3230"/>
      <c r="C23" s="3230"/>
      <c r="D23" s="3230"/>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4">
      <c r="A15" s="3242" t="s">
        <v>53</v>
      </c>
      <c r="B15" s="3243" t="s">
        <v>842</v>
      </c>
      <c r="C15" s="3239"/>
    </row>
    <row r="16" spans="1:7" ht="14.4">
      <c r="A16" s="3242"/>
      <c r="B16" s="3240" t="s">
        <v>54</v>
      </c>
      <c r="C16" s="1171" t="s">
        <v>53</v>
      </c>
    </row>
    <row r="17" spans="1:3" ht="14.4">
      <c r="A17" s="3242"/>
      <c r="B17" s="3240"/>
      <c r="C17" s="1171" t="s">
        <v>55</v>
      </c>
    </row>
    <row r="18" spans="1:3" ht="14.4">
      <c r="A18" s="3242"/>
      <c r="B18" s="3240"/>
      <c r="C18" s="1171" t="s">
        <v>56</v>
      </c>
    </row>
    <row r="19" spans="1:3" ht="14.4">
      <c r="A19" s="3242"/>
      <c r="B19" s="3238" t="s">
        <v>57</v>
      </c>
      <c r="C19" s="3239"/>
    </row>
    <row r="20" spans="1:3" ht="14.4">
      <c r="A20" s="1172" t="s">
        <v>58</v>
      </c>
      <c r="B20" s="1173"/>
      <c r="C20" s="1174"/>
    </row>
    <row r="21" spans="1:3" ht="14.4">
      <c r="A21" s="3241" t="s">
        <v>59</v>
      </c>
      <c r="B21" s="3238" t="s">
        <v>60</v>
      </c>
      <c r="C21" s="3239"/>
    </row>
    <row r="22" spans="1:3" ht="14.4">
      <c r="A22" s="3241"/>
      <c r="B22" s="3238" t="s">
        <v>61</v>
      </c>
      <c r="C22" s="3239"/>
    </row>
    <row r="23" spans="1:3" ht="14.4">
      <c r="A23" s="3241"/>
      <c r="B23" s="3238" t="s">
        <v>62</v>
      </c>
      <c r="C23" s="3239"/>
    </row>
    <row r="24" spans="1:3" ht="14.4">
      <c r="A24" s="3241"/>
      <c r="B24" s="3244" t="s">
        <v>63</v>
      </c>
      <c r="C24" s="1175" t="s">
        <v>833</v>
      </c>
    </row>
    <row r="25" spans="1:3" ht="14.4">
      <c r="A25" s="3241"/>
      <c r="B25" s="3245"/>
      <c r="C25" s="1175" t="s">
        <v>834</v>
      </c>
    </row>
    <row r="26" spans="1:3" ht="14.4">
      <c r="A26" s="3241"/>
      <c r="B26" s="3245"/>
      <c r="C26" s="1175" t="s">
        <v>835</v>
      </c>
    </row>
    <row r="27" spans="1:3" ht="14.4">
      <c r="A27" s="3241"/>
      <c r="B27" s="3245"/>
      <c r="C27" s="1175" t="s">
        <v>836</v>
      </c>
    </row>
    <row r="28" spans="1:3" ht="14.4">
      <c r="A28" s="3241"/>
      <c r="B28" s="3245"/>
      <c r="C28" s="1175" t="s">
        <v>837</v>
      </c>
    </row>
    <row r="29" spans="1:3" ht="14.4">
      <c r="A29" s="3241"/>
      <c r="B29" s="3245"/>
      <c r="C29" s="1175" t="s">
        <v>838</v>
      </c>
    </row>
    <row r="30" spans="1:3" ht="14.4">
      <c r="A30" s="3241"/>
      <c r="B30" s="3245"/>
      <c r="C30" s="1175" t="s">
        <v>839</v>
      </c>
    </row>
    <row r="31" spans="1:3" ht="14.4">
      <c r="A31" s="3241"/>
      <c r="B31" s="3245"/>
      <c r="C31" s="1175" t="s">
        <v>840</v>
      </c>
    </row>
    <row r="32" spans="1:3" ht="14.4">
      <c r="A32" s="3241"/>
      <c r="B32" s="3245"/>
      <c r="C32" s="1175" t="s">
        <v>1643</v>
      </c>
    </row>
    <row r="33" spans="1:3" ht="14.4">
      <c r="A33" s="3241"/>
      <c r="B33" s="3235" t="s">
        <v>1649</v>
      </c>
      <c r="C33" s="1175" t="s">
        <v>1644</v>
      </c>
    </row>
    <row r="34" spans="1:3" ht="14.4">
      <c r="A34" s="3241"/>
      <c r="B34" s="3236"/>
      <c r="C34" s="1180" t="s">
        <v>1645</v>
      </c>
    </row>
    <row r="35" spans="1:3" ht="14.4">
      <c r="A35" s="3241"/>
      <c r="B35" s="3236"/>
      <c r="C35" s="1181" t="s">
        <v>1646</v>
      </c>
    </row>
    <row r="36" spans="1:3" ht="14.4">
      <c r="A36" s="3241"/>
      <c r="B36" s="3236"/>
      <c r="C36" s="1181" t="s">
        <v>1647</v>
      </c>
    </row>
    <row r="37" spans="1:3" ht="14.4">
      <c r="A37" s="3241"/>
      <c r="B37" s="3237"/>
      <c r="C37" s="1182" t="s">
        <v>1648</v>
      </c>
    </row>
    <row r="38" spans="1:3">
      <c r="A38" s="1176" t="s">
        <v>841</v>
      </c>
    </row>
    <row r="41" spans="1:3">
      <c r="A41" s="1176" t="s">
        <v>68</v>
      </c>
    </row>
    <row r="42" spans="1:3" ht="14.4">
      <c r="A42" s="1177" t="s">
        <v>849</v>
      </c>
    </row>
    <row r="43" spans="1:3" ht="14.4">
      <c r="A43" s="1178" t="s">
        <v>69</v>
      </c>
    </row>
    <row r="44" spans="1:3" ht="14.4">
      <c r="A44" s="1177" t="s">
        <v>848</v>
      </c>
    </row>
    <row r="45" spans="1:3" ht="14.4">
      <c r="A45" s="1179" t="s">
        <v>850</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1904</v>
      </c>
      <c r="B2" s="1653">
        <f ca="1">TODAY()</f>
        <v>43348</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2971</v>
      </c>
      <c r="B12" s="2340">
        <v>1120110054</v>
      </c>
      <c r="C12" s="3027">
        <v>43937</v>
      </c>
      <c r="D12" s="2340" t="s">
        <v>2971</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t="str">
        <f ca="1">IF(C22&lt;B2,"已过期",1120020033)</f>
        <v>已过期</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46" t="s">
        <v>1925</v>
      </c>
      <c r="B25" s="3246"/>
      <c r="C25" s="3246"/>
      <c r="D25" s="3246"/>
      <c r="E25" s="3246"/>
      <c r="F25" s="3246"/>
      <c r="G25" s="3246"/>
    </row>
    <row r="26" spans="1:7" ht="20.25" customHeight="1">
      <c r="A26" s="3247" t="s">
        <v>1926</v>
      </c>
      <c r="B26" s="3247"/>
      <c r="C26" s="3247"/>
      <c r="D26" s="3247" t="s">
        <v>1927</v>
      </c>
      <c r="E26" s="3247"/>
      <c r="F26" s="3247"/>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2935</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25" sqref="AE25"/>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3" t="s">
        <v>870</v>
      </c>
    </row>
    <row r="2" spans="1:23" ht="14.4">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5" t="s">
        <v>876</v>
      </c>
      <c r="Q2" s="9" t="s">
        <v>75</v>
      </c>
      <c r="R2" s="1005" t="s">
        <v>2540</v>
      </c>
      <c r="S2" s="9" t="s">
        <v>75</v>
      </c>
      <c r="T2" s="9" t="s">
        <v>76</v>
      </c>
      <c r="U2" s="9" t="s">
        <v>75</v>
      </c>
      <c r="V2" s="9" t="s">
        <v>77</v>
      </c>
      <c r="W2" s="9" t="s">
        <v>871</v>
      </c>
    </row>
    <row r="3" spans="1:23" ht="14.4">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2541</v>
      </c>
      <c r="S3" s="9" t="s">
        <v>84</v>
      </c>
      <c r="T3" s="9" t="s">
        <v>85</v>
      </c>
      <c r="U3" s="9" t="s">
        <v>84</v>
      </c>
      <c r="V3" s="9" t="s">
        <v>86</v>
      </c>
      <c r="W3" s="9" t="s">
        <v>872</v>
      </c>
    </row>
    <row r="4" spans="1:23" ht="14.4">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2542</v>
      </c>
      <c r="S4" s="9" t="s">
        <v>92</v>
      </c>
      <c r="T4" s="9" t="s">
        <v>93</v>
      </c>
      <c r="U4" s="9" t="s">
        <v>92</v>
      </c>
      <c r="W4" s="9" t="s">
        <v>873</v>
      </c>
    </row>
    <row r="5" spans="1:23" ht="14.4">
      <c r="A5" s="8" t="s">
        <v>94</v>
      </c>
      <c r="B5" s="8" t="s">
        <v>152</v>
      </c>
      <c r="C5" s="1547" t="s">
        <v>1709</v>
      </c>
      <c r="F5" s="9" t="s">
        <v>95</v>
      </c>
      <c r="H5" s="9" t="s">
        <v>70</v>
      </c>
      <c r="I5" s="9" t="s">
        <v>96</v>
      </c>
      <c r="K5" s="9" t="s">
        <v>97</v>
      </c>
      <c r="L5" s="9" t="s">
        <v>97</v>
      </c>
      <c r="M5" s="9" t="s">
        <v>97</v>
      </c>
      <c r="N5" s="9" t="s">
        <v>97</v>
      </c>
      <c r="O5" s="9" t="s">
        <v>97</v>
      </c>
      <c r="P5" s="1005" t="s">
        <v>542</v>
      </c>
      <c r="Q5" s="9" t="s">
        <v>97</v>
      </c>
      <c r="R5" s="1005" t="s">
        <v>2543</v>
      </c>
      <c r="S5" s="9" t="s">
        <v>97</v>
      </c>
      <c r="T5" s="9" t="s">
        <v>98</v>
      </c>
      <c r="U5" s="9" t="s">
        <v>97</v>
      </c>
      <c r="W5" s="9" t="s">
        <v>874</v>
      </c>
    </row>
    <row r="6" spans="1:23" ht="14.4">
      <c r="A6" s="8" t="s">
        <v>99</v>
      </c>
      <c r="B6" s="1148" t="s">
        <v>1637</v>
      </c>
      <c r="C6" s="1549" t="s">
        <v>1710</v>
      </c>
      <c r="F6" s="9" t="s">
        <v>71</v>
      </c>
      <c r="H6" s="9" t="s">
        <v>72</v>
      </c>
      <c r="I6" s="9" t="s">
        <v>100</v>
      </c>
      <c r="K6" s="9" t="s">
        <v>101</v>
      </c>
      <c r="L6" s="9" t="s">
        <v>101</v>
      </c>
      <c r="M6" s="9" t="s">
        <v>101</v>
      </c>
      <c r="N6" s="9" t="s">
        <v>101</v>
      </c>
      <c r="O6" s="9" t="s">
        <v>101</v>
      </c>
      <c r="P6" s="1005" t="s">
        <v>877</v>
      </c>
      <c r="Q6" s="9" t="s">
        <v>101</v>
      </c>
      <c r="R6" s="1005" t="s">
        <v>2544</v>
      </c>
      <c r="S6" s="9" t="s">
        <v>101</v>
      </c>
      <c r="T6" s="9"/>
      <c r="U6" s="9" t="s">
        <v>101</v>
      </c>
      <c r="W6" s="9" t="s">
        <v>875</v>
      </c>
    </row>
    <row r="7" spans="1:23" ht="14.4">
      <c r="A7" s="8" t="s">
        <v>102</v>
      </c>
      <c r="B7" s="8" t="s">
        <v>103</v>
      </c>
      <c r="C7" s="1547" t="s">
        <v>1711</v>
      </c>
      <c r="F7" s="9" t="s">
        <v>153</v>
      </c>
      <c r="H7" s="9" t="s">
        <v>104</v>
      </c>
      <c r="I7" s="9" t="s">
        <v>105</v>
      </c>
    </row>
    <row r="8" spans="1:23" ht="14.4">
      <c r="A8" s="8" t="s">
        <v>106</v>
      </c>
      <c r="B8" s="1148" t="s">
        <v>3127</v>
      </c>
      <c r="C8" s="1547" t="s">
        <v>1712</v>
      </c>
      <c r="F8" s="9" t="s">
        <v>154</v>
      </c>
      <c r="H8" s="9"/>
      <c r="I8" s="9" t="s">
        <v>107</v>
      </c>
    </row>
    <row r="9" spans="1:23" ht="14.4">
      <c r="A9" s="8" t="s">
        <v>108</v>
      </c>
      <c r="B9" s="1148" t="s">
        <v>3129</v>
      </c>
      <c r="C9" s="1547" t="s">
        <v>1713</v>
      </c>
      <c r="F9" s="9" t="s">
        <v>109</v>
      </c>
      <c r="H9" s="9"/>
    </row>
    <row r="10" spans="1:23" ht="14.4">
      <c r="A10" s="8" t="s">
        <v>110</v>
      </c>
      <c r="B10" s="1148" t="s">
        <v>3059</v>
      </c>
      <c r="C10" s="1547" t="s">
        <v>1714</v>
      </c>
      <c r="F10" s="9" t="s">
        <v>6</v>
      </c>
    </row>
    <row r="11" spans="1:23" ht="14.4">
      <c r="A11" s="8" t="s">
        <v>111</v>
      </c>
      <c r="B11" s="1148" t="s">
        <v>3060</v>
      </c>
      <c r="C11" s="1547" t="s">
        <v>1715</v>
      </c>
    </row>
    <row r="12" spans="1:23" ht="14.4">
      <c r="A12" s="8" t="s">
        <v>112</v>
      </c>
      <c r="B12" s="8" t="s">
        <v>155</v>
      </c>
      <c r="C12" s="1547" t="s">
        <v>1716</v>
      </c>
    </row>
    <row r="13" spans="1:23" ht="14.4">
      <c r="A13" s="8" t="s">
        <v>113</v>
      </c>
      <c r="B13" s="8" t="s">
        <v>156</v>
      </c>
      <c r="C13" s="1547" t="s">
        <v>1717</v>
      </c>
    </row>
    <row r="14" spans="1:23" ht="14.4">
      <c r="A14" s="8" t="s">
        <v>114</v>
      </c>
      <c r="B14" s="8" t="s">
        <v>157</v>
      </c>
      <c r="C14" s="1550" t="s">
        <v>1893</v>
      </c>
    </row>
    <row r="15" spans="1:23" ht="14.4">
      <c r="A15" s="8" t="s">
        <v>115</v>
      </c>
      <c r="B15" s="8" t="s">
        <v>1678</v>
      </c>
      <c r="C15" s="1550"/>
    </row>
    <row r="16" spans="1:23" ht="14.4">
      <c r="A16" s="8" t="s">
        <v>116</v>
      </c>
      <c r="B16" s="8" t="s">
        <v>1679</v>
      </c>
      <c r="C16" s="1550"/>
    </row>
    <row r="17" spans="1:3" ht="14.4">
      <c r="A17" s="8" t="s">
        <v>117</v>
      </c>
      <c r="B17" s="8" t="s">
        <v>1680</v>
      </c>
      <c r="C17" s="1550"/>
    </row>
    <row r="18" spans="1:3" ht="14.4">
      <c r="A18" s="8" t="s">
        <v>118</v>
      </c>
      <c r="B18" s="3129" t="s">
        <v>2948</v>
      </c>
      <c r="C18" s="1550"/>
    </row>
    <row r="19" spans="1:3" ht="14.4">
      <c r="A19" s="8" t="s">
        <v>119</v>
      </c>
      <c r="B19" s="3129" t="s">
        <v>2956</v>
      </c>
      <c r="C19" s="1550"/>
    </row>
    <row r="20" spans="1:3" ht="14.4">
      <c r="A20" s="8" t="s">
        <v>120</v>
      </c>
      <c r="B20" s="8" t="s">
        <v>1638</v>
      </c>
      <c r="C20" s="1550"/>
    </row>
    <row r="21" spans="1:3" ht="14.4">
      <c r="A21" s="8" t="s">
        <v>121</v>
      </c>
      <c r="B21" s="8" t="s">
        <v>1638</v>
      </c>
      <c r="C21" s="1550"/>
    </row>
    <row r="22" spans="1:3" ht="14.4">
      <c r="A22" s="8" t="s">
        <v>122</v>
      </c>
      <c r="B22" s="8" t="s">
        <v>1638</v>
      </c>
      <c r="C22" s="1550"/>
    </row>
    <row r="23" spans="1:3" ht="14.4">
      <c r="A23" s="8" t="s">
        <v>123</v>
      </c>
      <c r="B23" s="8" t="s">
        <v>1638</v>
      </c>
      <c r="C23" s="1550"/>
    </row>
    <row r="24" spans="1:3">
      <c r="A24" s="8" t="s">
        <v>12</v>
      </c>
      <c r="B24" s="8" t="s">
        <v>1638</v>
      </c>
      <c r="C24" s="1550"/>
    </row>
    <row r="25" spans="1:3" ht="14.4">
      <c r="A25" s="8" t="s">
        <v>124</v>
      </c>
      <c r="B25" s="8" t="s">
        <v>1638</v>
      </c>
      <c r="C25" s="1550"/>
    </row>
    <row r="26" spans="1:3" ht="14.4">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北京市北京市大兴区旧宫镇旧忠路19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48"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28日，在规划利用条件下、设定土地开发程度为红线外“七通”、宗地内场地平整，设定用途为，剩余土地使用年限为的出让国有建设用地使用权价格。</v>
      </c>
      <c r="D53" s="1764"/>
      <c r="E53" s="1764"/>
    </row>
    <row r="54" spans="1:5">
      <c r="A54" s="3248"/>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8"/>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8"/>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8"/>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2048</v>
      </c>
      <c r="B58" s="1763"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不动产收益法住</vt:lpstr>
      <vt:lpstr>不动产收益法</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基准地价</vt:lpstr>
      <vt:lpstr>地价信息</vt:lpstr>
      <vt:lpstr>地价</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2018-09-05T05:10:13Z</dcterms:modified>
</cp:coreProperties>
</file>