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56" windowWidth="10752" windowHeight="1098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基准地价修正 (2)" sheetId="7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地价-分区" sheetId="78"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2">基准地价修正!$A$1:$J$44,基准地价修正!$A$48:$H$102,基准地价修正!$R$1:$V$16</definedName>
    <definedName name="_xlnm.Print_Area" localSheetId="33">'基准地价修正 (2)'!$A$1:$J$44,'基准地价修正 (2)'!$A$48:$H$102,'基准地价修正 (2)'!$R$1:$V$16</definedName>
    <definedName name="_xlnm.Print_Area" localSheetId="19">假设开发法!$A$1:$K$32</definedName>
    <definedName name="_xlnm.Print_Area" localSheetId="16">结果表!$A$1:$I$127</definedName>
    <definedName name="_xlnm.Print_Area" localSheetId="41">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3">'基准地价修正 (2)'!$Z$19:$AD$19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5" i="43" l="1"/>
  <c r="G86" i="43"/>
  <c r="G87" i="43"/>
  <c r="G88" i="43"/>
  <c r="G89" i="43"/>
  <c r="G90" i="43"/>
  <c r="G91" i="43"/>
  <c r="G84" i="43"/>
  <c r="D33" i="43"/>
  <c r="I24" i="43"/>
  <c r="U3" i="79" l="1"/>
  <c r="U4" i="79" l="1"/>
  <c r="U5" i="79"/>
  <c r="D33" i="79"/>
  <c r="I123" i="79"/>
  <c r="J123" i="79" s="1"/>
  <c r="K123" i="79" s="1"/>
  <c r="L123" i="79" s="1"/>
  <c r="M123" i="79" s="1"/>
  <c r="I122" i="79"/>
  <c r="J122" i="79" s="1"/>
  <c r="K122" i="79" s="1"/>
  <c r="L122" i="79" s="1"/>
  <c r="M122" i="79" s="1"/>
  <c r="G122" i="79"/>
  <c r="H122" i="79" s="1"/>
  <c r="I121" i="79"/>
  <c r="J121" i="79" s="1"/>
  <c r="K121" i="79" s="1"/>
  <c r="L121" i="79" s="1"/>
  <c r="M121" i="79" s="1"/>
  <c r="I120" i="79"/>
  <c r="J120" i="79" s="1"/>
  <c r="K120" i="79" s="1"/>
  <c r="L120" i="79" s="1"/>
  <c r="M120" i="79" s="1"/>
  <c r="I119" i="79"/>
  <c r="J119" i="79" s="1"/>
  <c r="K119" i="79" s="1"/>
  <c r="L119" i="79" s="1"/>
  <c r="M119" i="79" s="1"/>
  <c r="F117" i="79"/>
  <c r="B117" i="79"/>
  <c r="D123" i="79" s="1"/>
  <c r="E123" i="79" s="1"/>
  <c r="F123" i="79" s="1"/>
  <c r="G123" i="79" s="1"/>
  <c r="H123" i="79" s="1"/>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N102" i="79"/>
  <c r="M102" i="79"/>
  <c r="K102" i="79"/>
  <c r="J102" i="79" s="1"/>
  <c r="D102" i="79"/>
  <c r="B102" i="79"/>
  <c r="N101" i="79"/>
  <c r="M101" i="79"/>
  <c r="K101" i="79"/>
  <c r="J101" i="79" s="1"/>
  <c r="D101" i="79"/>
  <c r="B101" i="79"/>
  <c r="N100" i="79"/>
  <c r="M100" i="79"/>
  <c r="K100" i="79"/>
  <c r="J100" i="79" s="1"/>
  <c r="D100" i="79"/>
  <c r="B100" i="79"/>
  <c r="M99" i="79"/>
  <c r="N99" i="79" s="1"/>
  <c r="K99" i="79"/>
  <c r="J99" i="79"/>
  <c r="D99" i="79"/>
  <c r="M98" i="79"/>
  <c r="N98" i="79" s="1"/>
  <c r="K98" i="79"/>
  <c r="J98" i="79"/>
  <c r="D98" i="79"/>
  <c r="B98" i="79"/>
  <c r="N97" i="79"/>
  <c r="M97" i="79"/>
  <c r="K97" i="79"/>
  <c r="J97" i="79" s="1"/>
  <c r="D97" i="79"/>
  <c r="N96" i="79"/>
  <c r="M96" i="79"/>
  <c r="K96" i="79"/>
  <c r="J96" i="79" s="1"/>
  <c r="D96" i="79"/>
  <c r="B96" i="79"/>
  <c r="M95" i="79"/>
  <c r="N95" i="79" s="1"/>
  <c r="K95" i="79"/>
  <c r="J95" i="79"/>
  <c r="D95" i="79"/>
  <c r="B95" i="79"/>
  <c r="N94" i="79"/>
  <c r="M94" i="79"/>
  <c r="K94" i="79"/>
  <c r="J94" i="79" s="1"/>
  <c r="F94" i="79"/>
  <c r="H102" i="79" s="1"/>
  <c r="E94" i="79"/>
  <c r="D94" i="79"/>
  <c r="B92" i="79"/>
  <c r="M91" i="79"/>
  <c r="N91" i="79" s="1"/>
  <c r="K91" i="79"/>
  <c r="J91" i="79"/>
  <c r="D91" i="79"/>
  <c r="B91" i="79"/>
  <c r="N90" i="79"/>
  <c r="M90" i="79"/>
  <c r="K90" i="79"/>
  <c r="J90" i="79" s="1"/>
  <c r="D90" i="79"/>
  <c r="N89" i="79"/>
  <c r="M89" i="79"/>
  <c r="K89" i="79"/>
  <c r="J89" i="79" s="1"/>
  <c r="D89" i="79"/>
  <c r="B89" i="79"/>
  <c r="N88" i="79"/>
  <c r="M88" i="79"/>
  <c r="K88" i="79"/>
  <c r="J88" i="79" s="1"/>
  <c r="D88" i="79"/>
  <c r="B88" i="79"/>
  <c r="N87" i="79"/>
  <c r="M87" i="79"/>
  <c r="K87" i="79"/>
  <c r="J87" i="79" s="1"/>
  <c r="D87" i="79"/>
  <c r="B87" i="79"/>
  <c r="N86" i="79"/>
  <c r="M86" i="79"/>
  <c r="K86" i="79"/>
  <c r="J86" i="79" s="1"/>
  <c r="D86" i="79"/>
  <c r="B86" i="79"/>
  <c r="N85" i="79"/>
  <c r="M85" i="79"/>
  <c r="K85" i="79"/>
  <c r="J85" i="79" s="1"/>
  <c r="D85" i="79"/>
  <c r="B85" i="79"/>
  <c r="N84" i="79"/>
  <c r="M84" i="79"/>
  <c r="K84" i="79"/>
  <c r="J84" i="79" s="1"/>
  <c r="F84" i="79"/>
  <c r="H90" i="79" s="1"/>
  <c r="D84" i="79"/>
  <c r="E84" i="79" s="1"/>
  <c r="B82" i="79" s="1"/>
  <c r="B84" i="79"/>
  <c r="M81" i="79"/>
  <c r="N81" i="79" s="1"/>
  <c r="K81" i="79"/>
  <c r="J81" i="79"/>
  <c r="D81" i="79"/>
  <c r="M80" i="79"/>
  <c r="N80" i="79" s="1"/>
  <c r="K80" i="79"/>
  <c r="J80" i="79"/>
  <c r="D80" i="79"/>
  <c r="B80" i="79"/>
  <c r="N79" i="79"/>
  <c r="M79" i="79"/>
  <c r="K79" i="79"/>
  <c r="J79" i="79" s="1"/>
  <c r="D79" i="79"/>
  <c r="N78" i="79"/>
  <c r="M78" i="79"/>
  <c r="K78" i="79"/>
  <c r="J78" i="79" s="1"/>
  <c r="D78" i="79"/>
  <c r="B78" i="79"/>
  <c r="M77" i="79"/>
  <c r="N77" i="79" s="1"/>
  <c r="K77" i="79"/>
  <c r="J77" i="79"/>
  <c r="D77" i="79"/>
  <c r="B77" i="79"/>
  <c r="N76" i="79"/>
  <c r="M76" i="79"/>
  <c r="K76" i="79"/>
  <c r="J76" i="79" s="1"/>
  <c r="D76" i="79"/>
  <c r="B76" i="79"/>
  <c r="M75" i="79"/>
  <c r="N75" i="79" s="1"/>
  <c r="K75" i="79"/>
  <c r="J75" i="79"/>
  <c r="D75" i="79"/>
  <c r="B75" i="79"/>
  <c r="N74" i="79"/>
  <c r="M74" i="79"/>
  <c r="K74" i="79"/>
  <c r="J74" i="79" s="1"/>
  <c r="D74" i="79"/>
  <c r="B74" i="79"/>
  <c r="M73" i="79"/>
  <c r="N73" i="79" s="1"/>
  <c r="K73" i="79"/>
  <c r="J73" i="79"/>
  <c r="F73" i="79"/>
  <c r="H79" i="79" s="1"/>
  <c r="D73" i="79"/>
  <c r="E73" i="79" s="1"/>
  <c r="B71" i="79" s="1"/>
  <c r="B73" i="79"/>
  <c r="M70" i="79"/>
  <c r="N70" i="79" s="1"/>
  <c r="K70" i="79"/>
  <c r="J70" i="79"/>
  <c r="D70" i="79"/>
  <c r="B70" i="79"/>
  <c r="N69" i="79"/>
  <c r="M69" i="79"/>
  <c r="K69" i="79"/>
  <c r="J69" i="79" s="1"/>
  <c r="D69" i="79"/>
  <c r="B69" i="79"/>
  <c r="M68" i="79"/>
  <c r="N68" i="79" s="1"/>
  <c r="K68" i="79"/>
  <c r="J68" i="79"/>
  <c r="D68" i="79"/>
  <c r="B68" i="79"/>
  <c r="N67" i="79"/>
  <c r="M67" i="79"/>
  <c r="K67" i="79"/>
  <c r="J67" i="79" s="1"/>
  <c r="D67" i="79"/>
  <c r="N66" i="79"/>
  <c r="M66" i="79"/>
  <c r="K66" i="79"/>
  <c r="J66" i="79" s="1"/>
  <c r="D66" i="79"/>
  <c r="B66" i="79"/>
  <c r="M65" i="79"/>
  <c r="N65" i="79" s="1"/>
  <c r="K65" i="79"/>
  <c r="J65" i="79"/>
  <c r="D65" i="79"/>
  <c r="M64" i="79"/>
  <c r="N64" i="79" s="1"/>
  <c r="K64" i="79"/>
  <c r="J64" i="79"/>
  <c r="D64" i="79"/>
  <c r="B64" i="79"/>
  <c r="N63" i="79"/>
  <c r="M63" i="79"/>
  <c r="K63" i="79"/>
  <c r="J63" i="79" s="1"/>
  <c r="D63" i="79"/>
  <c r="B63" i="79"/>
  <c r="M62" i="79"/>
  <c r="N62" i="79" s="1"/>
  <c r="K62" i="79"/>
  <c r="J62" i="79" s="1"/>
  <c r="F62" i="79"/>
  <c r="H63" i="79" s="1"/>
  <c r="E62" i="79"/>
  <c r="B60" i="79" s="1"/>
  <c r="D62" i="79"/>
  <c r="B62" i="79"/>
  <c r="B59" i="79"/>
  <c r="B58" i="79"/>
  <c r="B57" i="79"/>
  <c r="D55" i="79"/>
  <c r="B55" i="79"/>
  <c r="B53" i="79"/>
  <c r="B52" i="79"/>
  <c r="B51" i="79"/>
  <c r="H42" i="79"/>
  <c r="H41" i="79"/>
  <c r="H40" i="79"/>
  <c r="H39" i="79"/>
  <c r="H38" i="79"/>
  <c r="L37" i="79"/>
  <c r="H37" i="79"/>
  <c r="Q36" i="79"/>
  <c r="P36" i="79"/>
  <c r="O36" i="79"/>
  <c r="N36" i="79"/>
  <c r="M36" i="79"/>
  <c r="Q32" i="79"/>
  <c r="O32" i="79"/>
  <c r="M32" i="79"/>
  <c r="J26" i="79"/>
  <c r="G26" i="79"/>
  <c r="E26" i="79"/>
  <c r="J24" i="79"/>
  <c r="G24" i="79"/>
  <c r="E24" i="79"/>
  <c r="P32" i="79" s="1"/>
  <c r="M23" i="79"/>
  <c r="I23" i="79"/>
  <c r="G23" i="79"/>
  <c r="C22" i="79"/>
  <c r="J21" i="79"/>
  <c r="C20" i="79"/>
  <c r="G18" i="79"/>
  <c r="G17" i="79"/>
  <c r="C17" i="79"/>
  <c r="C13" i="79"/>
  <c r="AH10" i="79"/>
  <c r="Y10" i="79"/>
  <c r="C10" i="79"/>
  <c r="C11" i="79" s="1"/>
  <c r="E10" i="79" s="1"/>
  <c r="AJ9" i="79"/>
  <c r="AJ10" i="79" s="1"/>
  <c r="AI9" i="79"/>
  <c r="AI10" i="79" s="1"/>
  <c r="AH9" i="79"/>
  <c r="AG9" i="79"/>
  <c r="AG10" i="79" s="1"/>
  <c r="AF9" i="79"/>
  <c r="AF10" i="79" s="1"/>
  <c r="AE9" i="79"/>
  <c r="AE10" i="79" s="1"/>
  <c r="AD9" i="79"/>
  <c r="AD10" i="79" s="1"/>
  <c r="AC9" i="79"/>
  <c r="AC10" i="79" s="1"/>
  <c r="AB9" i="79"/>
  <c r="AB10" i="79" s="1"/>
  <c r="AA9" i="79"/>
  <c r="AA10" i="79" s="1"/>
  <c r="Z9" i="79"/>
  <c r="Z10" i="79" s="1"/>
  <c r="E9" i="79"/>
  <c r="C9" i="79"/>
  <c r="E8" i="79"/>
  <c r="Z7" i="79"/>
  <c r="C7" i="79"/>
  <c r="I2" i="79"/>
  <c r="M1" i="79" s="1"/>
  <c r="G2" i="79"/>
  <c r="S6" i="79" s="1"/>
  <c r="D1" i="79"/>
  <c r="U2" i="43"/>
  <c r="F38" i="79" l="1"/>
  <c r="X7" i="79"/>
  <c r="E21" i="79"/>
  <c r="N21" i="79"/>
  <c r="F40" i="79"/>
  <c r="H62" i="79"/>
  <c r="S5" i="79"/>
  <c r="F37" i="79"/>
  <c r="H84" i="79"/>
  <c r="F42" i="79"/>
  <c r="H94" i="79"/>
  <c r="S3" i="79"/>
  <c r="U6" i="79"/>
  <c r="M12" i="79"/>
  <c r="M11" i="79"/>
  <c r="N2" i="79"/>
  <c r="M3" i="79"/>
  <c r="N4" i="79"/>
  <c r="M5" i="79"/>
  <c r="M6" i="79"/>
  <c r="M7" i="79"/>
  <c r="N8" i="79"/>
  <c r="F51" i="79" s="1"/>
  <c r="N9" i="79"/>
  <c r="M10" i="79"/>
  <c r="E11" i="79"/>
  <c r="P29" i="79"/>
  <c r="P25" i="79"/>
  <c r="M24" i="79"/>
  <c r="O23" i="79"/>
  <c r="C23" i="79"/>
  <c r="L17" i="79"/>
  <c r="P27" i="79"/>
  <c r="Q37" i="79"/>
  <c r="O37" i="79"/>
  <c r="M37" i="79"/>
  <c r="P37" i="79"/>
  <c r="N1" i="79"/>
  <c r="H117" i="79"/>
  <c r="C27" i="79"/>
  <c r="C25" i="79" s="1"/>
  <c r="O21" i="79"/>
  <c r="M21" i="79"/>
  <c r="K21" i="79"/>
  <c r="I21" i="79"/>
  <c r="D21" i="79"/>
  <c r="M2" i="79"/>
  <c r="S2" i="79"/>
  <c r="N3" i="79"/>
  <c r="M4" i="79"/>
  <c r="S4" i="79"/>
  <c r="N5" i="79"/>
  <c r="C6" i="79"/>
  <c r="N6" i="79"/>
  <c r="N7" i="79"/>
  <c r="M8" i="79"/>
  <c r="M9" i="79"/>
  <c r="N10" i="79"/>
  <c r="N11" i="79"/>
  <c r="N12" i="79"/>
  <c r="L18" i="79"/>
  <c r="C21" i="79"/>
  <c r="H21" i="79"/>
  <c r="L21" i="79"/>
  <c r="E44" i="79"/>
  <c r="C44" i="79" s="1"/>
  <c r="I18" i="79"/>
  <c r="E17" i="79" s="1"/>
  <c r="F26" i="79"/>
  <c r="D26" i="79" s="1"/>
  <c r="H26" i="79"/>
  <c r="P26" i="79"/>
  <c r="P28" i="79"/>
  <c r="N37" i="79"/>
  <c r="F39" i="79"/>
  <c r="F41" i="79"/>
  <c r="N32" i="79"/>
  <c r="H69" i="79"/>
  <c r="H67" i="79"/>
  <c r="H66" i="79"/>
  <c r="H70" i="79"/>
  <c r="H68" i="79"/>
  <c r="H65" i="79"/>
  <c r="H64" i="79"/>
  <c r="H73" i="79"/>
  <c r="H75" i="79"/>
  <c r="H77" i="79"/>
  <c r="H80" i="79"/>
  <c r="H81" i="79"/>
  <c r="H86" i="79"/>
  <c r="H88" i="79"/>
  <c r="H91" i="79"/>
  <c r="H95" i="79"/>
  <c r="H98" i="79"/>
  <c r="H99" i="79"/>
  <c r="H101" i="79"/>
  <c r="B119" i="79"/>
  <c r="C119" i="79" s="1"/>
  <c r="D119" i="79"/>
  <c r="E119" i="79" s="1"/>
  <c r="F119" i="79" s="1"/>
  <c r="G119" i="79" s="1"/>
  <c r="H119" i="79" s="1"/>
  <c r="B120" i="79"/>
  <c r="C120" i="79" s="1"/>
  <c r="D120" i="79"/>
  <c r="E120" i="79" s="1"/>
  <c r="F120" i="79" s="1"/>
  <c r="G120" i="79" s="1"/>
  <c r="H120" i="79" s="1"/>
  <c r="B121" i="79"/>
  <c r="C121" i="79" s="1"/>
  <c r="D121" i="79"/>
  <c r="E121" i="79" s="1"/>
  <c r="F121" i="79" s="1"/>
  <c r="G121" i="79" s="1"/>
  <c r="H121" i="79" s="1"/>
  <c r="B122" i="79"/>
  <c r="C122" i="79" s="1"/>
  <c r="D122" i="79"/>
  <c r="E122" i="79" s="1"/>
  <c r="F122" i="79" s="1"/>
  <c r="B123" i="79"/>
  <c r="C123" i="79" s="1"/>
  <c r="H74" i="79"/>
  <c r="H76" i="79"/>
  <c r="H78" i="79"/>
  <c r="H85" i="79"/>
  <c r="H87" i="79"/>
  <c r="H89" i="79"/>
  <c r="H96" i="79"/>
  <c r="H97" i="79"/>
  <c r="H100" i="79"/>
  <c r="Y6" i="78"/>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G21" i="79" l="1"/>
  <c r="D5" i="79"/>
  <c r="C5" i="79"/>
  <c r="D117" i="79"/>
  <c r="H55" i="79"/>
  <c r="G55" i="79" s="1"/>
  <c r="H54" i="79"/>
  <c r="G54" i="79" s="1"/>
  <c r="H58" i="79"/>
  <c r="G58" i="79" s="1"/>
  <c r="H56" i="79"/>
  <c r="G56" i="79" s="1"/>
  <c r="H53" i="79"/>
  <c r="G53" i="79" s="1"/>
  <c r="H51" i="79"/>
  <c r="G51" i="79" s="1"/>
  <c r="H59" i="79"/>
  <c r="G59" i="79" s="1"/>
  <c r="H57" i="79"/>
  <c r="G57" i="79" s="1"/>
  <c r="H52" i="79"/>
  <c r="G52" i="79" s="1"/>
  <c r="Z20" i="78"/>
  <c r="AB20" i="78"/>
  <c r="G20" i="78"/>
  <c r="F20" i="78"/>
  <c r="I20" i="78" s="1"/>
  <c r="E20" i="78"/>
  <c r="H3" i="78"/>
  <c r="G3" i="78"/>
  <c r="F3" i="78"/>
  <c r="I3" i="78" s="1"/>
  <c r="E3" i="78"/>
  <c r="D3" i="78"/>
  <c r="AC3" i="78"/>
  <c r="AB3" i="78"/>
  <c r="AA3" i="78"/>
  <c r="AD3" i="78" s="1"/>
  <c r="Y3" i="78"/>
  <c r="M57" i="79" l="1"/>
  <c r="N57" i="79" s="1"/>
  <c r="K57" i="79"/>
  <c r="M51" i="79"/>
  <c r="N51" i="79" s="1"/>
  <c r="K51" i="79"/>
  <c r="K54" i="79"/>
  <c r="M54" i="79"/>
  <c r="N54" i="79" s="1"/>
  <c r="M52" i="79"/>
  <c r="N52" i="79" s="1"/>
  <c r="K52" i="79"/>
  <c r="M59" i="79"/>
  <c r="N59" i="79" s="1"/>
  <c r="K59" i="79"/>
  <c r="M53" i="79"/>
  <c r="N53" i="79" s="1"/>
  <c r="K53" i="79"/>
  <c r="M58" i="79"/>
  <c r="N58" i="79" s="1"/>
  <c r="K58" i="79"/>
  <c r="J58" i="79" s="1"/>
  <c r="D58" i="79" s="1"/>
  <c r="K55" i="79"/>
  <c r="J55" i="79" s="1"/>
  <c r="M55" i="79"/>
  <c r="N55" i="79" s="1"/>
  <c r="M56" i="79"/>
  <c r="N56" i="79" s="1"/>
  <c r="K56" i="79"/>
  <c r="U29" i="78"/>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J53" i="79" l="1"/>
  <c r="D53" i="79"/>
  <c r="J59" i="79"/>
  <c r="D59" i="79"/>
  <c r="J52" i="79"/>
  <c r="D52" i="79"/>
  <c r="J51" i="79"/>
  <c r="D51" i="79"/>
  <c r="J57" i="79"/>
  <c r="D57" i="79"/>
  <c r="J56" i="79"/>
  <c r="D56" i="79"/>
  <c r="D54" i="79"/>
  <c r="J54" i="79"/>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E51" i="79" l="1"/>
  <c r="B49" i="79" s="1"/>
  <c r="C28" i="79" s="1"/>
  <c r="AA20" i="78"/>
  <c r="AD20" i="78" s="1"/>
  <c r="G17" i="43"/>
  <c r="C42" i="79" l="1"/>
  <c r="C41" i="79"/>
  <c r="C112" i="43"/>
  <c r="G41" i="79" l="1"/>
  <c r="I41" i="79" s="1"/>
  <c r="E41" i="79"/>
  <c r="G42" i="79"/>
  <c r="I42" i="79" s="1"/>
  <c r="E42" i="79"/>
  <c r="E24" i="43"/>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6"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D55"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Z7" i="43"/>
  <c r="E73" i="43"/>
  <c r="B71" i="43" s="1"/>
  <c r="H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s="1"/>
  <c r="C4" i="4"/>
  <c r="B4" i="62" s="1"/>
  <c r="B71" i="72" s="1"/>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28" i="67"/>
  <c r="M4" i="43"/>
  <c r="M5" i="43"/>
  <c r="N12" i="43"/>
  <c r="N11" i="43"/>
  <c r="M10" i="43"/>
  <c r="M2" i="43"/>
  <c r="M8" i="43"/>
  <c r="M7" i="43"/>
  <c r="N9" i="43"/>
  <c r="N10" i="43"/>
  <c r="M6" i="43"/>
  <c r="N7" i="43"/>
  <c r="N4" i="43"/>
  <c r="N2" i="43"/>
  <c r="F51" i="43" s="1"/>
  <c r="H55" i="43" s="1"/>
  <c r="G55" i="43" s="1"/>
  <c r="M55" i="43" s="1"/>
  <c r="N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D9" i="53"/>
  <c r="B25" i="72"/>
  <c r="B24" i="72"/>
  <c r="K120" i="9"/>
  <c r="B67" i="71"/>
  <c r="O68" i="71"/>
  <c r="M32" i="43"/>
  <c r="N32" i="43"/>
  <c r="O32" i="43"/>
  <c r="P32" i="43"/>
  <c r="O67" i="71"/>
  <c r="O66" i="71"/>
  <c r="J26" i="43"/>
  <c r="D7" i="73"/>
  <c r="E11" i="76"/>
  <c r="F38" i="15"/>
  <c r="F26" i="67"/>
  <c r="F7" i="67"/>
  <c r="L47" i="67"/>
  <c r="B7" i="76"/>
  <c r="J15" i="15"/>
  <c r="F9" i="67"/>
  <c r="M23" i="15"/>
  <c r="D20" i="9"/>
  <c r="AO9" i="1"/>
  <c r="D2" i="34"/>
  <c r="E12" i="76"/>
  <c r="D2" i="21"/>
  <c r="AO8" i="1"/>
  <c r="E10" i="76"/>
  <c r="M28" i="15"/>
  <c r="D34" i="9"/>
  <c r="M8" i="67"/>
  <c r="E13" i="76"/>
  <c r="L48" i="67"/>
  <c r="E7" i="76"/>
  <c r="E2" i="69"/>
  <c r="M8" i="15"/>
  <c r="F6" i="67"/>
  <c r="D2" i="33"/>
  <c r="F36" i="67"/>
  <c r="F3" i="73"/>
  <c r="F5" i="73"/>
  <c r="L47" i="15"/>
  <c r="F38" i="67"/>
  <c r="M26" i="15"/>
  <c r="D19" i="9"/>
  <c r="M29" i="67"/>
  <c r="E9" i="76"/>
  <c r="M28" i="67"/>
  <c r="B12" i="76"/>
  <c r="F7" i="73"/>
  <c r="D5" i="73"/>
  <c r="F6" i="15"/>
  <c r="F43" i="15"/>
  <c r="M9" i="67"/>
  <c r="M23" i="67"/>
  <c r="M29" i="15"/>
  <c r="F42" i="67"/>
  <c r="C76" i="15"/>
  <c r="F26" i="15"/>
  <c r="AO12" i="1"/>
  <c r="F7" i="15"/>
  <c r="F36" i="15"/>
  <c r="M9" i="15"/>
  <c r="F4" i="73"/>
  <c r="F8" i="15"/>
  <c r="L48" i="15"/>
  <c r="AO6" i="1"/>
  <c r="C76" i="67"/>
  <c r="F16" i="67"/>
  <c r="D4" i="73"/>
  <c r="D3" i="73"/>
  <c r="B8" i="76"/>
  <c r="F16" i="15"/>
  <c r="F37" i="15"/>
  <c r="D2" i="37"/>
  <c r="F20" i="31"/>
  <c r="D2" i="35"/>
  <c r="M22" i="15"/>
  <c r="E2" i="68"/>
  <c r="M24" i="15"/>
  <c r="D6" i="73"/>
  <c r="F41" i="67"/>
  <c r="B10" i="76"/>
  <c r="AO11" i="1"/>
  <c r="F43" i="67"/>
  <c r="M24" i="67"/>
  <c r="F9" i="15"/>
  <c r="M27" i="67"/>
  <c r="F13" i="15"/>
  <c r="J15" i="67"/>
  <c r="F37" i="67"/>
  <c r="C19" i="9"/>
  <c r="M22" i="67"/>
  <c r="F13" i="67"/>
  <c r="AO10" i="1"/>
  <c r="M26" i="67"/>
  <c r="AO13" i="1"/>
  <c r="F40" i="15"/>
  <c r="F8" i="67"/>
  <c r="D35" i="9"/>
  <c r="M6" i="67"/>
  <c r="E8" i="76"/>
  <c r="D2" i="36"/>
  <c r="B13" i="76"/>
  <c r="M27" i="15"/>
  <c r="B11" i="76"/>
  <c r="M6" i="15"/>
  <c r="AO7" i="1"/>
  <c r="F6" i="73"/>
  <c r="C20" i="9"/>
  <c r="F40" i="67"/>
  <c r="F41" i="15"/>
  <c r="F42" i="15"/>
  <c r="B9" i="76"/>
  <c r="D87" i="43" l="1"/>
  <c r="D85" i="43"/>
  <c r="E84" i="43" s="1"/>
  <c r="B82" i="43" s="1"/>
  <c r="F84" i="43"/>
  <c r="K55" i="43"/>
  <c r="J55" i="43" s="1"/>
  <c r="C30" i="69"/>
  <c r="C48" i="68"/>
  <c r="I24" i="79"/>
  <c r="C24" i="79" s="1"/>
  <c r="C24" i="43"/>
  <c r="K4" i="4"/>
  <c r="B46" i="48" s="1"/>
  <c r="B4" i="72" s="1"/>
  <c r="D123" i="43"/>
  <c r="E123" i="43" s="1"/>
  <c r="F123" i="43" s="1"/>
  <c r="G123" i="43" s="1"/>
  <c r="H123" i="43" s="1"/>
  <c r="D26"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G57" i="43" s="1"/>
  <c r="H53" i="43"/>
  <c r="G53" i="43" s="1"/>
  <c r="H58" i="43"/>
  <c r="G58" i="43" s="1"/>
  <c r="H54" i="43"/>
  <c r="G54" i="43" s="1"/>
  <c r="H52" i="43"/>
  <c r="G52" i="43" s="1"/>
  <c r="H59" i="43"/>
  <c r="G59" i="43" s="1"/>
  <c r="H51" i="43"/>
  <c r="G51" i="43" s="1"/>
  <c r="H56" i="43"/>
  <c r="G56" i="43" s="1"/>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G1" i="73"/>
  <c r="C16" i="67"/>
  <c r="M58" i="43" l="1"/>
  <c r="N58" i="43" s="1"/>
  <c r="K58" i="43"/>
  <c r="J58" i="43" s="1"/>
  <c r="D58" i="43" s="1"/>
  <c r="M53" i="43"/>
  <c r="N53" i="43" s="1"/>
  <c r="K53" i="43"/>
  <c r="M57" i="43"/>
  <c r="N57" i="43" s="1"/>
  <c r="K57" i="43"/>
  <c r="M56" i="43"/>
  <c r="N56" i="43" s="1"/>
  <c r="K56" i="43"/>
  <c r="M51" i="43"/>
  <c r="N51" i="43" s="1"/>
  <c r="K51" i="43"/>
  <c r="M59" i="43"/>
  <c r="N59" i="43" s="1"/>
  <c r="K59" i="43"/>
  <c r="M52" i="43"/>
  <c r="N52" i="43" s="1"/>
  <c r="K52" i="43"/>
  <c r="M54" i="43"/>
  <c r="N54" i="43" s="1"/>
  <c r="K54" i="43"/>
  <c r="C33" i="79"/>
  <c r="E33" i="79" s="1"/>
  <c r="T16" i="79"/>
  <c r="V16" i="79" s="1"/>
  <c r="T11" i="79"/>
  <c r="V11" i="79" s="1"/>
  <c r="T9" i="79"/>
  <c r="V9" i="79" s="1"/>
  <c r="T14" i="79"/>
  <c r="V14" i="79" s="1"/>
  <c r="T6" i="79"/>
  <c r="V6" i="79" s="1"/>
  <c r="T3" i="79"/>
  <c r="V3" i="79" s="1"/>
  <c r="T5" i="79"/>
  <c r="V5" i="79" s="1"/>
  <c r="T13" i="79"/>
  <c r="V13" i="79" s="1"/>
  <c r="T15" i="79"/>
  <c r="V15" i="79" s="1"/>
  <c r="T10" i="79"/>
  <c r="V10" i="79" s="1"/>
  <c r="C40" i="79"/>
  <c r="C37" i="79"/>
  <c r="C39" i="79"/>
  <c r="T8" i="79"/>
  <c r="V8" i="79" s="1"/>
  <c r="T7" i="79"/>
  <c r="V7" i="79" s="1"/>
  <c r="T4" i="79"/>
  <c r="V4" i="79" s="1"/>
  <c r="T2" i="79"/>
  <c r="V2" i="79" s="1"/>
  <c r="T12" i="79"/>
  <c r="V12" i="79" s="1"/>
  <c r="C38" i="79"/>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U7" i="21" s="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F7" i="35"/>
  <c r="AC7" i="21"/>
  <c r="V48" i="21" s="1"/>
  <c r="I48" i="21" s="1"/>
  <c r="W7" i="2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J59" i="43" l="1"/>
  <c r="D59" i="43"/>
  <c r="J51" i="43"/>
  <c r="D51" i="43"/>
  <c r="J56" i="43"/>
  <c r="D56" i="43"/>
  <c r="J57" i="43"/>
  <c r="D57" i="43"/>
  <c r="J54" i="43"/>
  <c r="D54" i="43"/>
  <c r="J53" i="43"/>
  <c r="D53" i="43"/>
  <c r="J52" i="43"/>
  <c r="D52" i="43"/>
  <c r="AB7" i="21"/>
  <c r="T48" i="21" s="1"/>
  <c r="G48" i="21" s="1"/>
  <c r="W7" i="35"/>
  <c r="G38" i="79"/>
  <c r="I38" i="79" s="1"/>
  <c r="E38" i="79"/>
  <c r="C34" i="79"/>
  <c r="E34" i="79" s="1"/>
  <c r="G40" i="79"/>
  <c r="I40" i="79" s="1"/>
  <c r="E40" i="79"/>
  <c r="G39" i="79"/>
  <c r="I39" i="79" s="1"/>
  <c r="E39" i="79"/>
  <c r="E37" i="79"/>
  <c r="C30" i="79" s="1"/>
  <c r="B2" i="79" s="1"/>
  <c r="G37" i="79"/>
  <c r="I37" i="79" s="1"/>
  <c r="S10" i="39"/>
  <c r="F10" i="40"/>
  <c r="AA10" i="40" s="1"/>
  <c r="S7" i="33"/>
  <c r="C18" i="67"/>
  <c r="C15" i="67"/>
  <c r="S10" i="40"/>
  <c r="J10" i="39"/>
  <c r="W10" i="39" s="1"/>
  <c r="H10" i="40"/>
  <c r="AB10" i="40" s="1"/>
  <c r="J10" i="40"/>
  <c r="AC10" i="40" s="1"/>
  <c r="H10" i="39"/>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E51" i="43" l="1"/>
  <c r="B49" i="43" s="1"/>
  <c r="C28" i="43" s="1"/>
  <c r="C40" i="43" s="1"/>
  <c r="E40" i="43" s="1"/>
  <c r="W10" i="40"/>
  <c r="B3" i="79"/>
  <c r="C31" i="79"/>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T6" i="43" l="1"/>
  <c r="V6" i="43" s="1"/>
  <c r="T14" i="43"/>
  <c r="V14" i="43" s="1"/>
  <c r="T15" i="43"/>
  <c r="V15" i="43" s="1"/>
  <c r="T3" i="43"/>
  <c r="V3" i="43" s="1"/>
  <c r="T9" i="43"/>
  <c r="V9" i="43" s="1"/>
  <c r="T5" i="43"/>
  <c r="V5" i="43" s="1"/>
  <c r="T4" i="43"/>
  <c r="V4" i="43" s="1"/>
  <c r="T16" i="43"/>
  <c r="V16" i="43" s="1"/>
  <c r="C33" i="43"/>
  <c r="E33" i="43" s="1"/>
  <c r="T11" i="43"/>
  <c r="V11" i="43" s="1"/>
  <c r="T7" i="43"/>
  <c r="V7" i="43" s="1"/>
  <c r="C41" i="43"/>
  <c r="T2" i="43"/>
  <c r="V2" i="43" s="1"/>
  <c r="T12" i="43"/>
  <c r="V12" i="43" s="1"/>
  <c r="C38" i="43"/>
  <c r="G40" i="43"/>
  <c r="I40" i="43" s="1"/>
  <c r="T13" i="43"/>
  <c r="V13" i="43" s="1"/>
  <c r="C39" i="43"/>
  <c r="T8" i="43"/>
  <c r="V8" i="43" s="1"/>
  <c r="C37" i="43"/>
  <c r="T10" i="43"/>
  <c r="V10" i="43" s="1"/>
  <c r="C42" i="43"/>
  <c r="C23" i="67"/>
  <c r="C29" i="67" s="1"/>
  <c r="C33" i="67"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34" i="43" l="1"/>
  <c r="E34" i="43" s="1"/>
  <c r="E41" i="43"/>
  <c r="G41" i="43"/>
  <c r="I41" i="43" s="1"/>
  <c r="J19" i="67"/>
  <c r="E39" i="43"/>
  <c r="G39" i="43"/>
  <c r="I39" i="43" s="1"/>
  <c r="C13" i="67"/>
  <c r="C75" i="67" s="1"/>
  <c r="J59" i="67"/>
  <c r="J60" i="67" s="1"/>
  <c r="L46" i="67" s="1"/>
  <c r="G37" i="43"/>
  <c r="I37" i="43" s="1"/>
  <c r="E37" i="43"/>
  <c r="C30" i="43"/>
  <c r="G38" i="43"/>
  <c r="I38" i="43" s="1"/>
  <c r="E38" i="43"/>
  <c r="G42" i="43"/>
  <c r="I42" i="43" s="1"/>
  <c r="E42" i="43"/>
  <c r="C57" i="67"/>
  <c r="C64" i="67" s="1"/>
  <c r="C36" i="67"/>
  <c r="J14" i="67"/>
  <c r="J13" i="67" s="1"/>
  <c r="J23"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61" i="67"/>
  <c r="C31" i="43" l="1"/>
  <c r="C37" i="67"/>
  <c r="C56" i="67"/>
  <c r="C65" i="67" s="1"/>
  <c r="B2" i="43"/>
  <c r="Q48" i="67"/>
  <c r="Q70" i="67"/>
  <c r="J22"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J63" i="40"/>
  <c r="I65" i="40"/>
  <c r="K52" i="37"/>
  <c r="J68" i="39"/>
  <c r="I70" i="39"/>
  <c r="E9" i="71"/>
  <c r="B8" i="71"/>
  <c r="C18" i="71"/>
  <c r="D19" i="71"/>
  <c r="E6" i="76"/>
  <c r="B6" i="76"/>
  <c r="M21" i="15"/>
  <c r="F35" i="15"/>
  <c r="M21" i="67"/>
  <c r="F35" i="67"/>
  <c r="E2" i="76" l="1"/>
  <c r="B2" i="76"/>
  <c r="B3" i="43"/>
  <c r="Q70" i="15"/>
  <c r="C56" i="15"/>
  <c r="C65" i="15" s="1"/>
  <c r="C64" i="15"/>
  <c r="J13" i="15"/>
  <c r="J23" i="15" s="1"/>
  <c r="C42" i="11"/>
  <c r="C37" i="15"/>
  <c r="Q48" i="15"/>
  <c r="F63" i="15"/>
  <c r="C62" i="15" s="1"/>
  <c r="C59" i="15" s="1"/>
  <c r="C58" i="15" s="1"/>
  <c r="C67" i="15" s="1"/>
  <c r="C68" i="15" s="1"/>
  <c r="C71"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27" i="12"/>
  <c r="C25" i="12" s="1"/>
  <c r="C32" i="12" s="1"/>
  <c r="B2" i="12" s="1"/>
  <c r="B3" i="12" s="1"/>
  <c r="C39" i="69"/>
  <c r="C42" i="69"/>
  <c r="C39" i="68"/>
  <c r="C43" i="68" s="1"/>
  <c r="C42" i="68"/>
  <c r="E8" i="71"/>
  <c r="B7" i="71"/>
  <c r="J65" i="40"/>
  <c r="K63" i="40"/>
  <c r="J70" i="39"/>
  <c r="K68" i="39"/>
  <c r="L52" i="37"/>
  <c r="D18" i="71"/>
  <c r="C17" i="71"/>
  <c r="L51" i="67"/>
  <c r="B3" i="76" l="1"/>
  <c r="J16" i="15"/>
  <c r="J25" i="15" s="1"/>
  <c r="C41" i="11"/>
  <c r="C49" i="11" s="1"/>
  <c r="C51" i="11" s="1"/>
  <c r="C52" i="11" s="1"/>
  <c r="B2" i="11" s="1"/>
  <c r="B3" i="11" s="1"/>
  <c r="C30" i="15"/>
  <c r="C39" i="15" s="1"/>
  <c r="C80" i="15" s="1"/>
  <c r="C79" i="15" s="1"/>
  <c r="L57" i="67"/>
  <c r="L60" i="67" s="1"/>
  <c r="Q57" i="67" s="1"/>
  <c r="Q67" i="67"/>
  <c r="Q69" i="67"/>
  <c r="Q68" i="67" s="1"/>
  <c r="C40" i="67"/>
  <c r="C80" i="67"/>
  <c r="C79" i="67" s="1"/>
  <c r="C41" i="68"/>
  <c r="C22" i="68"/>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C46" i="15"/>
  <c r="B2" i="15"/>
  <c r="B3" i="15" s="1"/>
  <c r="Q65" i="15"/>
  <c r="Q75" i="15" s="1"/>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F14" i="74"/>
  <c r="E14" i="74"/>
  <c r="B53" i="72"/>
  <c r="B20" i="72"/>
  <c r="D52" i="9"/>
  <c r="D53" i="9"/>
  <c r="C6" i="74"/>
  <c r="D6" i="74"/>
  <c r="C105" i="9"/>
  <c r="I4" i="52"/>
  <c r="B32" i="72"/>
  <c r="C104" i="9"/>
  <c r="H4" i="52"/>
  <c r="D54" i="9"/>
  <c r="C93" i="9"/>
  <c r="C86" i="9"/>
  <c r="B6" i="74"/>
  <c r="N58" i="9"/>
  <c r="P57" i="9"/>
  <c r="D6" i="53"/>
  <c r="B22" i="72"/>
  <c r="C96" i="9"/>
  <c r="E96" i="9"/>
  <c r="E97" i="9"/>
  <c r="D14" i="53"/>
  <c r="D13" i="53"/>
  <c r="B30" i="72"/>
  <c r="M54" i="9"/>
  <c r="G4" i="52"/>
  <c r="B52" i="72"/>
  <c r="N61" i="9"/>
  <c r="N59" i="9"/>
  <c r="N60" i="9"/>
  <c r="C78" i="9"/>
  <c r="C73" i="9"/>
  <c r="H119" i="9"/>
  <c r="H5" i="52"/>
  <c r="M48" i="9"/>
  <c r="D5" i="53"/>
  <c r="D8" i="52"/>
  <c r="G14" i="74"/>
  <c r="D122" i="9"/>
  <c r="D123" i="9"/>
  <c r="D9" i="52"/>
  <c r="D5" i="74"/>
  <c r="D14" i="74"/>
  <c r="B5" i="74"/>
  <c r="C5" i="74"/>
  <c r="D55" i="9"/>
  <c r="M53" i="9"/>
  <c r="N57" i="9"/>
  <c r="C81" i="9"/>
  <c r="D4" i="52"/>
  <c r="B47" i="72"/>
  <c r="C85" i="9"/>
  <c r="C95" i="9"/>
  <c r="C97" i="9"/>
  <c r="D58" i="9"/>
  <c r="D56" i="9"/>
  <c r="D118" i="9"/>
  <c r="D119" i="9"/>
  <c r="D5" i="52"/>
  <c r="B49" i="72"/>
  <c r="C68" i="9"/>
  <c r="H102" i="9"/>
  <c r="D7" i="53"/>
  <c r="B21" i="72"/>
  <c r="H107" i="9"/>
  <c r="H108" i="9"/>
  <c r="D15" i="53"/>
  <c r="B31" i="72"/>
  <c r="C72" i="9"/>
  <c r="C79" i="9"/>
  <c r="C80" i="9"/>
  <c r="E80" i="9"/>
  <c r="E81" i="9"/>
  <c r="E118" i="9"/>
  <c r="E4" i="52"/>
  <c r="B48" i="72"/>
  <c r="F4" i="52"/>
  <c r="B51" i="72"/>
  <c r="I118" i="9"/>
  <c r="H118" i="9"/>
  <c r="H101" i="9"/>
  <c r="D45" i="9"/>
  <c r="C64" i="9"/>
  <c r="C63" i="9"/>
  <c r="C67" i="9"/>
  <c r="D59" i="9"/>
  <c r="M55"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<sst xmlns="http://schemas.openxmlformats.org/spreadsheetml/2006/main" count="8084" uniqueCount="3113">
  <si>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</si>
  <si>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</si>
  <si>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</si>
  <si>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</si>
  <si>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</si>
  <si>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</si>
  <si>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</si>
  <si>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</si>
  <si>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</si>
  <si>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</si>
  <si>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</si>
  <si>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</si>
  <si>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</si>
  <si>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</si>
  <si>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</si>
  <si>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</si>
  <si>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</si>
  <si>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</si>
  <si>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</si>
  <si>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</si>
  <si>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</si>
  <si>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</si>
  <si>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</si>
  <si>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</si>
  <si>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</si>
  <si>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</si>
  <si>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</si>
  <si>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</si>
  <si>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</si>
  <si>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</si>
  <si>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</si>
  <si>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</si>
  <si>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</si>
  <si>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</si>
  <si>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</si>
  <si>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</si>
  <si>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</si>
  <si>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</si>
  <si>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</si>
  <si>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</si>
  <si>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</si>
  <si>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</si>
  <si>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</si>
  <si>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</si>
  <si>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</si>
  <si>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</si>
  <si>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</si>
  <si>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</si>
  <si>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</si>
  <si>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</si>
  <si>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</si>
  <si>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</si>
  <si>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</si>
  <si>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</si>
  <si>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</si>
  <si>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</si>
  <si>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</si>
  <si>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</si>
  <si>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</si>
  <si>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</si>
  <si>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</si>
  <si>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</si>
  <si>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</si>
  <si>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</si>
  <si>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</si>
  <si>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</si>
  <si>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</si>
  <si>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</si>
  <si>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</si>
  <si>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</si>
  <si>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</si>
  <si>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</si>
  <si>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</si>
  <si>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</si>
  <si>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</si>
  <si>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</si>
  <si>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</si>
  <si>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</si>
  <si>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</si>
  <si>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</si>
  <si>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</si>
  <si>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</si>
  <si>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</si>
  <si>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</si>
  <si>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</si>
  <si>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</si>
  <si>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</si>
  <si>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</si>
  <si>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</si>
  <si>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</si>
  <si>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</si>
  <si>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</si>
  <si>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</si>
  <si>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</si>
  <si>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</si>
  <si>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</si>
  <si>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</si>
  <si>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</si>
  <si>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</si>
  <si>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</si>
  <si>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</si>
  <si>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</si>
  <si>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</si>
  <si>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</si>
  <si>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</si>
  <si>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</si>
  <si>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</si>
  <si>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</si>
  <si>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</si>
  <si>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</si>
  <si>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</si>
  <si>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</si>
  <si>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</si>
  <si>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</si>
  <si>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</si>
  <si>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</si>
  <si>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</si>
  <si>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</si>
  <si>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</si>
  <si>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</si>
  <si>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</si>
  <si>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</si>
  <si>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</si>
  <si>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</si>
  <si>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</si>
  <si>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</si>
  <si>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</si>
  <si>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</si>
  <si>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</si>
  <si>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</si>
  <si>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</si>
  <si>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</si>
  <si>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</si>
  <si>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</si>
  <si>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</si>
  <si>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</si>
  <si>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</si>
  <si>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</si>
  <si>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</si>
  <si>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</si>
  <si>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</si>
  <si>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</si>
  <si>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</si>
  <si>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</si>
  <si>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</si>
  <si>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</si>
  <si>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</si>
  <si>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</si>
  <si>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</si>
  <si>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</si>
  <si>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</si>
  <si>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</si>
  <si>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</si>
  <si>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</si>
  <si>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</si>
  <si>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</si>
  <si>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</si>
  <si>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</si>
  <si>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</si>
  <si>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</si>
  <si>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</si>
  <si>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</si>
  <si>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</si>
  <si>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</si>
  <si>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</si>
  <si>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</si>
  <si>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</si>
  <si>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</si>
  <si>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</si>
  <si>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</si>
  <si>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</si>
  <si>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</si>
  <si>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</si>
  <si>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</si>
  <si>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</si>
  <si>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</si>
  <si>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</si>
  <si>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</si>
  <si>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</si>
  <si>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</si>
  <si>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</si>
  <si>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</si>
  <si>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</si>
  <si>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</si>
  <si>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</si>
  <si>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</si>
  <si>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</si>
  <si>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</si>
  <si>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</si>
  <si>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</si>
  <si>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</si>
  <si>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</si>
  <si>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</si>
  <si>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</si>
  <si>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</si>
  <si>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</si>
  <si>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</si>
  <si>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</si>
  <si>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</si>
  <si>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</si>
  <si>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</si>
  <si>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</si>
  <si>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</si>
  <si>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</si>
  <si>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</si>
  <si>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</si>
  <si>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</si>
  <si>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</si>
  <si>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</si>
  <si>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</si>
  <si>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</si>
  <si>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</si>
  <si>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</si>
  <si>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</si>
  <si>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</si>
  <si>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</si>
  <si>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</si>
  <si>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</si>
  <si>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</si>
  <si>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</si>
  <si>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</si>
  <si>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</si>
  <si>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</si>
  <si>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</si>
  <si>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</si>
  <si>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</si>
  <si>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</si>
  <si>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</si>
  <si>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</si>
  <si>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</si>
  <si>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</si>
  <si>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</si>
  <si>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</si>
  <si>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</si>
  <si>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</si>
  <si>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</si>
  <si>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</si>
  <si>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</si>
  <si>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</si>
  <si>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</si>
  <si>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</si>
  <si>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</si>
  <si>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</si>
  <si>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</si>
  <si>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</si>
  <si>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</si>
  <si>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</si>
  <si>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</si>
  <si>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</si>
  <si>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</si>
  <si>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</si>
  <si>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</si>
  <si>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</si>
  <si>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</si>
  <si>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</si>
  <si>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</si>
  <si>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</si>
  <si>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</si>
  <si>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</si>
  <si>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</si>
  <si>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</si>
  <si>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</si>
  <si>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</si>
  <si>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</si>
  <si>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</si>
  <si>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</si>
  <si>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</si>
  <si>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</si>
  <si>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</si>
  <si>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</si>
  <si>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</si>
  <si>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</si>
  <si>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</si>
  <si>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</si>
  <si>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</si>
  <si>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</si>
  <si>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</si>
  <si>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</si>
  <si>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</si>
  <si>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</si>
  <si>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</si>
  <si>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</si>
  <si>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</si>
  <si>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</si>
  <si>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</si>
  <si>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</si>
  <si>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</si>
  <si>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</si>
  <si>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</si>
  <si>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</si>
  <si>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</si>
  <si>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</si>
  <si>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</si>
  <si>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</si>
  <si>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</si>
  <si>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</si>
  <si>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</si>
  <si>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</si>
  <si>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</si>
  <si>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</si>
  <si>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</si>
  <si>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</si>
  <si>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</si>
  <si>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</si>
  <si>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</si>
  <si>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</si>
  <si>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</si>
  <si>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</si>
  <si>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</si>
  <si>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</si>
  <si>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</si>
  <si>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</si>
  <si>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</si>
  <si>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</si>
  <si>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</si>
  <si>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</si>
  <si>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</si>
  <si>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</si>
  <si>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</si>
  <si>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</si>
  <si>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</si>
  <si>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</si>
  <si>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</si>
  <si>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</si>
  <si>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</si>
  <si>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</si>
  <si>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</si>
  <si>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</si>
  <si>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</si>
  <si>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</si>
  <si>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</si>
  <si>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</si>
  <si>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</si>
  <si>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</si>
  <si>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</si>
  <si>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</si>
  <si>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</si>
  <si>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</si>
  <si>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</si>
  <si>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</si>
  <si>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</si>
  <si>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</si>
  <si>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</si>
  <si>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</si>
  <si>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</si>
  <si>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</si>
  <si>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</si>
  <si>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</si>
  <si>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</si>
  <si>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</si>
  <si>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</si>
  <si>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</si>
  <si>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</si>
  <si>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</si>
  <si>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</si>
  <si>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</si>
  <si>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</si>
  <si>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</si>
  <si>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</si>
  <si>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</si>
  <si>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</si>
  <si>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</si>
  <si>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</si>
  <si>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</si>
  <si>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</si>
  <si>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</si>
  <si>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</si>
  <si>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</si>
  <si>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</si>
  <si>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</si>
  <si>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</si>
  <si>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</si>
  <si>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</si>
  <si>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</si>
  <si>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</si>
  <si>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</si>
  <si>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</si>
  <si>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</si>
  <si>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</si>
  <si>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</si>
  <si>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</si>
  <si>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</si>
  <si>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</si>
  <si>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</si>
  <si>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</si>
  <si>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</si>
  <si>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</si>
  <si>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</si>
  <si>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</si>
  <si>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</si>
  <si>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</si>
  <si>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</si>
  <si>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</si>
  <si>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</si>
  <si>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</si>
  <si>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</si>
  <si>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</si>
  <si>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</si>
  <si>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</si>
  <si>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</si>
  <si>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</si>
  <si>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</si>
  <si>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</si>
  <si>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</si>
  <si>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</si>
  <si>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</si>
  <si>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</si>
  <si>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</si>
  <si>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</si>
  <si>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</si>
  <si>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</si>
  <si>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</si>
  <si>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</si>
  <si>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</si>
  <si>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</si>
  <si>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</si>
  <si>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</si>
  <si>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</si>
  <si>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</si>
  <si>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</si>
  <si>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</si>
  <si>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</si>
  <si>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</si>
  <si>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</si>
  <si>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</si>
  <si>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</si>
  <si>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</si>
  <si>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</si>
  <si>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</si>
  <si>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</si>
  <si>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</si>
  <si>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</si>
  <si>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</si>
  <si>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</si>
  <si>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</si>
  <si>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</si>
  <si>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</si>
  <si>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</si>
  <si>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</si>
  <si>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</si>
  <si>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</si>
  <si>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</si>
  <si>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</si>
  <si>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</si>
  <si>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</si>
  <si>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</si>
  <si>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</si>
  <si>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</si>
  <si>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</si>
  <si>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</si>
  <si>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</si>
  <si>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</si>
  <si>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</si>
  <si>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</si>
  <si>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</si>
  <si>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</si>
  <si>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</si>
  <si>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</si>
  <si>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</si>
  <si>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</si>
  <si>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</si>
  <si>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</si>
  <si>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</si>
  <si>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</si>
  <si>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</si>
  <si>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</si>
  <si>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</si>
  <si>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</si>
  <si>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</si>
  <si>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</si>
  <si>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</si>
  <si>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</si>
  <si>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</si>
  <si>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</si>
  <si>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</si>
  <si>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</si>
  <si>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</si>
  <si>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</si>
  <si>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</si>
  <si>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</si>
  <si>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</si>
  <si>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</si>
  <si>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</si>
  <si>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</si>
  <si>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</si>
  <si>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</si>
  <si>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</si>
  <si>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</si>
  <si>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</si>
  <si>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</si>
  <si>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</si>
  <si>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</si>
  <si>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</si>
  <si>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</si>
  <si>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</si>
  <si>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</si>
  <si>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</si>
  <si>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</si>
  <si>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</si>
  <si>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</si>
  <si>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</si>
  <si>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</si>
  <si>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</si>
  <si>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</si>
  <si>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</si>
  <si>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</si>
  <si>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</si>
  <si>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</si>
  <si>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</si>
  <si>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</si>
  <si>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</si>
  <si>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</si>
  <si>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</si>
  <si>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</si>
  <si>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</si>
  <si>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</si>
  <si>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</si>
  <si>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</si>
  <si>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</si>
  <si>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</si>
  <si>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</si>
  <si>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</si>
  <si>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</si>
  <si>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</si>
  <si>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</si>
  <si>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</si>
  <si>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</si>
  <si>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</si>
  <si>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</si>
  <si>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</si>
  <si>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</si>
  <si>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</si>
  <si>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</si>
  <si>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</si>
  <si>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</si>
  <si>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</si>
  <si>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</si>
  <si>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</si>
  <si>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</si>
  <si>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</si>
  <si>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</si>
  <si>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</si>
  <si>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</si>
  <si>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</si>
  <si>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</si>
  <si>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</si>
  <si>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</si>
  <si>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</si>
  <si>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</si>
  <si>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</si>
  <si>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</si>
  <si>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</si>
  <si>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</si>
  <si>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</si>
  <si>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</si>
  <si>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</si>
  <si>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</si>
  <si>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</si>
  <si>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</si>
  <si>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</si>
  <si>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</si>
  <si>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</si>
  <si>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</si>
  <si>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</si>
  <si>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</si>
  <si>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</si>
  <si>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</si>
  <si>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</si>
  <si>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</si>
  <si>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</si>
  <si>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</si>
  <si>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</si>
  <si>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</si>
  <si>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</si>
  <si>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</si>
  <si>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</si>
  <si>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</si>
  <si>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</si>
  <si>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</si>
  <si>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</si>
  <si>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</si>
  <si>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</si>
  <si>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</si>
  <si>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</si>
  <si>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</si>
  <si>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</si>
  <si>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</si>
  <si>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</si>
  <si>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</si>
  <si>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</si>
  <si>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</si>
  <si>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</si>
  <si>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</si>
  <si>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</si>
  <si>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</si>
  <si>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</si>
  <si>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</si>
  <si>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</si>
  <si>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</si>
  <si>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</si>
  <si>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</si>
  <si>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</si>
  <si>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</si>
  <si>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</si>
  <si>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</si>
  <si>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</si>
  <si>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</si>
  <si>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</si>
  <si>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</si>
  <si>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</si>
  <si>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</si>
  <si>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</si>
  <si>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</si>
  <si>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</si>
  <si>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</si>
  <si>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</si>
  <si>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</si>
  <si>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</si>
  <si>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</si>
  <si>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</si>
  <si>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</si>
  <si>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</si>
  <si>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</si>
  <si>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</si>
  <si>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</si>
  <si>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</si>
  <si>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</si>
  <si>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</si>
  <si>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</si>
  <si>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</si>
  <si>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</si>
  <si>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</si>
  <si>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</si>
  <si>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</si>
  <si>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</si>
  <si>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</si>
  <si>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</si>
  <si>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</si>
  <si>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</si>
  <si>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</si>
  <si>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</si>
  <si>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</si>
  <si>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</si>
  <si>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</si>
  <si>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</si>
  <si>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</si>
  <si>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</si>
  <si>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</si>
  <si>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</si>
  <si>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</si>
  <si>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</si>
  <si>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</si>
  <si>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</si>
  <si>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</si>
  <si>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</si>
  <si>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</si>
  <si>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</si>
  <si>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</si>
  <si>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</si>
  <si>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</si>
  <si>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</si>
  <si>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</si>
  <si>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</si>
  <si>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</si>
  <si>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</si>
  <si>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</si>
  <si>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</si>
  <si>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</si>
  <si>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</si>
  <si>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</si>
  <si>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</si>
  <si>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</si>
  <si>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</si>
  <si>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</si>
  <si>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</si>
  <si>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</si>
  <si>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</si>
  <si>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</si>
  <si>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</si>
  <si>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</si>
  <si>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</si>
  <si>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</si>
  <si>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</si>
  <si>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</si>
  <si>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</si>
  <si>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</si>
  <si>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</si>
  <si>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</si>
  <si>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</si>
  <si>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</si>
  <si>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</si>
  <si>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</si>
  <si>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</si>
  <si>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</si>
  <si>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</si>
  <si>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</si>
  <si>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</si>
  <si>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</si>
  <si>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</si>
  <si>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</si>
  <si>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</si>
  <si>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</si>
  <si>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</si>
  <si>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</si>
  <si>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</si>
  <si>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</si>
  <si>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</si>
  <si>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</si>
  <si>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</si>
  <si>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</si>
  <si>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</si>
  <si>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</si>
  <si>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</si>
  <si>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</si>
  <si>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</si>
  <si>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</si>
  <si>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</si>
  <si>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</si>
  <si>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</si>
  <si>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</si>
  <si>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</si>
  <si>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</si>
  <si>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</si>
  <si>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</si>
  <si>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</si>
  <si>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</si>
  <si>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</si>
  <si>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</si>
  <si>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</si>
  <si>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</si>
  <si>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</si>
  <si>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</si>
  <si>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</si>
  <si>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</si>
  <si>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</si>
  <si>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</si>
  <si>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</si>
  <si>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</si>
  <si>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</si>
  <si>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</si>
  <si>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</si>
  <si>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</si>
  <si>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</si>
  <si>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</si>
  <si>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</si>
  <si>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</si>
  <si>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</si>
  <si>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</si>
  <si>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</si>
  <si>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</si>
  <si>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</si>
  <si>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</si>
  <si>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</si>
  <si>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</si>
  <si>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</si>
  <si>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</si>
  <si>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</si>
  <si>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</si>
  <si>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</si>
  <si>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</si>
  <si>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</si>
  <si>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</si>
  <si>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</si>
  <si>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</si>
  <si>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</si>
  <si>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</si>
  <si>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</si>
  <si>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</si>
  <si>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</si>
  <si>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</si>
  <si>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</si>
  <si>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</si>
  <si>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</si>
  <si>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</si>
  <si>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</si>
  <si>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</si>
  <si>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</si>
  <si>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</si>
  <si>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</si>
  <si>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</si>
  <si>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</si>
  <si>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</si>
  <si>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</si>
  <si>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</si>
  <si>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</si>
  <si>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</si>
  <si>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</si>
  <si>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</si>
  <si>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</si>
  <si>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</si>
  <si>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</si>
  <si>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</si>
  <si>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</si>
  <si>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</si>
  <si>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</si>
  <si>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</si>
  <si>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</si>
  <si>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</si>
  <si>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</si>
  <si>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</si>
  <si>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</si>
  <si>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</si>
  <si>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</si>
  <si>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</si>
  <si>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</si>
  <si>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</si>
  <si>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</si>
  <si>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</si>
  <si>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</si>
  <si>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</si>
  <si>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</si>
  <si>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</si>
  <si>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</si>
  <si>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</si>
  <si>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</si>
  <si>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</si>
  <si>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</si>
  <si>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</si>
  <si>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</si>
  <si>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</si>
  <si>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</si>
  <si>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</si>
  <si>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</si>
  <si>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</si>
  <si>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</si>
  <si>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</si>
  <si>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</si>
  <si>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</si>
  <si>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</si>
  <si>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</si>
  <si>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</si>
  <si>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</si>
  <si>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</si>
  <si>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</si>
  <si>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</si>
  <si>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</si>
  <si>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</si>
  <si>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</si>
  <si>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</si>
  <si>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</si>
  <si>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</si>
  <si>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</si>
  <si>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</si>
  <si>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</si>
  <si>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</si>
  <si>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</si>
  <si>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</si>
  <si>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</si>
  <si>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</si>
  <si>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</si>
  <si>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</si>
  <si>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</si>
  <si>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</si>
  <si>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</si>
  <si>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</si>
  <si>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</si>
  <si>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</si>
  <si>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</si>
  <si>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</si>
  <si>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</si>
  <si>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</si>
  <si>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</si>
  <si>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</si>
  <si>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</si>
  <si>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</si>
  <si>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</si>
  <si>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</si>
  <si>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</si>
  <si>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</si>
  <si>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</si>
  <si>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</si>
  <si>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</si>
  <si>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</si>
  <si>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</si>
  <si>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</si>
  <si>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</si>
  <si>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</si>
  <si>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</si>
  <si>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</si>
  <si>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</si>
  <si>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</si>
  <si>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</si>
  <si>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</si>
  <si>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</si>
  <si>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</si>
  <si>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</si>
  <si>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</si>
  <si>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</si>
  <si>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</si>
  <si>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</si>
  <si>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</si>
  <si>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</si>
  <si>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</si>
  <si>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</si>
  <si>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</si>
  <si>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</si>
  <si>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</si>
  <si>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</si>
  <si>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</si>
  <si>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</si>
  <si>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</si>
  <si>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</si>
  <si>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</si>
  <si>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</si>
  <si>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</si>
  <si>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</si>
  <si>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</si>
  <si>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</si>
  <si>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</si>
  <si>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</si>
  <si>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</si>
  <si>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</si>
  <si>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</si>
  <si>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</si>
  <si>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</si>
  <si>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</si>
  <si>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</si>
  <si>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</si>
  <si>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</si>
  <si>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</si>
  <si>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</si>
  <si>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</si>
  <si>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</si>
  <si>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</si>
  <si>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</si>
  <si>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</si>
  <si>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</si>
  <si>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</si>
  <si>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</si>
  <si>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</si>
  <si>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</si>
  <si>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</si>
  <si>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</si>
  <si>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</si>
  <si>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</si>
  <si>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</si>
  <si>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</si>
  <si>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</si>
  <si>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</si>
  <si>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</si>
  <si>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</si>
  <si>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</si>
  <si>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</si>
  <si>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</si>
  <si>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</si>
  <si>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</si>
  <si>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</si>
  <si>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</si>
  <si>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</si>
  <si>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</si>
  <si>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</si>
  <si>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</si>
  <si>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</si>
  <si>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</si>
  <si>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</si>
  <si>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</si>
  <si>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</si>
  <si>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</si>
  <si>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</si>
  <si>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</si>
  <si>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</si>
  <si>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</si>
  <si>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</si>
  <si>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</si>
  <si>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</si>
  <si>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</si>
  <si>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</si>
  <si>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</si>
  <si>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</si>
  <si>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</si>
  <si>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</si>
  <si>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</si>
  <si>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</si>
  <si>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</si>
  <si>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</si>
  <si>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</si>
  <si>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</si>
  <si>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</si>
  <si>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</si>
  <si>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</si>
  <si>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</si>
  <si>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</si>
  <si>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</si>
  <si>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</si>
  <si>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</si>
  <si>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</si>
  <si>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</si>
  <si>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</si>
  <si>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</si>
  <si>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</si>
  <si>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</si>
  <si>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</si>
  <si>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</si>
  <si>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</si>
  <si>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</si>
  <si>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</si>
  <si>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</si>
  <si>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</si>
  <si>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</si>
  <si>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</si>
  <si>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</si>
  <si>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</si>
  <si>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</si>
  <si>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</si>
  <si>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</si>
  <si>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</si>
  <si>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</si>
  <si>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</si>
  <si>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</si>
  <si>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</si>
  <si>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</si>
  <si>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</si>
  <si>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</si>
  <si>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</si>
  <si>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</si>
  <si>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</si>
  <si>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</si>
  <si>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</si>
  <si>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</si>
  <si>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</si>
  <si>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</si>
  <si>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</si>
  <si>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</si>
  <si>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</si>
  <si>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</si>
  <si>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</si>
  <si>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</si>
  <si>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</si>
  <si>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</si>
  <si>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</si>
  <si>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</si>
  <si>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</si>
  <si>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</si>
  <si>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</si>
  <si>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</si>
  <si>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</si>
  <si>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</si>
  <si>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</si>
  <si>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</si>
  <si>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</si>
  <si>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</si>
  <si>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</si>
  <si>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</si>
  <si>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</si>
  <si>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</si>
  <si>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</si>
  <si>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</si>
  <si>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</si>
  <si>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</si>
  <si>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</si>
  <si>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</si>
  <si>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</si>
  <si>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</si>
  <si>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</si>
  <si>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</si>
  <si>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</si>
  <si>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</si>
  <si>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</si>
  <si>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</si>
  <si>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</si>
  <si>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</si>
  <si>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</si>
  <si>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</si>
  <si>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</si>
  <si>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</si>
  <si>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</si>
  <si>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</si>
  <si>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</si>
  <si>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</si>
  <si>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</si>
  <si>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</si>
  <si>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</si>
  <si>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</si>
  <si>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</si>
  <si>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</si>
  <si>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</si>
  <si>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</si>
  <si>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</si>
  <si>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</si>
  <si>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</si>
  <si>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</si>
  <si>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</si>
  <si>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</si>
  <si>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</si>
  <si>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</si>
  <si>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</si>
  <si>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</si>
  <si>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</si>
  <si>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</si>
  <si>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</si>
  <si>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</si>
  <si>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</si>
  <si>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</si>
  <si>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</si>
  <si>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</si>
  <si>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</si>
  <si>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</si>
  <si>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</si>
  <si>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</si>
  <si>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</si>
  <si>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</si>
  <si>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</si>
  <si>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</si>
  <si>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</si>
  <si>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</si>
  <si>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</si>
  <si>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</si>
  <si>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</si>
  <si>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</si>
  <si>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</si>
  <si>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</si>
  <si>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</si>
  <si>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</si>
  <si>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</si>
  <si>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</si>
  <si>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</si>
  <si>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</si>
  <si>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</si>
  <si>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</si>
  <si>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</si>
  <si>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</si>
  <si>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</si>
  <si>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</si>
  <si>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</si>
  <si>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</si>
  <si>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</si>
  <si>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</si>
  <si>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</si>
  <si>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</si>
  <si>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</si>
  <si>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</si>
  <si>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</si>
  <si>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</si>
  <si>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</si>
  <si>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</si>
  <si>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</si>
  <si>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</si>
  <si>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</si>
  <si>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</si>
  <si>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</si>
  <si>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</si>
  <si>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</si>
  <si>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</si>
  <si>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</si>
  <si>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</si>
  <si>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</si>
  <si>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</si>
  <si>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</si>
  <si>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</si>
  <si>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</si>
  <si>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</si>
  <si>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</si>
  <si>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</si>
  <si>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</si>
  <si>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</si>
  <si>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</si>
  <si>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</si>
  <si>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</si>
  <si>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</si>
  <si>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</si>
  <si>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</si>
  <si>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</si>
  <si>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</si>
  <si>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</si>
  <si>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</si>
  <si>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</si>
  <si>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</si>
  <si>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</si>
  <si>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</si>
  <si>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</si>
  <si>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</si>
  <si>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</si>
  <si>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</si>
  <si>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</si>
  <si>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</si>
  <si>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</si>
  <si>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</si>
  <si>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</si>
  <si>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</si>
  <si>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</si>
  <si>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</si>
  <si>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</si>
  <si>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</si>
  <si>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</si>
  <si>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</si>
  <si>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</si>
  <si>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</si>
  <si>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</si>
  <si>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</si>
  <si>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</si>
  <si>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</si>
  <si>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</si>
  <si>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</si>
  <si>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</si>
  <si>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</si>
  <si>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</si>
  <si>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</si>
  <si>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</si>
  <si>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</si>
  <si>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</si>
  <si>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</si>
  <si>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</si>
  <si>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</si>
  <si>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</si>
  <si>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</si>
  <si>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</si>
  <si>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</si>
  <si>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</si>
  <si>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</si>
  <si>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</si>
  <si>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</si>
  <si>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</si>
  <si>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</si>
  <si>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</si>
  <si>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</si>
  <si>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</si>
  <si>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</si>
  <si>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</si>
  <si>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</si>
  <si>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</si>
  <si>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</si>
  <si>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</si>
  <si>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</si>
  <si>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</si>
  <si>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</si>
  <si>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</si>
  <si>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</si>
  <si>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</si>
  <si>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</si>
  <si>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</si>
  <si>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</si>
  <si>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</si>
  <si>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</si>
  <si>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</si>
  <si>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</si>
  <si>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</si>
  <si>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</si>
  <si>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</si>
  <si>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</si>
  <si>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</si>
  <si>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</si>
  <si>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</si>
  <si>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</si>
  <si>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</si>
  <si>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</si>
  <si>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</si>
  <si>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</si>
  <si>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</si>
  <si>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</si>
  <si>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</si>
  <si>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</si>
  <si>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</si>
  <si>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</si>
  <si>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</si>
  <si>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</si>
  <si>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</si>
  <si>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</si>
  <si>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</si>
  <si>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</si>
  <si>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</si>
  <si>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</si>
  <si>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</si>
  <si>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</si>
  <si>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</si>
  <si>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</si>
  <si>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</si>
  <si>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</si>
  <si>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</si>
  <si>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</si>
  <si>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</si>
  <si>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</si>
  <si>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</si>
  <si>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</si>
  <si>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</si>
  <si>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</si>
  <si>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</si>
  <si>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</si>
  <si>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</si>
  <si>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</si>
  <si>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</si>
  <si>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</si>
  <si>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</si>
  <si>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</si>
  <si>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</si>
  <si>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</si>
  <si>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</si>
  <si>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</si>
  <si>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</si>
  <si>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</si>
  <si>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</si>
  <si>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</si>
  <si>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</si>
  <si>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</si>
  <si>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</si>
  <si>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</si>
  <si>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</si>
  <si>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</si>
  <si>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</si>
  <si>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</si>
  <si>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</si>
  <si>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</si>
  <si>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</si>
  <si>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</si>
  <si>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</si>
  <si>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</si>
  <si>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</si>
  <si>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</si>
  <si>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</si>
  <si>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</si>
  <si>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</si>
  <si>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</si>
  <si>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</si>
  <si>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</si>
  <si>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</si>
  <si>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</si>
  <si>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</si>
  <si>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</si>
  <si>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</si>
  <si>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</si>
  <si>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</si>
  <si>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</si>
  <si>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</si>
  <si>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</si>
  <si>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</si>
  <si>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</si>
  <si>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</si>
  <si>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</si>
  <si>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</si>
  <si>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</si>
  <si>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</si>
  <si>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</si>
  <si>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</si>
  <si>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</si>
  <si>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</si>
  <si>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</si>
  <si>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</si>
  <si>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</si>
  <si>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</si>
  <si>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</si>
  <si>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</si>
  <si>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</si>
  <si>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</si>
  <si>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</si>
  <si>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</si>
  <si>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</si>
  <si>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</si>
  <si>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</si>
  <si>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</si>
  <si>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</si>
  <si>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</si>
  <si>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</si>
  <si>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</si>
  <si>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</si>
  <si>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</si>
  <si>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</si>
  <si>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</si>
  <si>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</si>
  <si>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</si>
  <si>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</si>
  <si>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</si>
  <si>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</si>
  <si>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</si>
  <si>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</si>
  <si>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</si>
  <si>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</si>
  <si>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</si>
  <si>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</si>
  <si>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</si>
  <si>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</si>
  <si>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</si>
  <si>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</si>
  <si>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</si>
  <si>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</si>
  <si>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</si>
  <si>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</si>
  <si>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</si>
  <si>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</si>
  <si>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</si>
  <si>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</si>
  <si>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</si>
  <si>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</si>
  <si>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</si>
  <si>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</si>
  <si>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</si>
  <si>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</si>
  <si>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</si>
  <si>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</si>
  <si>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</si>
  <si>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</si>
  <si>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</si>
  <si>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</si>
  <si>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</si>
  <si>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</si>
  <si>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</si>
  <si>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</si>
  <si>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</si>
  <si>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</si>
  <si>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</si>
  <si>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</si>
  <si>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</si>
  <si>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</si>
  <si>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</si>
  <si>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</si>
  <si>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</si>
  <si>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</si>
  <si>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</si>
  <si>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</si>
  <si>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</si>
  <si>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</si>
  <si>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</si>
  <si>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</si>
  <si>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</si>
  <si>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</si>
  <si>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</si>
  <si>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</si>
  <si>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</si>
  <si>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</si>
  <si>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</si>
  <si>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</si>
  <si>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</si>
  <si>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</si>
  <si>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</si>
  <si>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</si>
  <si>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</si>
  <si>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</si>
  <si>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</si>
  <si>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</si>
  <si>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</si>
  <si>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</si>
  <si>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</si>
  <si>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</si>
  <si>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</si>
  <si>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</si>
  <si>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</si>
  <si>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</si>
  <si>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</si>
  <si>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</si>
  <si>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</si>
  <si>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</si>
  <si>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</si>
  <si>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</si>
  <si>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</si>
  <si>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</si>
  <si>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</si>
  <si>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</si>
  <si>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</si>
  <si>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</si>
  <si>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</si>
  <si>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</si>
  <si>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</si>
  <si>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</si>
  <si>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</si>
  <si>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</si>
  <si>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</si>
  <si>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</si>
  <si>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</si>
  <si>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</si>
  <si>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</si>
  <si>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</si>
  <si>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</si>
  <si>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</si>
  <si>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</si>
  <si>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</si>
  <si>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</si>
  <si>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</si>
  <si>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</si>
  <si>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</si>
  <si>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</si>
  <si>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</si>
  <si>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</si>
  <si>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</si>
  <si>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</si>
  <si>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</si>
  <si>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</si>
  <si>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</si>
  <si>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</si>
  <si>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</si>
  <si>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</si>
  <si>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</si>
  <si>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</si>
  <si>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</si>
  <si>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</si>
  <si>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</si>
  <si>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</si>
  <si>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</si>
  <si>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</si>
  <si>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</si>
  <si>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</si>
  <si>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</si>
  <si>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</si>
  <si>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</si>
  <si>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</si>
  <si>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</si>
  <si>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</si>
  <si>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</si>
  <si>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</si>
  <si>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</si>
  <si>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</si>
  <si>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</si>
  <si>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</si>
  <si>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</si>
  <si>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</si>
  <si>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</si>
  <si>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</si>
  <si>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</si>
  <si>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</si>
  <si>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</si>
  <si>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</si>
  <si>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</si>
  <si>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</si>
  <si>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</si>
  <si>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</si>
  <si>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</si>
  <si>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</si>
  <si>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</si>
  <si>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</si>
  <si>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</si>
  <si>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</si>
  <si>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</si>
  <si>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</si>
  <si>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</si>
  <si>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</si>
  <si>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</si>
  <si>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</si>
  <si>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</si>
  <si>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</si>
  <si>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</si>
  <si>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</si>
  <si>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</si>
  <si>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</si>
  <si>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</si>
  <si>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</si>
  <si>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</si>
  <si>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</si>
  <si>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</si>
  <si>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</si>
  <si>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</si>
  <si>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</si>
  <si>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</si>
  <si>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</si>
  <si>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</si>
  <si>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</si>
  <si>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</si>
  <si>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</si>
  <si>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</si>
  <si>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</si>
  <si>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</si>
  <si>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</si>
  <si>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</si>
  <si>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</si>
  <si>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</si>
  <si>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</si>
  <si>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</si>
  <si>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</si>
  <si>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</si>
  <si>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</si>
  <si>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</si>
  <si>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</si>
  <si>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</si>
  <si>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</si>
  <si>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</si>
  <si>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</si>
  <si>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</si>
  <si>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</si>
  <si>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</si>
  <si>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</si>
  <si>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</si>
  <si>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</si>
  <si>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</si>
  <si>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</si>
  <si>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</si>
  <si>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</si>
  <si>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</si>
  <si>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</si>
  <si>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</si>
  <si>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</si>
  <si>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</si>
  <si>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</si>
  <si>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</si>
  <si>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</si>
  <si>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</si>
  <si>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</si>
  <si>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</si>
  <si>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</si>
  <si>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</si>
  <si>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</si>
  <si>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</si>
  <si>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</si>
  <si>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</si>
  <si>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</si>
  <si>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</si>
  <si>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</si>
  <si>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</si>
  <si>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</si>
  <si>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</si>
  <si>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</si>
  <si>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</si>
  <si>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</si>
  <si>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</si>
  <si>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</si>
  <si>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</si>
  <si>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</si>
  <si>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</si>
  <si>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</si>
  <si>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</si>
  <si>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</si>
  <si>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</si>
  <si>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</si>
  <si>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</si>
  <si>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</si>
  <si>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</si>
  <si>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</si>
  <si>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</si>
  <si>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</si>
  <si>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</si>
  <si>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</si>
  <si>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</si>
  <si>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</si>
  <si>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</si>
  <si>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</si>
  <si>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</si>
  <si>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</si>
  <si>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</si>
  <si>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</si>
  <si>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</si>
  <si>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</si>
  <si>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</si>
  <si>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</si>
  <si>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</si>
  <si>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</si>
  <si>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</si>
  <si>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</si>
  <si>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</si>
  <si>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</si>
  <si>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</si>
  <si>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</si>
  <si>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</si>
  <si>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</si>
  <si>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</si>
  <si>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</si>
  <si>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</si>
  <si>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</si>
  <si>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</si>
  <si>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</si>
  <si>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</si>
  <si>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</si>
  <si>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</si>
  <si>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</si>
  <si>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</si>
  <si>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</si>
  <si>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</si>
  <si>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</si>
  <si>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</si>
  <si>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</si>
  <si>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</si>
  <si>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</si>
  <si>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</si>
  <si>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</si>
  <si>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</si>
  <si>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</si>
  <si>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</si>
  <si>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</si>
  <si>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</si>
  <si>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</si>
  <si>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</si>
  <si>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</si>
  <si>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</si>
  <si>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</si>
  <si>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</si>
  <si>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</si>
  <si>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</si>
  <si>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</si>
  <si>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</si>
  <si>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</si>
  <si>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</si>
  <si>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</si>
  <si>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</si>
  <si>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</si>
  <si>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</si>
  <si>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</si>
  <si>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</si>
  <si>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</si>
  <si>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</si>
  <si>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</si>
  <si>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</si>
  <si>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</si>
  <si>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</si>
  <si>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</si>
  <si>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</si>
  <si>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</si>
  <si>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</si>
  <si>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</si>
  <si>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</si>
  <si>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</si>
  <si>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</si>
  <si>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</si>
  <si>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</si>
  <si>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</si>
  <si>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</si>
  <si>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</si>
  <si>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</si>
  <si>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</si>
  <si>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</si>
  <si>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</si>
  <si>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</si>
  <si>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</si>
  <si>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</si>
  <si>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</si>
  <si>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</si>
  <si>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</si>
  <si>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</si>
  <si>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</si>
  <si>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</si>
  <si>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</si>
  <si>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</si>
  <si>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</si>
  <si>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</si>
  <si>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</si>
  <si>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</si>
  <si>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</si>
  <si>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</si>
  <si>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</si>
  <si>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</si>
  <si>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</si>
  <si>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</si>
  <si>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</si>
  <si>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</si>
  <si>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</si>
  <si>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</si>
  <si>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</si>
  <si>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</si>
  <si>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</si>
  <si>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</si>
  <si>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</si>
  <si>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</si>
  <si>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</si>
  <si>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</si>
  <si>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</si>
  <si>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</si>
  <si>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</si>
  <si>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</si>
  <si>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</si>
  <si>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</si>
  <si>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</si>
  <si>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</si>
  <si>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</si>
  <si>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</si>
  <si>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</si>
  <si>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</si>
  <si>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</si>
  <si>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</si>
  <si>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</si>
  <si>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</si>
  <si>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</si>
  <si>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</si>
  <si>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</si>
  <si>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</si>
  <si>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</si>
  <si>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</si>
  <si>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</si>
  <si>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</si>
  <si>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</si>
  <si>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</si>
  <si>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</si>
  <si>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</si>
  <si>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</si>
  <si>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</si>
  <si>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</si>
  <si>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</si>
  <si>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</si>
  <si>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</si>
  <si>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</si>
  <si>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</si>
  <si>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</si>
  <si>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</si>
  <si>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</si>
  <si>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</si>
  <si>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</si>
  <si>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</si>
  <si>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</si>
  <si>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</si>
  <si>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</si>
  <si>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</si>
  <si>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</si>
  <si>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</si>
  <si>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</si>
  <si>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</si>
  <si>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</si>
  <si>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</si>
  <si>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</si>
  <si>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</si>
  <si>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</si>
  <si>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</si>
  <si>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</si>
  <si>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</si>
  <si>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</si>
  <si>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</si>
  <si>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</si>
  <si>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</si>
  <si>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</si>
  <si>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</si>
  <si>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</si>
  <si>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</si>
  <si>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</si>
  <si>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</si>
  <si>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</si>
  <si>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</si>
  <si>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</si>
  <si>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</si>
  <si>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</si>
  <si>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</si>
  <si>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</si>
  <si>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</si>
  <si>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</si>
  <si>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</si>
  <si>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</si>
  <si>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</si>
  <si>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</si>
  <si>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</si>
  <si>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</si>
  <si>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</si>
  <si>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</si>
  <si>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</si>
  <si>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</si>
  <si>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</si>
  <si>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</si>
  <si>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</si>
  <si>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</si>
  <si>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</si>
  <si>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</si>
  <si>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</si>
  <si>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</si>
  <si>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</si>
  <si>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</si>
  <si>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</si>
  <si>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</si>
  <si>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</si>
  <si>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</si>
  <si>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</si>
  <si>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</si>
  <si>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</si>
  <si>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</si>
  <si>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</si>
  <si>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</si>
  <si>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</si>
  <si>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</si>
  <si>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</si>
  <si>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</si>
  <si>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</si>
  <si>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</si>
  <si>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</si>
  <si>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</si>
  <si>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</si>
  <si>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</si>
  <si>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</si>
  <si>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</si>
  <si>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</si>
  <si>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</si>
  <si>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</si>
  <si>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</si>
  <si>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</si>
  <si>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</si>
  <si>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</si>
  <si>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</si>
  <si>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</si>
  <si>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</si>
  <si>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</si>
  <si>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</si>
  <si>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</si>
  <si>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</si>
  <si>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</si>
  <si>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</si>
  <si>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</si>
  <si>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</si>
  <si>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</si>
  <si>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</si>
  <si>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</si>
  <si>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</si>
  <si>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</si>
  <si>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</si>
  <si>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</si>
  <si>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</si>
  <si>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</si>
  <si>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</si>
  <si>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</si>
  <si>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</si>
  <si>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</si>
  <si>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</si>
  <si>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</si>
  <si>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</si>
  <si>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</si>
  <si>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</si>
  <si>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</si>
  <si>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</si>
  <si>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</si>
  <si>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</si>
  <si>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</si>
  <si>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</si>
  <si>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</si>
  <si>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</si>
  <si>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</si>
  <si>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</si>
  <si>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</si>
  <si>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</si>
  <si>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</si>
  <si>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</si>
  <si>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</si>
  <si>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</si>
  <si>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</si>
  <si>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</si>
  <si>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</si>
  <si>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</si>
  <si>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</si>
  <si>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</si>
  <si>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</si>
  <si>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</si>
  <si>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</si>
  <si>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</si>
  <si>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</si>
  <si>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</si>
  <si>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</si>
  <si>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</si>
  <si>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</si>
  <si>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</si>
  <si>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</si>
  <si>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</si>
  <si>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</si>
  <si>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</si>
  <si>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</si>
  <si>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</si>
  <si>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</si>
  <si>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</si>
  <si>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</si>
  <si>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</si>
  <si>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</si>
  <si>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</si>
  <si>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</si>
  <si>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</si>
  <si>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</si>
  <si>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</si>
  <si>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</si>
  <si>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</si>
  <si>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</si>
  <si>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</si>
  <si>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</si>
  <si>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</si>
  <si>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</si>
  <si>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</si>
  <si>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</si>
  <si>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</si>
  <si>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</si>
  <si>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</si>
  <si>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</si>
  <si>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</si>
  <si>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</si>
  <si>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</si>
  <si>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</si>
  <si>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</si>
  <si>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</si>
  <si>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</si>
  <si>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</si>
  <si>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</si>
  <si>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</si>
  <si>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</si>
  <si>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</si>
  <si>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</si>
  <si>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</si>
  <si>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</si>
  <si>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</si>
  <si>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</si>
  <si>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</si>
  <si>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</si>
  <si>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</si>
  <si>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</si>
  <si>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</si>
  <si>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</si>
  <si>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</si>
  <si>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</si>
  <si>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</si>
  <si>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</si>
  <si>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</si>
  <si>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</si>
  <si>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</si>
  <si>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</si>
  <si>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</si>
  <si>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</si>
  <si>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</si>
  <si>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</si>
  <si>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</si>
  <si>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</si>
  <si>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</si>
  <si>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</si>
  <si>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</si>
  <si>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</si>
  <si>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</si>
  <si>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</si>
  <si>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</si>
  <si>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</si>
  <si>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</si>
  <si>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</si>
  <si>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</si>
  <si>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</si>
  <si>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</si>
  <si>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</si>
  <si>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</si>
  <si>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</si>
  <si>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</si>
  <si>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</si>
  <si>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</si>
  <si>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</si>
  <si>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</si>
  <si>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</si>
  <si>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</si>
  <si>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</si>
  <si>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</si>
  <si>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</si>
  <si>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</si>
  <si>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</si>
  <si>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</si>
  <si>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</si>
  <si>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</si>
  <si>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</si>
  <si>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</si>
  <si>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</si>
  <si>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</si>
  <si>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</si>
  <si>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</si>
  <si>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</si>
  <si>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</si>
  <si>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</si>
  <si>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</si>
  <si>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</si>
  <si>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</si>
  <si>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</si>
  <si>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</si>
  <si>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</si>
  <si>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</si>
  <si>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</si>
  <si>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</si>
  <si>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</si>
  <si>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</si>
  <si>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</si>
  <si>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</si>
  <si>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</si>
  <si>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</si>
  <si>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</si>
  <si>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</si>
  <si>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</si>
  <si>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</si>
  <si>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</si>
  <si>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</si>
  <si>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</si>
  <si>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</si>
  <si>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</si>
  <si>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</si>
  <si>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</si>
  <si>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</si>
  <si>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</si>
  <si>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</si>
  <si>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</si>
  <si>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</si>
  <si>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</si>
  <si>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</si>
  <si>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</si>
  <si>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</si>
  <si>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</si>
  <si>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</si>
  <si>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</si>
  <si>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</si>
  <si>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</si>
  <si>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</si>
  <si>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</si>
  <si>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</si>
  <si>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</si>
  <si>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</si>
  <si>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</si>
  <si>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</si>
  <si>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</si>
  <si>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</si>
  <si>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</si>
  <si>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</si>
  <si>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</si>
  <si>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</si>
  <si>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</si>
  <si>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</si>
  <si>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</si>
  <si>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</si>
  <si>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</si>
  <si>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</si>
  <si>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</si>
  <si>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</si>
  <si>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</si>
  <si>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</si>
  <si>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</si>
  <si>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</si>
  <si>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</si>
  <si>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</si>
  <si>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</si>
  <si>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</si>
  <si>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</si>
  <si>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</si>
  <si>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</si>
  <si>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</si>
  <si>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</si>
  <si>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</si>
  <si>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</si>
  <si>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</si>
  <si>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</si>
  <si>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</si>
  <si>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</si>
  <si>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</si>
  <si>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</si>
  <si>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</si>
  <si>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</si>
  <si>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</si>
  <si>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</si>
  <si>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</si>
  <si>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</si>
  <si>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</si>
  <si>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</si>
  <si>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</si>
  <si>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</si>
  <si>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</si>
  <si>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</si>
  <si>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</si>
  <si>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</si>
  <si>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</si>
  <si>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</si>
  <si>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</si>
  <si>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</si>
  <si>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</si>
  <si>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</si>
  <si>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</si>
  <si>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</si>
  <si>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</si>
  <si>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</si>
  <si>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</si>
  <si>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</si>
  <si>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</si>
  <si>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</si>
  <si>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</si>
  <si>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</si>
  <si>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</si>
  <si>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</si>
  <si>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</si>
  <si>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</si>
  <si>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</si>
  <si>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</si>
  <si>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</si>
  <si>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</si>
  <si>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</si>
  <si>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</si>
  <si>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</si>
  <si>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</si>
  <si>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</si>
  <si>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</si>
  <si>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</si>
  <si>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</si>
  <si>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</si>
  <si>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</si>
  <si>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</si>
  <si>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</si>
  <si>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</si>
  <si>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</si>
  <si>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</si>
  <si>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</si>
  <si>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</si>
  <si>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</si>
  <si>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</si>
  <si>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</si>
  <si>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</si>
  <si>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</si>
  <si>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</si>
  <si>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</si>
  <si>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</si>
  <si>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</si>
  <si>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</si>
  <si>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</si>
  <si>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</si>
  <si>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</si>
  <si>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</si>
  <si>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</si>
  <si>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</si>
  <si>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</si>
  <si>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</si>
  <si>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</si>
  <si>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</si>
  <si>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</si>
  <si>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</si>
  <si>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</si>
  <si>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</si>
  <si>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</si>
  <si>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</si>
  <si>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</si>
  <si>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</si>
  <si>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</si>
  <si>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</si>
  <si>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</si>
  <si>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</si>
  <si>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</si>
  <si>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</si>
  <si>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</si>
  <si>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</si>
  <si>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</si>
  <si>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</si>
  <si>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</si>
  <si>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</si>
  <si>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</si>
  <si>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</si>
  <si>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</si>
  <si>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</si>
  <si>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</si>
  <si>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</si>
  <si>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</si>
  <si>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</si>
  <si>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</si>
  <si>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</si>
  <si>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</si>
  <si>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</si>
  <si>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</si>
  <si>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</si>
  <si>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</si>
  <si>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</si>
  <si>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</si>
  <si>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</si>
  <si>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</si>
  <si>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</si>
  <si>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</si>
  <si>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</si>
  <si>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</si>
  <si>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</si>
  <si>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</si>
  <si>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</si>
  <si>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</si>
  <si>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</si>
  <si>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</si>
  <si>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</si>
  <si>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</si>
  <si>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</si>
  <si>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</si>
  <si>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</si>
  <si>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</si>
  <si>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</si>
  <si>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</si>
  <si>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</si>
  <si>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</si>
  <si>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</si>
  <si>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</si>
  <si>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</si>
  <si>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</si>
  <si>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</si>
  <si>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</si>
  <si>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</si>
  <si>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</si>
  <si>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</si>
  <si>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</si>
  <si>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</si>
  <si>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</si>
  <si>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</si>
  <si>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</si>
  <si>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</si>
  <si>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</si>
  <si>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</si>
  <si>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</si>
  <si>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</si>
  <si>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</si>
  <si>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</si>
  <si>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</si>
  <si>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</si>
  <si>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</si>
  <si>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</si>
  <si>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</si>
  <si>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</si>
  <si>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</si>
  <si>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</si>
  <si>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</si>
  <si>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</si>
  <si>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</si>
  <si>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</si>
  <si>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</si>
  <si>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</si>
  <si>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</si>
  <si>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</si>
  <si>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</si>
  <si>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</si>
  <si>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</si>
  <si>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</si>
  <si>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</si>
  <si>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</si>
  <si>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</si>
  <si>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</si>
  <si>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</si>
  <si>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</si>
  <si>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</si>
  <si>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</si>
  <si>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</si>
  <si>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</si>
  <si>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</si>
  <si>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</si>
  <si>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</si>
  <si>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</si>
  <si>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</si>
  <si>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</si>
  <si>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</si>
  <si>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</si>
  <si>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</si>
  <si>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</si>
  <si>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</si>
  <si>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</si>
  <si>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</si>
  <si>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</si>
  <si>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</si>
  <si>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</si>
  <si>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</si>
  <si>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</si>
  <si>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</si>
  <si>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</si>
  <si>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</si>
  <si>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</si>
  <si>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</si>
  <si>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</si>
  <si>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</si>
  <si>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</si>
  <si>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</si>
  <si>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</si>
  <si>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</si>
  <si>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</si>
  <si>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</si>
  <si>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</si>
  <si>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</si>
  <si>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</si>
  <si>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</si>
  <si>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</si>
  <si>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</si>
  <si>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</si>
  <si>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</si>
  <si>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</si>
  <si>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</si>
  <si>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</si>
  <si>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</si>
  <si>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</si>
  <si>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</si>
  <si>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</si>
  <si>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</si>
  <si>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</si>
  <si>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</si>
  <si>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</si>
  <si>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</si>
  <si>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</si>
  <si>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</si>
  <si>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</si>
  <si>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</si>
  <si>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</si>
  <si>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</si>
  <si>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</si>
  <si>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</si>
  <si>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</si>
  <si>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</si>
  <si>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</si>
  <si>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</si>
  <si>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</si>
  <si>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</si>
  <si>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</si>
  <si>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</si>
  <si>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</si>
  <si>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</si>
  <si>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</si>
  <si>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</si>
  <si>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</si>
  <si>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</si>
  <si>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</si>
  <si>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</si>
  <si>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</si>
  <si>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</si>
  <si>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</si>
  <si>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</si>
  <si>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</si>
  <si>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</si>
  <si>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</si>
  <si>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</si>
  <si>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</si>
  <si>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</si>
  <si>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</si>
  <si>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</si>
  <si>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</si>
  <si>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</si>
  <si>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</si>
  <si>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</si>
  <si>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</si>
  <si>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</si>
  <si>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</si>
  <si>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</si>
  <si>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</si>
  <si>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</si>
  <si>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</si>
  <si>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</si>
  <si>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</si>
  <si>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</si>
  <si>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</si>
  <si>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</si>
  <si>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</si>
  <si>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</si>
  <si>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</si>
  <si>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</si>
  <si>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</si>
  <si>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</si>
  <si>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</si>
  <si>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</si>
  <si>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</si>
  <si>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</si>
  <si>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</si>
  <si>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</si>
  <si>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</si>
  <si>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</si>
  <si>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</si>
  <si>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</si>
  <si>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</si>
  <si>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</si>
  <si>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</si>
  <si>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</si>
  <si>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</si>
  <si>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</si>
  <si>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</si>
  <si>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</si>
  <si>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</si>
  <si>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</si>
  <si>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</si>
  <si>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</si>
  <si>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</si>
  <si>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</si>
  <si>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</si>
  <si>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</si>
  <si>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</si>
  <si>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</si>
  <si>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</si>
  <si>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</si>
  <si>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</si>
  <si>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</si>
  <si>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</si>
  <si>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</si>
  <si>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</si>
  <si>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</si>
  <si>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</si>
  <si>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</si>
  <si>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</si>
  <si>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</si>
  <si>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</si>
  <si>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</si>
  <si>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</si>
  <si>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</si>
  <si>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</si>
  <si>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</si>
  <si>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</si>
  <si>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</si>
  <si>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</si>
  <si>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</si>
  <si>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</si>
  <si>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</si>
  <si>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</si>
  <si>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</si>
  <si>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</si>
  <si>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</si>
  <si>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</si>
  <si>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</si>
  <si>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</si>
  <si>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</si>
  <si>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</si>
  <si>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</si>
  <si>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</si>
  <si>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</si>
  <si>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</si>
  <si>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</si>
  <si>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</si>
  <si>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</si>
  <si>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</si>
  <si>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</si>
  <si>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</si>
  <si>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</si>
  <si>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</si>
  <si>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</si>
  <si>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</si>
  <si>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</si>
  <si>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</si>
  <si>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</si>
  <si>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</si>
  <si>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</si>
  <si>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</si>
  <si>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</si>
  <si>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</si>
  <si>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</si>
  <si>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</si>
  <si>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</si>
  <si>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</si>
  <si>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</si>
  <si>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</si>
  <si>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</si>
  <si>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</si>
  <si>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</si>
  <si>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</si>
  <si>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</si>
  <si>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</si>
  <si>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</si>
  <si>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</si>
  <si>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</si>
  <si>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</si>
  <si>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</si>
  <si>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</si>
  <si>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</si>
  <si>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</si>
  <si>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</si>
  <si>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</si>
  <si>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</si>
  <si>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</si>
  <si>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</si>
  <si>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</si>
  <si>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</si>
  <si>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</si>
  <si>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</si>
  <si>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</si>
  <si>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</si>
  <si>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</si>
  <si>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</si>
  <si>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</si>
  <si>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</si>
  <si>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</si>
  <si>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</si>
  <si>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</si>
  <si>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</si>
  <si>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</si>
  <si>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</si>
  <si>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</si>
  <si>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</si>
  <si>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</si>
  <si>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</si>
  <si>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</si>
  <si>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</si>
  <si>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</si>
  <si>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</si>
  <si>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</si>
  <si>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</si>
  <si>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</si>
  <si>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</si>
  <si>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</si>
  <si>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</si>
  <si>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</si>
  <si>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</si>
  <si>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</si>
  <si>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</si>
  <si>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</si>
  <si>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</si>
  <si>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</si>
  <si>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</si>
  <si>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</si>
  <si>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</si>
  <si>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</si>
  <si>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</si>
  <si>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</si>
  <si>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</si>
  <si>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</si>
  <si>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</si>
  <si>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</si>
  <si>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</si>
  <si>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</si>
  <si>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</si>
  <si>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</si>
  <si>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</si>
  <si>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</si>
  <si>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</si>
  <si>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</si>
  <si>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</si>
  <si>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</si>
  <si>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</si>
  <si>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</si>
  <si>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</si>
  <si>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</si>
  <si>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</si>
  <si>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</si>
  <si>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</si>
  <si>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</si>
  <si>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</si>
  <si>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</si>
  <si>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</si>
  <si>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</si>
  <si>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</si>
  <si>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</si>
  <si>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</si>
  <si>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</si>
  <si>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</si>
  <si>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</si>
  <si>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</si>
  <si>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</si>
  <si>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</si>
  <si>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</si>
  <si>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</si>
  <si>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</si>
  <si>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</si>
  <si>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</si>
  <si>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</si>
  <si>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</si>
  <si>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</si>
  <si>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</si>
  <si>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</si>
  <si>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</si>
  <si>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</si>
  <si>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</si>
  <si>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</si>
  <si>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</si>
  <si>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</si>
  <si>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</si>
  <si>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</si>
  <si>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</si>
  <si>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</si>
  <si>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</si>
  <si>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</si>
  <si>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</si>
  <si>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</si>
  <si>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</si>
  <si>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</si>
  <si>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</si>
  <si>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</si>
  <si>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</si>
  <si>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</si>
  <si>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</si>
  <si>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</si>
  <si>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</si>
  <si>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</si>
  <si>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</si>
  <si>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</si>
  <si>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</si>
  <si>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</si>
  <si>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</si>
  <si>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</si>
  <si>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</si>
  <si>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</si>
  <si>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</si>
  <si>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</si>
  <si>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</si>
  <si>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</si>
  <si>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</si>
  <si>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</si>
  <si>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</si>
  <si>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</si>
  <si>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</si>
  <si>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</si>
  <si>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</si>
  <si>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</si>
  <si>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</si>
  <si>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</si>
  <si>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</si>
  <si>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</si>
  <si>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</si>
  <si>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</si>
  <si>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</si>
  <si>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</si>
  <si>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</si>
  <si>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</si>
  <si>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</si>
  <si>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</si>
  <si>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</si>
  <si>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</si>
  <si>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</si>
  <si>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</si>
  <si>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</si>
  <si>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</si>
  <si>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</si>
  <si>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</si>
  <si>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</si>
  <si>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</si>
  <si>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</si>
  <si>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</si>
  <si>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</si>
  <si>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</si>
  <si>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</si>
  <si>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</si>
  <si>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</si>
  <si>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</si>
  <si>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</si>
  <si>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</si>
  <si>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</si>
  <si>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</si>
  <si>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</si>
  <si>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</si>
  <si>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</si>
  <si>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</si>
  <si>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</si>
  <si>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</si>
  <si>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</si>
  <si>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</si>
  <si>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</si>
  <si>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</si>
  <si>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</si>
  <si>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</si>
  <si>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</si>
  <si>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</si>
  <si>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</si>
  <si>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</si>
  <si>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</si>
  <si>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</si>
  <si>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</si>
  <si>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</si>
  <si>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</si>
  <si>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</si>
  <si>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</si>
  <si>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</si>
  <si>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</si>
  <si>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</si>
  <si>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</si>
  <si>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</si>
  <si>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</si>
  <si>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</si>
  <si>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</si>
  <si>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</si>
  <si>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</si>
  <si>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</si>
  <si>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</si>
  <si>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</si>
  <si>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</si>
  <si>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</si>
  <si>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</si>
  <si>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</si>
  <si>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</si>
  <si>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</si>
  <si>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</si>
  <si>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</si>
  <si>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</si>
  <si>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</si>
  <si>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</si>
  <si>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</si>
  <si>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</si>
  <si>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</si>
  <si>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</si>
  <si>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</si>
  <si>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</si>
  <si>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</si>
  <si>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</si>
  <si>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</si>
  <si>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</si>
  <si>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</si>
  <si>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</si>
  <si>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</si>
  <si>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</si>
  <si>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</si>
  <si>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</si>
  <si>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</si>
  <si>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</si>
  <si>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</si>
  <si>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</si>
  <si>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</si>
  <si>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</si>
  <si>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</si>
  <si>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</si>
  <si>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</si>
  <si>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</si>
  <si>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</si>
  <si>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</si>
  <si>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</si>
  <si>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</si>
  <si>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</si>
  <si>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</si>
  <si>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</si>
  <si>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</si>
  <si>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</si>
  <si>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</si>
  <si>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</si>
  <si>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</si>
  <si>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</si>
  <si>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</si>
  <si>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</si>
  <si>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</si>
  <si>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</si>
  <si>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</si>
  <si>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</si>
  <si>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</si>
  <si>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</si>
  <si>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</si>
  <si>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</si>
  <si>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</si>
  <si>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</si>
  <si>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</si>
  <si>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</si>
  <si>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</si>
  <si>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</si>
  <si>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</si>
  <si>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</si>
  <si>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</si>
  <si>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</si>
  <si>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</si>
  <si>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</si>
  <si>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</si>
  <si>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</si>
  <si>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</si>
  <si>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</si>
  <si>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</si>
  <si>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</si>
  <si>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</si>
  <si>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</si>
  <si>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</si>
  <si>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</si>
  <si>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</si>
  <si>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</si>
  <si>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</si>
  <si>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</si>
  <si>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</si>
  <si>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</si>
  <si>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</si>
  <si>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</si>
  <si>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</si>
  <si>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</si>
  <si>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</si>
  <si>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</si>
  <si>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</si>
  <si>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</si>
  <si>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</si>
  <si>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</si>
  <si>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</si>
  <si>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</si>
  <si>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</si>
  <si>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</si>
  <si>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</si>
  <si>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</si>
  <si>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</si>
  <si>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</si>
  <si>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</si>
  <si>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</si>
  <si>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</si>
  <si>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</si>
  <si>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</si>
  <si>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</si>
  <si>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</si>
  <si>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</si>
  <si>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</si>
  <si>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</si>
  <si>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</si>
  <si>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</si>
  <si>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</si>
  <si>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</si>
  <si>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</si>
  <si>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</si>
  <si>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</si>
  <si>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</si>
  <si>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</si>
  <si>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</si>
  <si>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</si>
  <si>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</si>
  <si>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</si>
  <si>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</si>
  <si>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</si>
  <si>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</si>
  <si>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</si>
  <si>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</si>
  <si>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</si>
  <si>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</si>
  <si>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</si>
  <si>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</si>
  <si>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</si>
  <si>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</si>
  <si>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</si>
  <si>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</si>
  <si>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</si>
  <si>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</si>
  <si>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</si>
  <si>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</si>
  <si>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</si>
  <si>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</si>
  <si>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</si>
  <si>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</si>
  <si>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</si>
  <si>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</si>
  <si>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</si>
  <si>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</si>
  <si>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</si>
  <si>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</si>
  <si>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</si>
  <si>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</si>
  <si>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</si>
  <si>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</si>
  <si>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</si>
  <si>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</si>
  <si>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</si>
  <si>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</si>
  <si>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</si>
  <si>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</si>
  <si>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</si>
  <si>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</si>
  <si>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</si>
  <si>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</si>
  <si>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</si>
  <si>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</si>
  <si>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</si>
  <si>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</si>
  <si>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</si>
  <si>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</si>
  <si>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</si>
  <si>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</si>
  <si>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</si>
  <si>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</si>
  <si>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</si>
  <si>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</si>
  <si>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</si>
  <si>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</si>
  <si>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</si>
  <si>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</si>
  <si>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</si>
  <si>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</si>
  <si>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</si>
  <si>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</si>
  <si>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</si>
  <si>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</si>
  <si>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</si>
  <si>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</si>
  <si>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</si>
  <si>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</si>
  <si>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</si>
  <si>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</si>
  <si>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</si>
  <si>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</si>
  <si>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</si>
  <si>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</si>
  <si>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</si>
  <si>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</si>
  <si>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</si>
  <si>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</si>
  <si>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</si>
  <si>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</si>
  <si>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</si>
  <si>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</si>
  <si>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</si>
  <si>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</si>
  <si>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</si>
  <si>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</si>
  <si>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</si>
  <si>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</si>
  <si>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</si>
  <si>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</si>
  <si>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</si>
  <si>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</si>
  <si>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</si>
  <si>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</si>
  <si>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</si>
  <si>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</si>
  <si>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</si>
  <si>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</si>
  <si>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</si>
  <si>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</si>
  <si>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</si>
  <si>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</si>
  <si>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</si>
  <si>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</si>
  <si>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</si>
  <si>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</si>
  <si>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</si>
  <si>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</si>
  <si>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</si>
  <si>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</si>
  <si>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</si>
  <si>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</si>
  <si>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</si>
  <si>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</si>
  <si>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</si>
  <si>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</si>
  <si>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</si>
  <si>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</si>
  <si>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</si>
  <si>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</si>
  <si>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</si>
  <si>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</si>
  <si>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</si>
  <si>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</si>
  <si>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</si>
  <si>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</si>
  <si>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</si>
  <si>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</si>
  <si>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</si>
  <si>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</si>
  <si>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</si>
  <si>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</si>
  <si>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</si>
  <si>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</si>
  <si>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</si>
  <si>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</si>
  <si>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</si>
  <si>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</si>
  <si>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</si>
  <si>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</si>
  <si>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</si>
  <si>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</si>
  <si>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</si>
  <si>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</si>
  <si>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</si>
  <si>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</si>
  <si>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</si>
  <si>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</si>
  <si>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</si>
  <si>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</si>
  <si>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</si>
  <si>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</si>
  <si>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</si>
  <si>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</si>
  <si>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</si>
  <si>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</si>
  <si>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</si>
  <si>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</si>
  <si>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</si>
  <si>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</si>
  <si>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</si>
  <si>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</si>
  <si>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</si>
  <si>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</si>
  <si>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</si>
  <si>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</si>
  <si>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</si>
  <si>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</si>
  <si>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</si>
  <si>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</si>
  <si>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</si>
  <si>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</si>
  <si>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</si>
  <si>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</si>
  <si>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</si>
  <si>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</si>
  <si>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</si>
  <si>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</si>
  <si>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</si>
  <si>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</si>
  <si>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</si>
  <si>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</si>
  <si>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</si>
  <si>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</si>
  <si>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</si>
  <si>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</si>
  <si>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</si>
  <si>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</si>
  <si>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</si>
  <si>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</si>
  <si>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</si>
  <si>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</si>
  <si>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</si>
  <si>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</si>
  <si>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</si>
  <si>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</si>
  <si>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</si>
  <si>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</si>
  <si>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</si>
  <si>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</si>
  <si>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</si>
  <si>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</si>
  <si>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</si>
  <si>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</si>
  <si>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</si>
  <si>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</si>
  <si>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</si>
  <si>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</si>
  <si>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</si>
  <si>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</si>
  <si>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</si>
  <si>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</si>
  <si>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</si>
  <si>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</si>
  <si>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</si>
  <si>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</si>
  <si>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</si>
  <si>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</si>
  <si>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</si>
  <si>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</si>
  <si>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</si>
  <si>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</si>
  <si>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</si>
  <si>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</si>
  <si>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</si>
  <si>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</si>
  <si>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</si>
  <si>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</si>
  <si>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</si>
  <si>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</si>
  <si>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</si>
  <si>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</si>
  <si>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</si>
  <si>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</si>
  <si>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</si>
  <si>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</si>
  <si>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</si>
  <si>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</si>
  <si>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</si>
  <si>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</si>
  <si>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</si>
  <si>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</si>
  <si>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</si>
  <si>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</si>
  <si>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</si>
  <si>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</si>
  <si>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</si>
  <si>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</si>
  <si>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</si>
  <si>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</si>
  <si>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自定义容积率</t>
  </si>
  <si>
    <t>不临65条商业街</t>
  </si>
  <si>
    <t>通路</t>
  </si>
  <si>
    <t>通电</t>
  </si>
  <si>
    <t>通讯</t>
  </si>
  <si>
    <t>通下水</t>
  </si>
  <si>
    <t>平整</t>
  </si>
  <si>
    <t>与级别开发程度一致</t>
  </si>
  <si>
    <t>按公示增长率计算</t>
  </si>
  <si>
    <t>中心城区以外</t>
  </si>
  <si>
    <t>楼层修正</t>
  </si>
  <si>
    <t>较好</t>
  </si>
  <si>
    <t>一般</t>
  </si>
  <si>
    <t>好</t>
  </si>
  <si>
    <t>通上水</t>
  </si>
  <si>
    <t>Ⅸ-延庆开发区</t>
  </si>
  <si>
    <t>不用分区数据</t>
  </si>
  <si>
    <t>容积率修正</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</si>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</sst>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183"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37329;&#31185;&#22825;&#23480;&#2771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0;&#24198;&#21496;&#23478;&#33829;&#26449;-&#22825;&#23439;&#23439;&#228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数据-基础表"/>
      <sheetName val="抵押物清单（分楼）"/>
      <sheetName val="数据-汇总表"/>
      <sheetName val="数据-取费表"/>
      <sheetName val="估价对象房地状况"/>
      <sheetName val="系统读取表"/>
      <sheetName val="结果表"/>
      <sheetName val="结果表(2)"/>
      <sheetName val="比较法-商业"/>
      <sheetName val="成本法"/>
      <sheetName val="成本法 (元)"/>
      <sheetName val="假设开发法"/>
      <sheetName val="收益法"/>
      <sheetName val="成本法 (元) (2)"/>
      <sheetName val="收益法 (元)"/>
      <sheetName val="收益法-酒店模型"/>
      <sheetName val="收益法（汇总）"/>
      <sheetName val="比较法-住宅"/>
      <sheetName val="典型户型修正"/>
      <sheetName val="案例"/>
      <sheetName val="比较法-商业(2)"/>
      <sheetName val="成本法(2)"/>
      <sheetName val="收益法(2)"/>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I4">
            <v>3.66</v>
          </cell>
        </row>
        <row r="19">
          <cell r="F19">
            <v>82.3</v>
          </cell>
        </row>
        <row r="20">
          <cell r="F20">
            <v>43991.720000000016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41059.64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5.6"/>
  <cols>
    <col min="1" max="1" width="35.6640625" style="2768" customWidth="1"/>
    <col min="2" max="2" width="81" style="2769" customWidth="1"/>
    <col min="3" max="16384" width="9" style="2767"/>
  </cols>
  <sheetData>
    <row r="1" spans="1:2" s="2756" customFormat="1" ht="16.2" thickBot="1">
      <c r="A1" s="2754" t="s">
        <v>734</v>
      </c>
      <c r="B1" s="2755" t="s">
        <v>813</v>
      </c>
    </row>
    <row r="2" spans="1:2" s="2759" customFormat="1" ht="16.2"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6.2" thickBot="1">
      <c r="A5" s="2763" t="s">
        <v>738</v>
      </c>
      <c r="B5" s="2764" t="str">
        <f>'预评函-封皮'!B49</f>
        <v>康正预评字号</v>
      </c>
    </row>
    <row r="6" spans="1:2" s="2759" customFormat="1" ht="16.2"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2022年11月24日</v>
      </c>
    </row>
    <row r="13" spans="1:2" s="2762" customFormat="1">
      <c r="A13" s="2760" t="s">
        <v>742</v>
      </c>
      <c r="B13" s="2761" t="str">
        <f>'预评函-1'!A18</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6.2" thickBot="1">
      <c r="A18" s="2763" t="s">
        <v>747</v>
      </c>
      <c r="B18" s="2764" t="str">
        <f>'预评函-1'!A24</f>
        <v>本次评估采用的主估价方法为基准地价系数修正法和基准地价系数修正法。</v>
      </c>
    </row>
    <row r="19" spans="1:2" s="2759" customFormat="1" ht="16.2"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ht="31.2">
      <c r="A42" s="2760" t="s">
        <v>803</v>
      </c>
      <c r="B42" s="2761" t="str">
        <f>'预评函-3'!B2</f>
        <v>建筑面积</v>
      </c>
    </row>
    <row r="43" spans="1:2" s="2762" customFormat="1">
      <c r="A43" s="2760" t="s">
        <v>804</v>
      </c>
      <c r="B43" s="2761">
        <f>'预评函-3'!B4</f>
        <v>0</v>
      </c>
    </row>
    <row r="44" spans="1:2" s="2762" customFormat="1" ht="31.2">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6.2" thickBot="1">
      <c r="A57" s="2763" t="s">
        <v>812</v>
      </c>
      <c r="B57" s="2764" t="str">
        <f>'预评函-3'!A6</f>
        <v>估价师知悉的法定优先受偿款</v>
      </c>
    </row>
    <row r="58" spans="1:2" s="2759" customFormat="1" ht="16.2"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6.2" thickBot="1">
      <c r="A69" s="2763" t="s">
        <v>774</v>
      </c>
      <c r="B69" s="2764">
        <f>'预评函-4'!C31</f>
        <v>42551</v>
      </c>
    </row>
    <row r="70" spans="1:2" ht="16.2" thickTop="1">
      <c r="A70" s="2765" t="s">
        <v>775</v>
      </c>
      <c r="B70" s="2766">
        <f>'预评函-4'!A4</f>
        <v>0</v>
      </c>
    </row>
    <row r="71" spans="1:2">
      <c r="A71" s="2760" t="s">
        <v>776</v>
      </c>
      <c r="B71" s="2761">
        <f>'预评函-4'!B4</f>
        <v>0</v>
      </c>
    </row>
    <row r="72" spans="1:2">
      <c r="A72" s="2760" t="s">
        <v>777</v>
      </c>
      <c r="B72" s="2761">
        <f>'预评函-4'!A5</f>
        <v>0</v>
      </c>
    </row>
    <row r="73" spans="1:2" s="2756" customFormat="1" ht="16.2" thickBot="1">
      <c r="A73" s="2763" t="s">
        <v>778</v>
      </c>
      <c r="B73" s="2764">
        <f>'预评函-4'!B5</f>
        <v>0</v>
      </c>
    </row>
    <row r="74" spans="1:2" ht="16.2"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830" customWidth="1"/>
    <col min="2" max="2" width="23.21875" style="2821" customWidth="1"/>
    <col min="3" max="3" width="13" style="2824" customWidth="1"/>
    <col min="4" max="4" width="5.77734375" style="2820" customWidth="1"/>
    <col min="5" max="5" width="7.109375" style="2820" customWidth="1"/>
    <col min="6" max="6" width="10.6640625" style="2820" customWidth="1"/>
    <col min="7" max="7" width="13.44140625" style="2820" customWidth="1"/>
    <col min="8" max="8" width="9" style="2824" customWidth="1"/>
    <col min="9" max="9" width="11.6640625" style="2824" customWidth="1"/>
    <col min="10" max="10" width="9" style="2824" customWidth="1"/>
    <col min="11" max="19" width="9" style="2820" customWidth="1"/>
    <col min="20" max="23" width="9" style="2824" customWidth="1"/>
    <col min="24" max="24" width="21.109375" style="2821" customWidth="1"/>
    <col min="25" max="16384" width="9" style="2821"/>
  </cols>
  <sheetData>
    <row r="1" spans="1:23" s="2817" customFormat="1" ht="28.8">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4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828" t="s">
        <v>594</v>
      </c>
      <c r="C54" s="2824" t="s">
        <v>796</v>
      </c>
    </row>
    <row r="55" spans="1:4">
      <c r="A55" s="3041"/>
      <c r="B55" s="2828" t="s">
        <v>595</v>
      </c>
      <c r="C55" s="2824" t="s">
        <v>797</v>
      </c>
    </row>
    <row r="56" spans="1:4">
      <c r="A56" s="3041"/>
      <c r="B56" s="2828" t="s">
        <v>596</v>
      </c>
      <c r="C56" s="2824" t="s">
        <v>801</v>
      </c>
    </row>
    <row r="57" spans="1:4">
      <c r="A57" s="304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3.2"/>
  <cols>
    <col min="1" max="1" width="16.88671875" style="2873" customWidth="1"/>
    <col min="2" max="2" width="10" style="2873" customWidth="1"/>
    <col min="3" max="3" width="11.44140625" style="2873" customWidth="1"/>
    <col min="4" max="4" width="12.21875" style="2873" customWidth="1"/>
    <col min="5" max="5" width="12.6640625" style="2873" customWidth="1"/>
    <col min="6" max="6" width="10" style="2873" customWidth="1"/>
    <col min="7" max="7" width="10.77734375" style="2873" customWidth="1"/>
    <col min="8" max="8" width="10" style="2873" customWidth="1"/>
    <col min="9" max="9" width="11.10937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8" thickBot="1">
      <c r="A1" s="2868" t="s">
        <v>2430</v>
      </c>
      <c r="B1" s="3042" t="str">
        <f>IF(B10="北京市","北京市",C10)&amp;F10&amp;IF(结果表!G1="在建","出让国有建设用地使用权及在建建筑物",IF(结果表!G1="土地","出让国有建设用地使用权",))&amp;B9&amp;"预评估"</f>
        <v>预评估</v>
      </c>
      <c r="C1" s="3043"/>
      <c r="D1" s="3043"/>
      <c r="E1" s="3043"/>
      <c r="F1" s="3043"/>
      <c r="G1" s="3043"/>
      <c r="H1" s="3043"/>
      <c r="I1" s="304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44889</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8"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8"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5" t="s">
        <v>2439</v>
      </c>
      <c r="E8" s="2898"/>
      <c r="F8" s="2899"/>
      <c r="G8" s="2880"/>
      <c r="H8" s="2880"/>
      <c r="I8" s="2880"/>
      <c r="J8" s="862"/>
      <c r="K8" s="2900"/>
      <c r="L8" s="2893"/>
      <c r="M8" s="2893"/>
      <c r="N8" s="862"/>
      <c r="O8" s="2893"/>
      <c r="P8" s="862"/>
      <c r="Q8" s="862"/>
      <c r="R8" s="862"/>
    </row>
    <row r="9" spans="1:28" ht="13.8" thickBot="1">
      <c r="A9" s="2901" t="s">
        <v>2440</v>
      </c>
      <c r="B9" s="2902"/>
      <c r="C9" s="2903"/>
      <c r="D9" s="3046"/>
      <c r="E9" s="2902"/>
      <c r="F9" s="2904"/>
      <c r="G9" s="2905"/>
      <c r="H9" s="2905"/>
      <c r="I9" s="2905"/>
      <c r="J9" s="862"/>
      <c r="K9" s="2892"/>
      <c r="L9" s="2893"/>
      <c r="M9" s="2893"/>
      <c r="N9" s="862"/>
      <c r="O9" s="2893"/>
      <c r="P9" s="862"/>
      <c r="Q9" s="862"/>
      <c r="R9" s="862"/>
    </row>
    <row r="10" spans="1:28" ht="13.8"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000"/>
      <c r="F13" s="3000"/>
      <c r="G13" s="2920"/>
      <c r="H13" s="2920"/>
      <c r="I13" s="3327">
        <v>53503</v>
      </c>
      <c r="J13" s="862"/>
      <c r="K13" s="2892"/>
      <c r="L13" s="2893"/>
      <c r="M13" s="2893"/>
      <c r="N13" s="862"/>
      <c r="O13" s="2893"/>
      <c r="P13" s="862"/>
      <c r="Q13" s="862"/>
      <c r="R13" s="862"/>
    </row>
    <row r="14" spans="1:28">
      <c r="A14" s="1360"/>
      <c r="B14" s="2918"/>
      <c r="C14" s="2919" t="s">
        <v>2453</v>
      </c>
      <c r="D14" s="2921"/>
      <c r="E14" s="2921"/>
      <c r="F14" s="2921"/>
      <c r="G14" s="2921"/>
      <c r="H14" s="2921"/>
      <c r="I14" s="2921">
        <v>50</v>
      </c>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23.6</v>
      </c>
      <c r="J15" s="862"/>
      <c r="K15" s="2892"/>
      <c r="L15" s="2893"/>
      <c r="M15" s="2893"/>
      <c r="N15" s="862"/>
      <c r="O15" s="2893"/>
      <c r="P15" s="862"/>
      <c r="Q15" s="862"/>
      <c r="R15" s="862"/>
    </row>
    <row r="16" spans="1:28">
      <c r="A16" s="991" t="s">
        <v>2455</v>
      </c>
      <c r="B16" s="3052"/>
      <c r="C16" s="3053"/>
      <c r="D16" s="3054"/>
      <c r="E16" s="989" t="s">
        <v>2456</v>
      </c>
      <c r="F16" s="3055"/>
      <c r="G16" s="3056"/>
      <c r="H16" s="3056"/>
      <c r="I16" s="3057"/>
      <c r="J16" s="862"/>
      <c r="K16" s="2892"/>
      <c r="L16" s="2893"/>
      <c r="M16" s="2893"/>
      <c r="N16" s="862"/>
      <c r="O16" s="2893"/>
      <c r="P16" s="862"/>
      <c r="Q16" s="862"/>
      <c r="R16" s="862"/>
    </row>
    <row r="17" spans="1:28">
      <c r="A17" s="1337" t="s">
        <v>2457</v>
      </c>
      <c r="B17" s="879" t="s">
        <v>2458</v>
      </c>
      <c r="C17" s="459">
        <f>'数据-汇总表'!E3</f>
        <v>0</v>
      </c>
      <c r="D17" s="2846" t="s">
        <v>2459</v>
      </c>
      <c r="E17" s="3058" t="s">
        <v>2460</v>
      </c>
      <c r="F17" s="3059"/>
      <c r="G17" s="3059"/>
      <c r="H17" s="3059"/>
      <c r="I17" s="3060"/>
      <c r="J17" s="862"/>
      <c r="K17" s="2900"/>
      <c r="L17" s="2893"/>
      <c r="M17" s="2893"/>
      <c r="N17" s="862"/>
      <c r="O17" s="2893"/>
      <c r="P17" s="862"/>
      <c r="Q17" s="862"/>
      <c r="R17" s="862"/>
      <c r="S17" s="862"/>
      <c r="T17" s="862"/>
      <c r="U17" s="862"/>
      <c r="V17" s="862"/>
    </row>
    <row r="18" spans="1:28" ht="24.6" thickBot="1">
      <c r="A18" s="2924" t="s">
        <v>2461</v>
      </c>
      <c r="B18" s="1353" t="s">
        <v>2462</v>
      </c>
      <c r="C18" s="2925" t="e">
        <f>'数据-汇总表'!D3</f>
        <v>#DIV/0!</v>
      </c>
      <c r="D18" s="1386" t="s">
        <v>2463</v>
      </c>
      <c r="E18" s="3061" t="s">
        <v>2464</v>
      </c>
      <c r="F18" s="3062"/>
      <c r="G18" s="3062"/>
      <c r="H18" s="3062"/>
      <c r="I18" s="3063"/>
      <c r="J18" s="862"/>
      <c r="K18" s="2900"/>
      <c r="L18" s="2893"/>
      <c r="M18" s="2893"/>
      <c r="N18" s="862"/>
      <c r="O18" s="2893"/>
      <c r="P18" s="862"/>
      <c r="Q18" s="862"/>
      <c r="R18" s="862"/>
      <c r="S18" s="862"/>
      <c r="T18" s="862"/>
      <c r="U18" s="862"/>
      <c r="V18" s="862"/>
    </row>
    <row r="19" spans="1:28" ht="25.2"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8" t="s">
        <v>2468</v>
      </c>
      <c r="C20" s="3049"/>
      <c r="D20" s="3050" t="s">
        <v>2469</v>
      </c>
      <c r="E20" s="3051"/>
      <c r="F20" s="2932" t="s">
        <v>1280</v>
      </c>
      <c r="G20" s="2887"/>
      <c r="H20" s="2887"/>
      <c r="I20" s="2887"/>
      <c r="J20" s="862"/>
      <c r="K20" s="304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6" thickBot="1">
      <c r="A21" s="2931"/>
      <c r="B21" s="2933" t="s">
        <v>2471</v>
      </c>
      <c r="C21" s="856" t="s">
        <v>1281</v>
      </c>
      <c r="D21" s="2934" t="s">
        <v>2472</v>
      </c>
      <c r="E21" s="2935" t="s">
        <v>1281</v>
      </c>
      <c r="F21" s="2936"/>
      <c r="G21" s="2887"/>
      <c r="H21" s="2887"/>
      <c r="I21" s="2887"/>
      <c r="J21" s="862"/>
      <c r="K21" s="304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36.6" thickBot="1">
      <c r="A22" s="2931"/>
      <c r="B22" s="2937" t="s">
        <v>2473</v>
      </c>
      <c r="C22" s="856" t="s">
        <v>1282</v>
      </c>
      <c r="D22" s="2880"/>
      <c r="E22" s="2880"/>
      <c r="F22" s="2880"/>
      <c r="G22" s="2887"/>
      <c r="H22" s="2887"/>
      <c r="I22" s="2887"/>
      <c r="J22" s="862"/>
      <c r="K22" s="304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8"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8" thickTop="1">
      <c r="A27" s="306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6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6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66"/>
      <c r="B30" s="879" t="s">
        <v>2480</v>
      </c>
      <c r="C30" s="3067"/>
      <c r="D30" s="3068"/>
      <c r="E30" s="2887"/>
      <c r="F30" s="2887"/>
      <c r="G30" s="2887"/>
      <c r="H30" s="2887"/>
      <c r="I30" s="2887"/>
      <c r="J30" s="862"/>
      <c r="K30" s="2892"/>
      <c r="L30" s="2893"/>
      <c r="M30" s="2893"/>
      <c r="N30" s="862"/>
      <c r="O30" s="2893"/>
      <c r="P30" s="862"/>
      <c r="Q30" s="862"/>
      <c r="R30" s="862"/>
      <c r="S30" s="862"/>
      <c r="T30" s="862"/>
      <c r="U30" s="862"/>
      <c r="V30" s="862"/>
    </row>
    <row r="31" spans="1:28">
      <c r="A31" s="306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7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7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64" t="s">
        <v>2490</v>
      </c>
      <c r="T34" s="460" t="str">
        <f>NUMBERSTRING(7-K34,1)&amp;"通"</f>
        <v>七通</v>
      </c>
      <c r="U34" s="862"/>
      <c r="V34" s="862"/>
    </row>
    <row r="35" spans="1:30">
      <c r="A35" s="2958"/>
      <c r="B35" s="3064" t="s">
        <v>2491</v>
      </c>
      <c r="C35" s="3064"/>
      <c r="D35" s="3064"/>
      <c r="E35" s="306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6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1228" t="s">
        <v>424</v>
      </c>
      <c r="F37" s="1228"/>
      <c r="G37" s="2887"/>
      <c r="H37" s="2887"/>
      <c r="I37" s="2887"/>
      <c r="J37" s="862"/>
      <c r="K37" s="2892"/>
      <c r="L37" s="2893"/>
      <c r="M37" s="2893"/>
      <c r="N37" s="862"/>
      <c r="O37" s="2893"/>
      <c r="P37" s="862"/>
      <c r="Q37" s="862"/>
      <c r="R37" s="862"/>
      <c r="S37" s="862"/>
      <c r="T37" s="862"/>
      <c r="U37" s="862"/>
      <c r="V37" s="862"/>
    </row>
    <row r="38" spans="1:30" ht="27" thickBot="1">
      <c r="A38" s="2960" t="s">
        <v>2493</v>
      </c>
      <c r="B38" s="2961"/>
      <c r="C38" s="2961"/>
      <c r="D38" s="2961"/>
      <c r="E38" s="2961" t="s">
        <v>3109</v>
      </c>
      <c r="F38" s="2961"/>
      <c r="G38" s="2905"/>
      <c r="H38" s="2905"/>
      <c r="I38" s="2905"/>
      <c r="J38" s="862"/>
      <c r="K38" s="2892"/>
      <c r="L38" s="2893"/>
      <c r="M38" s="2893"/>
      <c r="N38" s="862"/>
      <c r="O38" s="2893"/>
      <c r="P38" s="862"/>
      <c r="Q38" s="862"/>
      <c r="R38" s="862"/>
      <c r="S38" s="862"/>
      <c r="T38" s="862"/>
      <c r="U38" s="862"/>
      <c r="V38" s="862"/>
    </row>
    <row r="39" spans="1:30" s="2968" customFormat="1" ht="14.4"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2">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219" customWidth="1"/>
    <col min="2" max="2" width="11" style="219" customWidth="1"/>
    <col min="3" max="3" width="10.33203125" style="219" customWidth="1"/>
    <col min="4" max="4" width="9.109375" style="219" customWidth="1"/>
    <col min="5" max="6" width="10" style="280" customWidth="1"/>
    <col min="7" max="8" width="10" style="219" customWidth="1"/>
    <col min="9" max="9" width="10.6640625" style="219" customWidth="1"/>
    <col min="10" max="10" width="9.44140625" style="219" customWidth="1"/>
    <col min="11" max="11" width="11" style="219" customWidth="1"/>
    <col min="12" max="14" width="9.44140625" style="219" customWidth="1"/>
    <col min="15" max="15" width="9.88671875" style="219" customWidth="1"/>
    <col min="16" max="16" width="9.77734375" style="219" customWidth="1"/>
    <col min="17" max="17" width="9.33203125" style="219" customWidth="1"/>
    <col min="18" max="18" width="9.21875" style="219" customWidth="1"/>
    <col min="19" max="19" width="10.88671875" style="219" customWidth="1"/>
    <col min="20" max="21" width="10.77734375" style="219" customWidth="1"/>
    <col min="22" max="22" width="10.88671875" style="219" customWidth="1"/>
    <col min="23" max="27" width="10.77734375" style="219" customWidth="1"/>
    <col min="28" max="28" width="10.88671875" style="219" customWidth="1"/>
    <col min="29" max="29" width="11" style="219" bestFit="1" customWidth="1"/>
    <col min="30" max="30" width="10" style="219" bestFit="1" customWidth="1"/>
    <col min="31" max="31" width="9.77734375" style="219" customWidth="1"/>
    <col min="32" max="46" width="9.44140625" style="219" customWidth="1"/>
    <col min="47" max="47" width="18.109375" style="219" customWidth="1"/>
    <col min="48" max="50" width="9.77734375" style="219" customWidth="1"/>
    <col min="51" max="55" width="10.44140625" style="219" bestFit="1" customWidth="1"/>
    <col min="56" max="56" width="9.44140625" style="219" bestFit="1" customWidth="1"/>
    <col min="57" max="63" width="9.109375" style="219" bestFit="1" customWidth="1"/>
    <col min="64" max="64" width="9.44140625" style="219" bestFit="1" customWidth="1"/>
    <col min="65" max="65" width="9.109375" style="219" bestFit="1" customWidth="1"/>
    <col min="66" max="66" width="9.44140625" style="219" bestFit="1" customWidth="1"/>
    <col min="67" max="69" width="9.109375" style="219" bestFit="1" customWidth="1"/>
    <col min="70" max="70" width="9.44140625" style="219" bestFit="1" customWidth="1"/>
    <col min="71" max="71" width="9" style="219" customWidth="1"/>
    <col min="72" max="72" width="9.109375" style="219" bestFit="1" customWidth="1"/>
    <col min="73" max="16384" width="8.88671875" style="219"/>
  </cols>
  <sheetData>
    <row r="1" spans="1:72" ht="21">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3.2">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3.2">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3.2">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5.2">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3.2">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3.2">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3.2">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3.2">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3.2">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3.2">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3.2">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3.2">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3.2">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1875" defaultRowHeight="13.8"/>
  <cols>
    <col min="1" max="1" width="12.109375" style="704" customWidth="1"/>
    <col min="2" max="2" width="10.21875" style="704" customWidth="1"/>
    <col min="3" max="3" width="18.44140625" style="704" customWidth="1"/>
    <col min="4" max="4" width="11.6640625" style="704" customWidth="1"/>
    <col min="5" max="5" width="13.33203125" style="704" customWidth="1"/>
    <col min="6" max="8" width="11.44140625" style="704" customWidth="1"/>
    <col min="9" max="9" width="11.109375" style="704" customWidth="1"/>
    <col min="10" max="10" width="3.109375" style="793" customWidth="1"/>
    <col min="11" max="16" width="10" style="704" customWidth="1"/>
    <col min="17" max="17" width="2.6640625" style="704" customWidth="1"/>
    <col min="18" max="18" width="9.33203125" style="704" bestFit="1" customWidth="1"/>
    <col min="19" max="19" width="10.44140625" style="704" bestFit="1" customWidth="1"/>
    <col min="20" max="16384" width="9.21875" style="704"/>
  </cols>
  <sheetData>
    <row r="1" spans="1:16" ht="18" thickBot="1">
      <c r="A1" s="702" t="s">
        <v>1353</v>
      </c>
      <c r="B1" s="703"/>
      <c r="C1" s="703"/>
      <c r="D1" s="703"/>
      <c r="E1" s="703"/>
      <c r="F1" s="703"/>
      <c r="G1" s="703"/>
      <c r="H1" s="703"/>
      <c r="I1" s="703"/>
      <c r="J1" s="703"/>
      <c r="K1" s="703"/>
      <c r="L1" s="703"/>
      <c r="M1" s="703"/>
      <c r="N1" s="703"/>
      <c r="O1" s="703"/>
      <c r="P1" s="703"/>
    </row>
    <row r="2" spans="1:16" ht="14.4">
      <c r="A2" s="3080" t="s">
        <v>1354</v>
      </c>
      <c r="B2" s="3080"/>
      <c r="C2" s="3080"/>
      <c r="D2" s="705" t="s">
        <v>1330</v>
      </c>
      <c r="E2" s="706" t="s">
        <v>1331</v>
      </c>
      <c r="F2" s="707"/>
      <c r="G2" s="708"/>
      <c r="H2" s="709"/>
      <c r="I2" s="710" t="s">
        <v>1355</v>
      </c>
      <c r="J2" s="707"/>
      <c r="K2" s="707"/>
      <c r="L2" s="707"/>
      <c r="M2" s="707"/>
      <c r="N2" s="472"/>
      <c r="O2" s="707"/>
      <c r="P2" s="707"/>
    </row>
    <row r="3" spans="1:16" ht="15" thickBot="1">
      <c r="A3" s="3081" t="s">
        <v>1328</v>
      </c>
      <c r="B3" s="3081"/>
      <c r="C3" s="308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4.4">
      <c r="A4" s="3082"/>
      <c r="B4" s="3083"/>
      <c r="C4" s="308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ht="14.4">
      <c r="A5" s="718" t="s">
        <v>1332</v>
      </c>
      <c r="B5" s="3085" t="s">
        <v>1333</v>
      </c>
      <c r="C5" s="308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5" t="s">
        <v>1334</v>
      </c>
      <c r="C6" s="3085"/>
      <c r="D6" s="719" t="e">
        <f>ROUND($D$3*E6/$E$3,2)</f>
        <v>#DIV/0!</v>
      </c>
      <c r="E6" s="720">
        <f>E3-E5</f>
        <v>0</v>
      </c>
      <c r="F6" s="707"/>
      <c r="G6" s="722" t="s">
        <v>1335</v>
      </c>
      <c r="H6" s="723" t="s">
        <v>1336</v>
      </c>
      <c r="I6" s="724" t="e">
        <f>ROUND(F31/D31,2)</f>
        <v>#DIV/0!</v>
      </c>
      <c r="J6" s="707"/>
      <c r="K6" s="707"/>
      <c r="L6" s="707"/>
      <c r="M6" s="707"/>
      <c r="N6" s="707"/>
      <c r="O6" s="707"/>
      <c r="P6" s="707"/>
    </row>
    <row r="7" spans="1:16" ht="15" thickBot="1">
      <c r="A7" s="3077"/>
      <c r="B7" s="3078"/>
      <c r="C7" s="3079"/>
      <c r="D7" s="715" t="s">
        <v>1330</v>
      </c>
      <c r="E7" s="725" t="s">
        <v>1337</v>
      </c>
      <c r="F7" s="707"/>
      <c r="G7" s="726" t="s">
        <v>1338</v>
      </c>
      <c r="H7" s="727"/>
      <c r="I7" s="728"/>
      <c r="J7" s="707"/>
      <c r="K7" s="707"/>
      <c r="L7" s="707"/>
      <c r="M7" s="707"/>
      <c r="N7" s="707"/>
      <c r="O7" s="707"/>
      <c r="P7" s="707"/>
    </row>
    <row r="8" spans="1:16" ht="14.4">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ht="14.4">
      <c r="A9" s="731"/>
      <c r="B9" s="732"/>
      <c r="C9" s="719" t="s">
        <v>1342</v>
      </c>
      <c r="D9" s="719" t="e">
        <f t="shared" si="0"/>
        <v>#DIV/0!</v>
      </c>
      <c r="E9" s="733">
        <v>0</v>
      </c>
      <c r="F9" s="707"/>
      <c r="G9" s="730"/>
      <c r="H9" s="730"/>
      <c r="I9" s="707"/>
      <c r="J9" s="707"/>
      <c r="K9" s="707"/>
      <c r="L9" s="707"/>
      <c r="M9" s="707"/>
      <c r="N9" s="707"/>
      <c r="O9" s="707"/>
      <c r="P9" s="707"/>
    </row>
    <row r="10" spans="1:16" ht="14.4">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ht="14.4">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ht="14.4">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ht="14.4">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ht="14.4">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 thickBot="1">
      <c r="A16" s="721"/>
      <c r="B16" s="732"/>
      <c r="C16" s="729" t="s">
        <v>1346</v>
      </c>
      <c r="D16" s="729" t="e">
        <f>SUM(D8:D15)</f>
        <v>#DIV/0!</v>
      </c>
      <c r="E16" s="734">
        <f>SUM(E8:E15)</f>
        <v>0</v>
      </c>
      <c r="F16" s="707"/>
      <c r="G16" s="730"/>
      <c r="H16" s="735" t="s">
        <v>1358</v>
      </c>
      <c r="I16" s="736"/>
      <c r="J16" s="703"/>
      <c r="K16" s="3074" t="s">
        <v>1358</v>
      </c>
      <c r="L16" s="3075"/>
      <c r="M16" s="3075"/>
      <c r="N16" s="3075"/>
      <c r="O16" s="3075"/>
      <c r="P16" s="3076"/>
    </row>
    <row r="17" spans="1:19" ht="14.4">
      <c r="A17" s="737" t="s">
        <v>1359</v>
      </c>
      <c r="B17" s="738" t="s">
        <v>1360</v>
      </c>
      <c r="C17" s="739" t="s">
        <v>1361</v>
      </c>
      <c r="D17" s="740" t="s">
        <v>1349</v>
      </c>
      <c r="E17" s="741" t="s">
        <v>1350</v>
      </c>
      <c r="F17" s="742"/>
      <c r="G17" s="743"/>
      <c r="H17" s="744" t="s">
        <v>1362</v>
      </c>
      <c r="I17" s="745" t="s">
        <v>1347</v>
      </c>
      <c r="J17" s="703"/>
      <c r="K17" s="3071" t="s">
        <v>1363</v>
      </c>
      <c r="L17" s="3072"/>
      <c r="M17" s="3073"/>
      <c r="N17" s="3071" t="s">
        <v>1364</v>
      </c>
      <c r="O17" s="3072"/>
      <c r="P17" s="3073"/>
      <c r="R17" s="746" t="s">
        <v>1365</v>
      </c>
      <c r="S17" s="747"/>
    </row>
    <row r="18" spans="1:19" ht="14.4">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ht="14.4">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ht="14.4">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ht="14.4">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ht="14.4">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ht="14.4">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ht="14.4">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ht="14.4">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ht="14.4">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ht="14.4">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ht="14.4">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4.4">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ht="14.4">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7734375" defaultRowHeight="13.2"/>
  <cols>
    <col min="1" max="1" width="20.88671875" style="350" customWidth="1"/>
    <col min="2" max="2" width="19.44140625" style="288" customWidth="1"/>
    <col min="3" max="3" width="12.77734375" style="288" customWidth="1"/>
    <col min="4" max="4" width="9.109375" style="351" customWidth="1"/>
    <col min="5" max="5" width="15" style="288" bestFit="1" customWidth="1"/>
    <col min="6" max="10" width="8.88671875" style="288" customWidth="1"/>
    <col min="11" max="12" width="12.33203125" style="247" customWidth="1"/>
    <col min="13" max="13" width="13.33203125" style="288" customWidth="1"/>
    <col min="14" max="14" width="11.88671875" style="288" customWidth="1"/>
    <col min="15" max="15" width="8.44140625" style="288" customWidth="1"/>
    <col min="16" max="17" width="10.88671875" style="288" customWidth="1"/>
    <col min="18" max="19" width="12.44140625" style="288" customWidth="1"/>
    <col min="20" max="20" width="12.109375" style="288" customWidth="1"/>
    <col min="21" max="21" width="7.44140625" style="288" customWidth="1"/>
    <col min="22" max="22" width="6.33203125" style="288" customWidth="1"/>
    <col min="23" max="30" width="6.77734375" style="288" customWidth="1"/>
    <col min="31" max="31" width="8" style="288" customWidth="1"/>
    <col min="32" max="34" width="7.21875" style="288" customWidth="1"/>
    <col min="35" max="39" width="8" style="288" customWidth="1"/>
    <col min="40" max="40" width="13.77734375" style="287"/>
    <col min="41" max="41" width="11.6640625" style="287" customWidth="1"/>
    <col min="42" max="42" width="9.77734375" style="287" customWidth="1"/>
    <col min="43" max="67" width="13.77734375" style="287"/>
    <col min="68" max="16384" width="13.77734375" style="288"/>
  </cols>
  <sheetData>
    <row r="1" spans="1:67" ht="18"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 thickBot="1">
      <c r="A2" s="289" t="s">
        <v>1384</v>
      </c>
      <c r="B2" s="148">
        <f>项目基本情况!D3</f>
        <v>44889</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4.4"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57.6">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3.8">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3.8">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3.8">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3.8">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3.8">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3.8">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3.8">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3.8">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4">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8.8">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8"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4">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4">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4">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4">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4">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4.4"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8.8">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8.8">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9.4"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8.8">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8.8">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9.4"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4">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4">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4">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4">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4">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4">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4.4"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4">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4">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4">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4">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4">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4">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4">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4">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4">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8.8">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4">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4">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4">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4">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4">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4">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4">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4">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4">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3.8"/>
  <cols>
    <col min="1" max="1" width="9.44140625" style="816" customWidth="1"/>
    <col min="2" max="2" width="24.44140625" style="864" customWidth="1"/>
    <col min="3" max="3" width="24.44140625" style="863" customWidth="1"/>
    <col min="4" max="4" width="2.6640625" style="863" customWidth="1"/>
    <col min="5" max="5" width="5.88671875" style="863" customWidth="1"/>
    <col min="6" max="6" width="27" style="864" customWidth="1"/>
    <col min="7" max="7" width="27" style="863" customWidth="1"/>
    <col min="8" max="8" width="11.88671875" style="843" customWidth="1"/>
    <col min="9" max="9" width="16.77734375" style="843" customWidth="1"/>
    <col min="10" max="10" width="2.6640625" style="843" customWidth="1"/>
    <col min="11" max="11" width="11.88671875" style="843" customWidth="1"/>
    <col min="12" max="12" width="16.77734375" style="843" customWidth="1"/>
    <col min="13" max="13" width="2.6640625" style="843" customWidth="1"/>
    <col min="14" max="14" width="11.88671875" style="843" customWidth="1"/>
    <col min="15" max="15" width="16.77734375" style="843" customWidth="1"/>
    <col min="16" max="16" width="2.6640625" style="843" customWidth="1"/>
    <col min="17" max="17" width="11.88671875" style="843" customWidth="1"/>
    <col min="18" max="18" width="16.77734375" style="815" customWidth="1"/>
    <col min="19" max="29" width="9" style="815"/>
    <col min="30" max="16384" width="9" style="816"/>
  </cols>
  <sheetData>
    <row r="1" spans="1:29" s="809" customFormat="1" ht="18" thickBot="1">
      <c r="A1" s="3086" t="s">
        <v>2548</v>
      </c>
      <c r="B1" s="3087"/>
      <c r="C1" s="3087"/>
      <c r="D1" s="3087"/>
      <c r="E1" s="3087"/>
      <c r="F1" s="3087"/>
      <c r="G1" s="3087"/>
      <c r="H1" s="806"/>
      <c r="I1" s="806"/>
      <c r="J1" s="806"/>
      <c r="K1" s="806"/>
      <c r="L1" s="806"/>
      <c r="M1" s="806"/>
      <c r="N1" s="806"/>
      <c r="O1" s="806"/>
      <c r="P1" s="806"/>
      <c r="Q1" s="807"/>
      <c r="R1" s="808"/>
      <c r="S1" s="808"/>
      <c r="T1" s="808"/>
      <c r="U1" s="808"/>
      <c r="V1" s="808"/>
      <c r="W1" s="808"/>
      <c r="X1" s="808"/>
      <c r="Y1" s="808"/>
      <c r="Z1" s="808"/>
      <c r="AA1" s="808"/>
      <c r="AB1" s="808"/>
      <c r="AC1" s="808"/>
    </row>
    <row r="2" spans="1:29" ht="14.4"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7.200000000000003">
      <c r="A4" s="821"/>
      <c r="B4" s="460" t="s">
        <v>2516</v>
      </c>
      <c r="C4" s="824" t="s">
        <v>2517</v>
      </c>
      <c r="D4" s="820"/>
      <c r="E4" s="825"/>
      <c r="F4" s="826" t="s">
        <v>2518</v>
      </c>
      <c r="G4" s="827" t="s">
        <v>2519</v>
      </c>
      <c r="H4" s="815"/>
      <c r="I4" s="815"/>
      <c r="J4" s="815"/>
      <c r="K4" s="815"/>
      <c r="L4" s="815"/>
      <c r="M4" s="815"/>
      <c r="N4" s="815"/>
      <c r="O4" s="815"/>
      <c r="P4" s="815"/>
      <c r="Q4" s="815"/>
    </row>
    <row r="5" spans="1:29" ht="37.200000000000003">
      <c r="A5" s="821"/>
      <c r="B5" s="460" t="s">
        <v>2520</v>
      </c>
      <c r="C5" s="824" t="s">
        <v>2521</v>
      </c>
      <c r="D5" s="820"/>
      <c r="E5" s="825"/>
      <c r="F5" s="460" t="s">
        <v>2522</v>
      </c>
      <c r="G5" s="827" t="s">
        <v>2523</v>
      </c>
      <c r="H5" s="815"/>
      <c r="I5" s="815"/>
      <c r="J5" s="815"/>
      <c r="K5" s="815"/>
      <c r="L5" s="815"/>
      <c r="M5" s="815"/>
      <c r="N5" s="815"/>
      <c r="O5" s="815"/>
      <c r="P5" s="815"/>
      <c r="Q5" s="815"/>
    </row>
    <row r="6" spans="1:29" ht="48">
      <c r="A6" s="821"/>
      <c r="B6" s="460" t="s">
        <v>2524</v>
      </c>
      <c r="C6" s="827" t="s">
        <v>2519</v>
      </c>
      <c r="D6" s="820"/>
      <c r="E6" s="825"/>
      <c r="F6" s="460" t="s">
        <v>2525</v>
      </c>
      <c r="G6" s="827" t="s">
        <v>2526</v>
      </c>
      <c r="H6" s="815"/>
      <c r="I6" s="815"/>
      <c r="J6" s="815"/>
      <c r="K6" s="815"/>
      <c r="L6" s="815"/>
      <c r="M6" s="815"/>
      <c r="N6" s="815"/>
      <c r="O6" s="815"/>
      <c r="P6" s="815"/>
      <c r="Q6" s="815"/>
    </row>
    <row r="7" spans="1:29" ht="36.6" thickBot="1">
      <c r="A7" s="821"/>
      <c r="B7" s="460" t="s">
        <v>2522</v>
      </c>
      <c r="C7" s="827" t="s">
        <v>2523</v>
      </c>
      <c r="D7" s="820"/>
      <c r="E7" s="828"/>
      <c r="F7" s="829" t="s">
        <v>2527</v>
      </c>
      <c r="G7" s="830" t="s">
        <v>2528</v>
      </c>
      <c r="H7" s="815"/>
      <c r="I7" s="815"/>
      <c r="J7" s="815"/>
      <c r="K7" s="815"/>
      <c r="L7" s="815"/>
      <c r="M7" s="815"/>
      <c r="N7" s="815"/>
      <c r="O7" s="815"/>
      <c r="P7" s="815"/>
      <c r="Q7" s="815"/>
    </row>
    <row r="8" spans="1:29" ht="24">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4.4"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7.399999999999999">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 thickBot="1">
      <c r="A13" s="842" t="s">
        <v>2549</v>
      </c>
      <c r="B13" s="838"/>
      <c r="C13" s="838"/>
      <c r="D13" s="837"/>
      <c r="E13" s="838"/>
      <c r="F13" s="838"/>
      <c r="G13" s="838"/>
    </row>
    <row r="14" spans="1:29" ht="14.4" thickBot="1">
      <c r="A14" s="844"/>
      <c r="B14" s="844"/>
      <c r="C14" s="845" t="s">
        <v>2532</v>
      </c>
      <c r="D14" s="820"/>
      <c r="E14" s="846"/>
      <c r="F14" s="846"/>
      <c r="G14" s="812" t="s">
        <v>2533</v>
      </c>
    </row>
    <row r="15" spans="1:29" ht="52.8">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9.6">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9.6">
      <c r="A17" s="851"/>
      <c r="B17" s="852" t="s">
        <v>2520</v>
      </c>
      <c r="C17" s="853" t="str">
        <f>C5</f>
        <v>估价对象位于XX商圈，周边办公楼项目较多，入驻率高，办公集聚程度较好</v>
      </c>
      <c r="D17" s="820"/>
      <c r="E17" s="851"/>
      <c r="F17" s="854" t="s">
        <v>2537</v>
      </c>
      <c r="G17" s="855"/>
    </row>
    <row r="18" spans="1:17" ht="52.8">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6.4">
      <c r="A19" s="851"/>
      <c r="B19" s="854" t="s">
        <v>2538</v>
      </c>
      <c r="C19" s="855"/>
      <c r="D19" s="820"/>
      <c r="E19" s="851"/>
      <c r="F19" s="460" t="s">
        <v>2522</v>
      </c>
      <c r="G19" s="853" t="str">
        <f>G5</f>
        <v>估价对象所在区域公共配套设施齐备情况</v>
      </c>
    </row>
    <row r="20" spans="1:17" ht="26.4">
      <c r="A20" s="851"/>
      <c r="B20" s="854" t="s">
        <v>2539</v>
      </c>
      <c r="C20" s="853" t="str">
        <f>C9</f>
        <v>区域自然环境：；人文环境；综合评价环境状况一般</v>
      </c>
      <c r="D20" s="820"/>
      <c r="E20" s="851"/>
      <c r="F20" s="460" t="s">
        <v>2525</v>
      </c>
      <c r="G20" s="853" t="str">
        <f>G6</f>
        <v>估价对象所在区域基础设施水平</v>
      </c>
    </row>
    <row r="21" spans="1:17" ht="26.4">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4.4"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4.4"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4.4"/>
  <cols>
    <col min="1" max="1" width="25" style="798" customWidth="1"/>
    <col min="2" max="9" width="15.77734375" style="798" customWidth="1"/>
    <col min="10" max="16384" width="9" style="798"/>
  </cols>
  <sheetData>
    <row r="1" spans="1:11" ht="16.2">
      <c r="A1" s="794" t="s">
        <v>878</v>
      </c>
      <c r="B1" s="794">
        <f>SUM(B14:B23)</f>
        <v>0</v>
      </c>
      <c r="C1" s="795"/>
      <c r="D1" s="795"/>
      <c r="E1" s="795"/>
      <c r="F1" s="795"/>
      <c r="G1" s="796"/>
      <c r="H1" s="797"/>
      <c r="I1" s="797"/>
      <c r="J1" s="797"/>
      <c r="K1" s="797"/>
    </row>
    <row r="2" spans="1:11" ht="16.2">
      <c r="A2" s="794" t="s">
        <v>866</v>
      </c>
      <c r="B2" s="794" t="e">
        <f>SUM(C14:C23)</f>
        <v>#DIV/0!</v>
      </c>
      <c r="C2" s="795"/>
      <c r="D2" s="795"/>
      <c r="E2" s="795"/>
      <c r="F2" s="795"/>
      <c r="G2" s="796"/>
      <c r="H2" s="797"/>
      <c r="I2" s="797"/>
      <c r="J2" s="797"/>
      <c r="K2" s="797"/>
    </row>
    <row r="3" spans="1:11" ht="15.6">
      <c r="A3" s="794" t="s">
        <v>875</v>
      </c>
      <c r="B3" s="353">
        <f>项目基本情况!D3</f>
        <v>44889</v>
      </c>
      <c r="C3" s="795"/>
      <c r="D3" s="795"/>
      <c r="E3" s="795"/>
      <c r="F3" s="795"/>
      <c r="G3" s="796"/>
      <c r="H3" s="797"/>
      <c r="I3" s="797"/>
      <c r="J3" s="797"/>
      <c r="K3" s="797"/>
    </row>
    <row r="4" spans="1:11" ht="31.2">
      <c r="A4" s="794" t="s">
        <v>874</v>
      </c>
      <c r="B4" s="794" t="s">
        <v>873</v>
      </c>
      <c r="C4" s="794" t="s">
        <v>872</v>
      </c>
      <c r="D4" s="794" t="s">
        <v>871</v>
      </c>
      <c r="E4" s="795"/>
      <c r="F4" s="796"/>
      <c r="G4" s="796"/>
      <c r="H4" s="797"/>
      <c r="I4" s="797"/>
      <c r="J4" s="797"/>
      <c r="K4" s="797"/>
    </row>
    <row r="5" spans="1:11" ht="15.6">
      <c r="A5" s="794" t="s">
        <v>870</v>
      </c>
      <c r="B5" s="794" t="e">
        <f ca="1">SUM(D14:D23)</f>
        <v>#REF!</v>
      </c>
      <c r="C5" s="794" t="e">
        <f ca="1">ROUND(B5*10000/$B$1,0)</f>
        <v>#REF!</v>
      </c>
      <c r="D5" s="794" t="e">
        <f ca="1">ROUND(B5*10000/$B$2,0)</f>
        <v>#REF!</v>
      </c>
      <c r="E5" s="795"/>
      <c r="F5" s="796"/>
      <c r="G5" s="796"/>
      <c r="H5" s="797"/>
      <c r="I5" s="797"/>
      <c r="J5" s="797"/>
      <c r="K5" s="797"/>
    </row>
    <row r="6" spans="1:11" ht="15.6">
      <c r="A6" s="794" t="s">
        <v>869</v>
      </c>
      <c r="B6" s="794" t="e">
        <f ca="1">SUM(G14:G23)</f>
        <v>#REF!</v>
      </c>
      <c r="C6" s="794" t="e">
        <f ca="1">ROUND(B6*10000/$B$1,0)</f>
        <v>#REF!</v>
      </c>
      <c r="D6" s="794" t="e">
        <f ca="1">ROUND(B6*10000/$B$2,0)</f>
        <v>#REF!</v>
      </c>
      <c r="E6" s="795"/>
      <c r="F6" s="796"/>
      <c r="G6" s="796"/>
      <c r="H6" s="797"/>
      <c r="I6" s="797"/>
      <c r="J6" s="797"/>
      <c r="K6" s="797"/>
    </row>
    <row r="7" spans="1:11" ht="15.6">
      <c r="A7" s="794" t="s">
        <v>877</v>
      </c>
      <c r="B7" s="794">
        <f>SUM(H14:H23)</f>
        <v>0</v>
      </c>
      <c r="C7" s="794" t="e">
        <f>ROUND(B7*10000/$B$1,0)</f>
        <v>#DIV/0!</v>
      </c>
      <c r="D7" s="794" t="e">
        <f>ROUND(B7*10000/$B$2,0)</f>
        <v>#DIV/0!</v>
      </c>
      <c r="E7" s="795"/>
      <c r="F7" s="796"/>
      <c r="G7" s="796"/>
      <c r="H7" s="797"/>
      <c r="I7" s="797"/>
      <c r="J7" s="797"/>
      <c r="K7" s="797"/>
    </row>
    <row r="8" spans="1:11" ht="15.6">
      <c r="A8" s="794" t="s">
        <v>800</v>
      </c>
      <c r="B8" s="794">
        <f>SUM(I14:I23)</f>
        <v>0</v>
      </c>
      <c r="C8" s="794" t="e">
        <f>ROUND(B8*10000/$B$1,0)</f>
        <v>#DIV/0!</v>
      </c>
      <c r="D8" s="794" t="e">
        <f>ROUND(B8*10000/$B$2,0)</f>
        <v>#DIV/0!</v>
      </c>
      <c r="E8" s="795"/>
      <c r="F8" s="796"/>
      <c r="G8" s="796"/>
      <c r="H8" s="797"/>
      <c r="I8" s="797"/>
      <c r="J8" s="797"/>
      <c r="K8" s="797"/>
    </row>
    <row r="9" spans="1:11" ht="15.6">
      <c r="A9" s="794" t="s">
        <v>868</v>
      </c>
      <c r="B9" s="799"/>
      <c r="C9" s="795"/>
      <c r="D9" s="795"/>
      <c r="E9" s="795"/>
      <c r="F9" s="796"/>
      <c r="G9" s="796"/>
      <c r="H9" s="797"/>
      <c r="I9" s="797"/>
      <c r="J9" s="797"/>
      <c r="K9" s="797"/>
    </row>
    <row r="10" spans="1:11" ht="15.6">
      <c r="A10" s="794" t="s">
        <v>867</v>
      </c>
      <c r="B10" s="799"/>
      <c r="C10" s="795"/>
      <c r="D10" s="795"/>
      <c r="E10" s="795"/>
      <c r="F10" s="796"/>
      <c r="G10" s="796"/>
      <c r="H10" s="797"/>
      <c r="I10" s="797"/>
      <c r="J10" s="797"/>
      <c r="K10" s="797"/>
    </row>
    <row r="11" spans="1:11" ht="15.6">
      <c r="A11" s="794" t="s">
        <v>883</v>
      </c>
      <c r="B11" s="799"/>
      <c r="C11" s="795"/>
      <c r="D11" s="795"/>
      <c r="E11" s="795"/>
      <c r="F11" s="796"/>
      <c r="G11" s="796"/>
      <c r="H11" s="797"/>
      <c r="I11" s="797"/>
      <c r="J11" s="797"/>
      <c r="K11" s="797"/>
    </row>
    <row r="12" spans="1:11" ht="15.6">
      <c r="A12" s="795"/>
      <c r="B12" s="795"/>
      <c r="C12" s="795"/>
      <c r="D12" s="795"/>
      <c r="E12" s="795"/>
      <c r="F12" s="796"/>
      <c r="G12" s="796"/>
      <c r="H12" s="797"/>
      <c r="I12" s="797"/>
      <c r="J12" s="797"/>
      <c r="K12" s="797"/>
    </row>
    <row r="13" spans="1:11" ht="31.8">
      <c r="A13" s="800" t="s">
        <v>882</v>
      </c>
      <c r="B13" s="801" t="s">
        <v>879</v>
      </c>
      <c r="C13" s="801" t="s">
        <v>881</v>
      </c>
      <c r="D13" s="801" t="s">
        <v>880</v>
      </c>
      <c r="E13" s="794" t="s">
        <v>872</v>
      </c>
      <c r="F13" s="794" t="s">
        <v>871</v>
      </c>
      <c r="G13" s="801" t="s">
        <v>865</v>
      </c>
      <c r="H13" s="801" t="s">
        <v>876</v>
      </c>
      <c r="I13" s="801" t="s">
        <v>864</v>
      </c>
      <c r="J13" s="796"/>
      <c r="K13" s="797"/>
    </row>
    <row r="14" spans="1:11" ht="15.6">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5.6">
      <c r="A15" s="802" t="s">
        <v>862</v>
      </c>
      <c r="B15" s="804"/>
      <c r="C15" s="804"/>
      <c r="D15" s="804"/>
      <c r="E15" s="803" t="e">
        <f t="shared" ref="E15:E23" si="0">ROUND(D15*10000/B15,0)</f>
        <v>#DIV/0!</v>
      </c>
      <c r="F15" s="803" t="e">
        <f t="shared" ref="F15:F23" si="1">ROUND(D15*10000/C15,0)</f>
        <v>#DIV/0!</v>
      </c>
      <c r="G15" s="805"/>
      <c r="H15" s="805"/>
      <c r="I15" s="804"/>
      <c r="J15" s="796"/>
      <c r="K15" s="797"/>
    </row>
    <row r="16" spans="1:11" ht="15.6">
      <c r="A16" s="802" t="s">
        <v>861</v>
      </c>
      <c r="B16" s="804"/>
      <c r="C16" s="804"/>
      <c r="D16" s="804"/>
      <c r="E16" s="803" t="e">
        <f t="shared" si="0"/>
        <v>#DIV/0!</v>
      </c>
      <c r="F16" s="803" t="e">
        <f t="shared" si="1"/>
        <v>#DIV/0!</v>
      </c>
      <c r="G16" s="805"/>
      <c r="H16" s="805"/>
      <c r="I16" s="804"/>
      <c r="J16" s="797"/>
      <c r="K16" s="797"/>
    </row>
    <row r="17" spans="1:11" ht="15.6">
      <c r="A17" s="802" t="s">
        <v>860</v>
      </c>
      <c r="B17" s="804"/>
      <c r="C17" s="804"/>
      <c r="D17" s="804"/>
      <c r="E17" s="803" t="e">
        <f t="shared" si="0"/>
        <v>#DIV/0!</v>
      </c>
      <c r="F17" s="803" t="e">
        <f t="shared" si="1"/>
        <v>#DIV/0!</v>
      </c>
      <c r="G17" s="805"/>
      <c r="H17" s="805"/>
      <c r="I17" s="804"/>
      <c r="J17" s="797"/>
      <c r="K17" s="797"/>
    </row>
    <row r="18" spans="1:11" ht="15.6">
      <c r="A18" s="802" t="s">
        <v>859</v>
      </c>
      <c r="B18" s="804"/>
      <c r="C18" s="804"/>
      <c r="D18" s="804"/>
      <c r="E18" s="803" t="e">
        <f t="shared" si="0"/>
        <v>#DIV/0!</v>
      </c>
      <c r="F18" s="803" t="e">
        <f t="shared" si="1"/>
        <v>#DIV/0!</v>
      </c>
      <c r="G18" s="804"/>
      <c r="H18" s="804"/>
      <c r="I18" s="804"/>
      <c r="J18" s="797"/>
      <c r="K18" s="797"/>
    </row>
    <row r="19" spans="1:11" ht="15.6">
      <c r="A19" s="802" t="s">
        <v>858</v>
      </c>
      <c r="B19" s="804"/>
      <c r="C19" s="804"/>
      <c r="D19" s="804"/>
      <c r="E19" s="803" t="e">
        <f t="shared" si="0"/>
        <v>#DIV/0!</v>
      </c>
      <c r="F19" s="803" t="e">
        <f t="shared" si="1"/>
        <v>#DIV/0!</v>
      </c>
      <c r="G19" s="804"/>
      <c r="H19" s="804"/>
      <c r="I19" s="804"/>
      <c r="J19" s="797"/>
      <c r="K19" s="797"/>
    </row>
    <row r="20" spans="1:11" ht="15.6">
      <c r="A20" s="802" t="s">
        <v>857</v>
      </c>
      <c r="B20" s="804"/>
      <c r="C20" s="804"/>
      <c r="D20" s="804"/>
      <c r="E20" s="803" t="e">
        <f t="shared" si="0"/>
        <v>#DIV/0!</v>
      </c>
      <c r="F20" s="803" t="e">
        <f t="shared" si="1"/>
        <v>#DIV/0!</v>
      </c>
      <c r="G20" s="804"/>
      <c r="H20" s="804"/>
      <c r="I20" s="804"/>
      <c r="J20" s="797"/>
      <c r="K20" s="797"/>
    </row>
    <row r="21" spans="1:11" ht="15.6">
      <c r="A21" s="802" t="s">
        <v>856</v>
      </c>
      <c r="B21" s="804"/>
      <c r="C21" s="804"/>
      <c r="D21" s="804"/>
      <c r="E21" s="803" t="e">
        <f t="shared" si="0"/>
        <v>#DIV/0!</v>
      </c>
      <c r="F21" s="803" t="e">
        <f t="shared" si="1"/>
        <v>#DIV/0!</v>
      </c>
      <c r="G21" s="804"/>
      <c r="H21" s="804"/>
      <c r="I21" s="804"/>
      <c r="J21" s="797"/>
      <c r="K21" s="797"/>
    </row>
    <row r="22" spans="1:11" ht="15.6">
      <c r="A22" s="802" t="s">
        <v>855</v>
      </c>
      <c r="B22" s="804"/>
      <c r="C22" s="804"/>
      <c r="D22" s="804"/>
      <c r="E22" s="803" t="e">
        <f t="shared" si="0"/>
        <v>#DIV/0!</v>
      </c>
      <c r="F22" s="803" t="e">
        <f t="shared" si="1"/>
        <v>#DIV/0!</v>
      </c>
      <c r="G22" s="804"/>
      <c r="H22" s="804"/>
      <c r="I22" s="804"/>
      <c r="J22" s="797"/>
      <c r="K22" s="797"/>
    </row>
    <row r="23" spans="1:11" ht="15.6">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640625" defaultRowHeight="21.75" customHeight="1"/>
  <cols>
    <col min="1" max="2" width="12.6640625" style="871"/>
    <col min="3" max="4" width="12.6640625" style="871" customWidth="1"/>
    <col min="5" max="9" width="12.6640625" style="871"/>
    <col min="10" max="11" width="12.6640625" style="590" customWidth="1"/>
    <col min="12" max="12" width="12.6640625" style="590"/>
    <col min="13" max="13" width="14.109375" style="590" bestFit="1" customWidth="1"/>
    <col min="14" max="26" width="12.6640625" style="590"/>
    <col min="27" max="35" width="12.6640625" style="870"/>
    <col min="36" max="16384" width="12.6640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50" t="str">
        <f>项目基本情况!S2</f>
        <v>房地产</v>
      </c>
      <c r="B2" s="3151"/>
      <c r="C2" s="3151"/>
      <c r="D2" s="3151"/>
      <c r="E2" s="3151"/>
      <c r="F2" s="3151"/>
      <c r="G2" s="3151"/>
      <c r="H2" s="3151"/>
      <c r="I2" s="3152"/>
    </row>
    <row r="3" spans="1:12" ht="13.2">
      <c r="A3" s="3154" t="s">
        <v>1488</v>
      </c>
      <c r="B3" s="3155"/>
      <c r="C3" s="3155"/>
      <c r="D3" s="3155"/>
      <c r="E3" s="3155"/>
      <c r="F3" s="3155"/>
      <c r="G3" s="3155"/>
      <c r="H3" s="3155"/>
      <c r="I3" s="3155"/>
    </row>
    <row r="4" spans="1:12" ht="14.4">
      <c r="A4" s="872" t="s">
        <v>1489</v>
      </c>
      <c r="B4" s="873" t="s">
        <v>1490</v>
      </c>
      <c r="C4" s="874"/>
      <c r="D4" s="874"/>
      <c r="E4" s="3159" t="s">
        <v>1491</v>
      </c>
      <c r="F4" s="3160"/>
      <c r="G4" s="3160"/>
      <c r="H4" s="3160"/>
      <c r="I4" s="316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02" t="s">
        <v>1492</v>
      </c>
      <c r="B5" s="3153">
        <v>25</v>
      </c>
      <c r="C5" s="3156"/>
      <c r="D5" s="3145"/>
      <c r="E5" s="875" t="s">
        <v>1493</v>
      </c>
      <c r="F5" s="876"/>
      <c r="G5" s="876"/>
      <c r="H5" s="876"/>
      <c r="I5" s="826"/>
    </row>
    <row r="6" spans="1:12" ht="13.2">
      <c r="A6" s="3102"/>
      <c r="B6" s="3153"/>
      <c r="C6" s="3158"/>
      <c r="D6" s="3145"/>
      <c r="E6" s="875" t="s">
        <v>1494</v>
      </c>
      <c r="F6" s="876"/>
      <c r="G6" s="876"/>
      <c r="H6" s="876"/>
      <c r="I6" s="826"/>
    </row>
    <row r="7" spans="1:12" ht="13.2">
      <c r="A7" s="3102"/>
      <c r="B7" s="3153"/>
      <c r="C7" s="3157"/>
      <c r="D7" s="3145"/>
      <c r="E7" s="875" t="s">
        <v>1495</v>
      </c>
      <c r="F7" s="876"/>
      <c r="G7" s="876"/>
      <c r="H7" s="876"/>
      <c r="I7" s="826"/>
    </row>
    <row r="8" spans="1:12" ht="13.2">
      <c r="A8" s="3102" t="s">
        <v>1496</v>
      </c>
      <c r="B8" s="3153">
        <v>15</v>
      </c>
      <c r="C8" s="3156"/>
      <c r="D8" s="3145"/>
      <c r="E8" s="875" t="s">
        <v>1497</v>
      </c>
      <c r="F8" s="876"/>
      <c r="G8" s="876"/>
      <c r="H8" s="876"/>
      <c r="I8" s="826"/>
    </row>
    <row r="9" spans="1:12" ht="13.2">
      <c r="A9" s="3102"/>
      <c r="B9" s="3153"/>
      <c r="C9" s="3157"/>
      <c r="D9" s="3145"/>
      <c r="E9" s="875" t="s">
        <v>1498</v>
      </c>
      <c r="F9" s="876"/>
      <c r="G9" s="876"/>
      <c r="H9" s="876"/>
      <c r="I9" s="826"/>
    </row>
    <row r="10" spans="1:12" ht="13.2">
      <c r="A10" s="3102" t="s">
        <v>1499</v>
      </c>
      <c r="B10" s="3153">
        <v>15</v>
      </c>
      <c r="C10" s="3156"/>
      <c r="D10" s="3145"/>
      <c r="E10" s="875" t="s">
        <v>1500</v>
      </c>
      <c r="F10" s="876"/>
      <c r="G10" s="876"/>
      <c r="H10" s="876"/>
      <c r="I10" s="826"/>
    </row>
    <row r="11" spans="1:12" ht="13.2">
      <c r="A11" s="3102"/>
      <c r="B11" s="3153"/>
      <c r="C11" s="3157"/>
      <c r="D11" s="3145"/>
      <c r="E11" s="875" t="s">
        <v>1501</v>
      </c>
      <c r="F11" s="876"/>
      <c r="G11" s="876"/>
      <c r="H11" s="876"/>
      <c r="I11" s="826"/>
    </row>
    <row r="12" spans="1:12" ht="13.2">
      <c r="A12" s="3102" t="s">
        <v>1502</v>
      </c>
      <c r="B12" s="3153">
        <v>15</v>
      </c>
      <c r="C12" s="3156"/>
      <c r="D12" s="3145"/>
      <c r="E12" s="875" t="s">
        <v>1503</v>
      </c>
      <c r="F12" s="876"/>
      <c r="G12" s="876"/>
      <c r="H12" s="876"/>
      <c r="I12" s="826"/>
    </row>
    <row r="13" spans="1:12" ht="13.2">
      <c r="A13" s="3102"/>
      <c r="B13" s="3153"/>
      <c r="C13" s="3157"/>
      <c r="D13" s="3145"/>
      <c r="E13" s="875" t="s">
        <v>1504</v>
      </c>
      <c r="F13" s="876"/>
      <c r="G13" s="876"/>
      <c r="H13" s="876"/>
      <c r="I13" s="826"/>
    </row>
    <row r="14" spans="1:12" ht="13.2">
      <c r="A14" s="3102" t="s">
        <v>1505</v>
      </c>
      <c r="B14" s="3153">
        <v>30</v>
      </c>
      <c r="C14" s="3156"/>
      <c r="D14" s="3145"/>
      <c r="E14" s="875" t="s">
        <v>1506</v>
      </c>
      <c r="F14" s="876"/>
      <c r="G14" s="876"/>
      <c r="H14" s="876"/>
      <c r="I14" s="826"/>
    </row>
    <row r="15" spans="1:12" ht="13.2">
      <c r="A15" s="3102"/>
      <c r="B15" s="3153"/>
      <c r="C15" s="3158"/>
      <c r="D15" s="3145"/>
      <c r="E15" s="875" t="s">
        <v>1507</v>
      </c>
      <c r="F15" s="876"/>
      <c r="G15" s="876"/>
      <c r="H15" s="876"/>
      <c r="I15" s="826"/>
    </row>
    <row r="16" spans="1:12" ht="13.2">
      <c r="A16" s="3102"/>
      <c r="B16" s="3153"/>
      <c r="C16" s="3157"/>
      <c r="D16" s="3145"/>
      <c r="E16" s="875" t="s">
        <v>1508</v>
      </c>
      <c r="F16" s="876"/>
      <c r="G16" s="876"/>
      <c r="H16" s="876"/>
      <c r="I16" s="826"/>
    </row>
    <row r="17" spans="1:36" ht="14.4">
      <c r="A17" s="877" t="s">
        <v>1509</v>
      </c>
      <c r="B17" s="747"/>
      <c r="C17" s="878">
        <f>SUM(C5:C16)</f>
        <v>0</v>
      </c>
      <c r="D17" s="878">
        <f>SUM(D5:D16)</f>
        <v>0</v>
      </c>
      <c r="E17" s="677"/>
      <c r="F17" s="677"/>
      <c r="G17" s="677"/>
      <c r="H17" s="677"/>
      <c r="I17" s="677"/>
      <c r="K17" s="879"/>
      <c r="L17" s="879" t="s">
        <v>1510</v>
      </c>
      <c r="M17" s="879" t="s">
        <v>1511</v>
      </c>
    </row>
    <row r="18" spans="1:36" ht="31.95" customHeight="1" thickBot="1">
      <c r="A18" s="880" t="s">
        <v>1512</v>
      </c>
      <c r="B18" s="881"/>
      <c r="C18" s="882" t="e">
        <f>ROUND(C17/SUM(C17:D17),2)</f>
        <v>#DIV/0!</v>
      </c>
      <c r="D18" s="882" t="e">
        <f>1-C18</f>
        <v>#DIV/0!</v>
      </c>
      <c r="E18" s="3175" t="s">
        <v>2389</v>
      </c>
      <c r="F18" s="3176"/>
      <c r="G18" s="3176"/>
      <c r="H18" s="3176"/>
      <c r="I18" s="3176"/>
      <c r="K18" s="879" t="s">
        <v>1513</v>
      </c>
      <c r="L18" s="879">
        <f>IF(C1="",'数据-汇总表'!E3,SUMIF(项目类型,C1,'数据-汇总表'!E17:E26)+SUMIF(项目类型,C1,'数据-汇总表'!I17:I26))</f>
        <v>0</v>
      </c>
      <c r="M18" s="879">
        <f>IF(C1="",'数据-汇总表'!E3,SUMIF(项目类型,C1,'数据-汇总表'!E17:E26))</f>
        <v>0</v>
      </c>
    </row>
    <row r="19" spans="1:36" ht="14.4">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4.4">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8" thickBot="1">
      <c r="A23" s="865"/>
      <c r="B23" s="865"/>
      <c r="C23" s="865"/>
      <c r="D23" s="865"/>
      <c r="E23" s="677"/>
      <c r="F23" s="677"/>
      <c r="G23" s="677"/>
      <c r="H23" s="677"/>
      <c r="I23" s="677"/>
    </row>
    <row r="24" spans="1:36" ht="14.4">
      <c r="A24" s="3168" t="s">
        <v>1523</v>
      </c>
      <c r="B24" s="884" t="s">
        <v>1515</v>
      </c>
      <c r="C24" s="887">
        <f>IF(B30=0,0,D30)</f>
        <v>0</v>
      </c>
      <c r="D24" s="903"/>
      <c r="E24" s="677"/>
      <c r="F24" s="677"/>
      <c r="G24" s="677"/>
      <c r="H24" s="677"/>
      <c r="I24" s="677"/>
    </row>
    <row r="25" spans="1:36" ht="14.4">
      <c r="A25" s="316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3.8">
      <c r="A27" s="906"/>
      <c r="B27" s="907">
        <v>0</v>
      </c>
      <c r="C27" s="907">
        <v>0</v>
      </c>
      <c r="D27" s="908">
        <f>ROUND(C27*B27/10000,0)</f>
        <v>0</v>
      </c>
      <c r="E27" s="677"/>
      <c r="F27" s="677"/>
      <c r="G27" s="677"/>
      <c r="H27" s="677"/>
      <c r="I27" s="677"/>
    </row>
    <row r="28" spans="1:36" ht="13.8">
      <c r="A28" s="906"/>
      <c r="B28" s="907"/>
      <c r="C28" s="907"/>
      <c r="D28" s="908"/>
      <c r="E28" s="677"/>
      <c r="F28" s="677"/>
      <c r="G28" s="677"/>
      <c r="H28" s="677"/>
      <c r="I28" s="677"/>
    </row>
    <row r="29" spans="1:36" ht="13.8">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5.6" thickTop="1" thickBot="1">
      <c r="A32" s="917" t="s">
        <v>1529</v>
      </c>
      <c r="B32" s="918"/>
      <c r="C32" s="919" t="e">
        <f ca="1">IF(D32="总价",G19-C24,G20-C25)</f>
        <v>#REF!</v>
      </c>
      <c r="D32" s="920"/>
      <c r="E32" s="677"/>
      <c r="F32" s="677"/>
      <c r="G32" s="677"/>
      <c r="H32" s="677"/>
      <c r="I32" s="677"/>
    </row>
    <row r="33" spans="1:15" ht="14.4">
      <c r="A33" s="921" t="s">
        <v>1530</v>
      </c>
      <c r="B33" s="922"/>
      <c r="C33" s="923"/>
      <c r="D33" s="924"/>
      <c r="E33" s="925" t="s">
        <v>1531</v>
      </c>
      <c r="F33" s="926" t="str">
        <f>IF(D32="楼面单价","取值（单价）","取值（总价）")</f>
        <v>取值（总价）</v>
      </c>
      <c r="G33" s="677"/>
      <c r="H33" s="677"/>
      <c r="I33" s="677"/>
    </row>
    <row r="34" spans="1:15" ht="14.4">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 thickBot="1">
      <c r="A36" s="3146" t="s">
        <v>1536</v>
      </c>
      <c r="B36" s="938" t="s">
        <v>1537</v>
      </c>
      <c r="C36" s="939"/>
      <c r="D36" s="940"/>
      <c r="E36" s="941"/>
      <c r="F36" s="942"/>
      <c r="G36" s="677"/>
      <c r="H36" s="677"/>
      <c r="I36" s="677"/>
    </row>
    <row r="37" spans="1:15" ht="15" thickBot="1">
      <c r="A37" s="3147"/>
      <c r="B37" s="784" t="s">
        <v>1538</v>
      </c>
      <c r="C37" s="943"/>
      <c r="D37" s="703"/>
      <c r="E37" s="703"/>
      <c r="F37" s="942"/>
      <c r="G37" s="677"/>
      <c r="H37" s="677"/>
      <c r="I37" s="677"/>
    </row>
    <row r="38" spans="1:15" ht="15" thickBot="1">
      <c r="A38" s="3148"/>
      <c r="B38" s="944" t="s">
        <v>1539</v>
      </c>
      <c r="C38" s="945"/>
      <c r="D38" s="946" t="s">
        <v>1540</v>
      </c>
      <c r="E38" s="703"/>
      <c r="F38" s="942"/>
      <c r="G38" s="677"/>
      <c r="H38" s="677"/>
      <c r="I38" s="677"/>
    </row>
    <row r="39" spans="1:15" ht="14.4">
      <c r="A39" s="889" t="s">
        <v>1541</v>
      </c>
      <c r="B39" s="947" t="s">
        <v>1542</v>
      </c>
      <c r="C39" s="948" t="s">
        <v>1543</v>
      </c>
      <c r="D39" s="948" t="s">
        <v>1544</v>
      </c>
      <c r="E39" s="949" t="s">
        <v>1545</v>
      </c>
      <c r="F39" s="942"/>
      <c r="G39" s="677"/>
      <c r="H39" s="677"/>
      <c r="I39" s="677"/>
    </row>
    <row r="40" spans="1:15" ht="13.8">
      <c r="A40" s="950" t="s">
        <v>1546</v>
      </c>
      <c r="B40" s="951"/>
      <c r="C40" s="698"/>
      <c r="D40" s="698"/>
      <c r="E40" s="952"/>
      <c r="F40" s="942"/>
      <c r="G40" s="677"/>
      <c r="H40" s="677"/>
      <c r="I40" s="677"/>
    </row>
    <row r="41" spans="1:15" ht="13.8">
      <c r="A41" s="950" t="s">
        <v>1547</v>
      </c>
      <c r="B41" s="951"/>
      <c r="C41" s="698"/>
      <c r="D41" s="698"/>
      <c r="E41" s="952"/>
      <c r="F41" s="942"/>
      <c r="G41" s="677"/>
      <c r="H41" s="677"/>
      <c r="I41" s="677"/>
    </row>
    <row r="42" spans="1:15" ht="14.4" thickBot="1">
      <c r="A42" s="953"/>
      <c r="B42" s="954"/>
      <c r="C42" s="955"/>
      <c r="D42" s="955"/>
      <c r="E42" s="937"/>
      <c r="F42" s="942"/>
      <c r="G42" s="677"/>
      <c r="H42" s="677"/>
      <c r="I42" s="677"/>
    </row>
    <row r="43" spans="1:15" ht="13.2">
      <c r="A43" s="956"/>
      <c r="B43" s="956"/>
      <c r="C43" s="956"/>
      <c r="D43" s="956"/>
      <c r="E43" s="956"/>
      <c r="F43" s="957"/>
      <c r="G43" s="957"/>
      <c r="H43" s="957"/>
      <c r="I43" s="958"/>
    </row>
    <row r="44" spans="1:15" ht="17.399999999999999">
      <c r="A44" s="959" t="s">
        <v>1548</v>
      </c>
      <c r="B44" s="960"/>
      <c r="C44" s="960"/>
      <c r="D44" s="961"/>
      <c r="E44" s="961"/>
      <c r="F44" s="962"/>
      <c r="G44" s="962"/>
      <c r="H44" s="962"/>
      <c r="I44" s="962"/>
      <c r="J44" s="963" t="s">
        <v>1549</v>
      </c>
      <c r="K44" s="964"/>
      <c r="L44" s="964"/>
      <c r="M44" s="964"/>
      <c r="N44" s="964"/>
      <c r="O44" s="964"/>
    </row>
    <row r="45" spans="1:15" ht="14.25" customHeight="1" thickBot="1">
      <c r="A45" s="3165" t="s">
        <v>1550</v>
      </c>
      <c r="B45" s="3166"/>
      <c r="C45" s="3167"/>
      <c r="D45" s="965" t="e">
        <f ca="1">ROUND(H101*F45,0)</f>
        <v>#REF!</v>
      </c>
      <c r="E45" s="966" t="s">
        <v>1551</v>
      </c>
      <c r="F45" s="967">
        <v>1</v>
      </c>
      <c r="G45" s="968" t="s">
        <v>1552</v>
      </c>
      <c r="H45" s="677"/>
      <c r="I45" s="677"/>
      <c r="J45" s="3090" t="s">
        <v>1553</v>
      </c>
      <c r="K45" s="3090"/>
      <c r="L45" s="3090"/>
      <c r="M45" s="3090"/>
      <c r="N45" s="3090"/>
      <c r="O45" s="3090"/>
    </row>
    <row r="46" spans="1:15" ht="14.25" customHeight="1">
      <c r="A46" s="3162" t="s">
        <v>1554</v>
      </c>
      <c r="B46" s="3163"/>
      <c r="C46" s="3163"/>
      <c r="D46" s="3163"/>
      <c r="E46" s="3163"/>
      <c r="F46" s="3163"/>
      <c r="G46" s="3164"/>
      <c r="H46" s="678"/>
      <c r="I46" s="678"/>
      <c r="J46" s="499">
        <v>1</v>
      </c>
      <c r="K46" s="3091" t="s">
        <v>1555</v>
      </c>
      <c r="L46" s="3091"/>
      <c r="M46" s="3092"/>
      <c r="N46" s="3092"/>
      <c r="O46" s="3092"/>
    </row>
    <row r="47" spans="1:15" ht="12" customHeight="1">
      <c r="A47" s="969" t="s">
        <v>1556</v>
      </c>
      <c r="B47" s="970"/>
      <c r="C47" s="971"/>
      <c r="D47" s="972" t="s">
        <v>1557</v>
      </c>
      <c r="E47" s="879" t="s">
        <v>1558</v>
      </c>
      <c r="F47" s="973" t="s">
        <v>1559</v>
      </c>
      <c r="G47" s="974" t="s">
        <v>1560</v>
      </c>
      <c r="H47" s="975"/>
      <c r="I47" s="678"/>
      <c r="J47" s="499">
        <v>2</v>
      </c>
      <c r="K47" s="3091" t="s">
        <v>1561</v>
      </c>
      <c r="L47" s="3091"/>
      <c r="M47" s="3093">
        <f>'数据-取费表'!B2</f>
        <v>44889</v>
      </c>
      <c r="N47" s="3093"/>
      <c r="O47" s="3093"/>
    </row>
    <row r="48" spans="1:15" ht="26.4">
      <c r="A48" s="3149" t="s">
        <v>1562</v>
      </c>
      <c r="B48" s="3101"/>
      <c r="C48" s="310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91" t="s">
        <v>1564</v>
      </c>
      <c r="L48" s="3091"/>
      <c r="M48" s="3093" t="e">
        <f ca="1">H101</f>
        <v>#REF!</v>
      </c>
      <c r="N48" s="3093"/>
      <c r="O48" s="3093"/>
    </row>
    <row r="49" spans="1:35" ht="25.5" customHeight="1">
      <c r="A49" s="981" t="s">
        <v>1565</v>
      </c>
      <c r="B49" s="3132" t="s">
        <v>1566</v>
      </c>
      <c r="C49" s="3132"/>
      <c r="D49" s="982">
        <v>0</v>
      </c>
      <c r="E49" s="983" t="s">
        <v>1567</v>
      </c>
      <c r="F49" s="984" t="s">
        <v>31</v>
      </c>
      <c r="G49" s="3121"/>
      <c r="H49" s="985" t="s">
        <v>2392</v>
      </c>
      <c r="I49" s="986"/>
      <c r="J49" s="499">
        <v>4</v>
      </c>
      <c r="K49" s="3091" t="str">
        <f>IF(项目基本情况!E8="房地产抵押价值","房地产抵押价值","抵押担保权已注销时的房地产抵押价值")</f>
        <v>抵押担保权已注销时的房地产抵押价值</v>
      </c>
      <c r="L49" s="3091"/>
      <c r="M49" s="3093" t="str">
        <f>IF(项目基本情况!E8="房地产抵押价值",H107,H109)</f>
        <v>——</v>
      </c>
      <c r="N49" s="3093"/>
      <c r="O49" s="3093"/>
    </row>
    <row r="50" spans="1:35" ht="25.5" customHeight="1">
      <c r="A50" s="987"/>
      <c r="B50" s="3132" t="s">
        <v>1568</v>
      </c>
      <c r="C50" s="3132"/>
      <c r="D50" s="988"/>
      <c r="E50" s="989"/>
      <c r="F50" s="984"/>
      <c r="G50" s="3122"/>
      <c r="H50" s="986" t="s">
        <v>2393</v>
      </c>
      <c r="I50" s="986"/>
      <c r="J50" s="3090" t="s">
        <v>1569</v>
      </c>
      <c r="K50" s="3090"/>
      <c r="L50" s="3090"/>
      <c r="M50" s="3090"/>
      <c r="N50" s="3090"/>
      <c r="O50" s="3090"/>
    </row>
    <row r="51" spans="1:35" ht="20.399999999999999" customHeight="1">
      <c r="A51" s="990"/>
      <c r="B51" s="3132" t="s">
        <v>1570</v>
      </c>
      <c r="C51" s="3132"/>
      <c r="D51" s="972"/>
      <c r="E51" s="991"/>
      <c r="F51" s="984"/>
      <c r="G51" s="3123"/>
      <c r="H51" s="986" t="s">
        <v>2394</v>
      </c>
      <c r="I51" s="986"/>
      <c r="J51" s="992" t="s">
        <v>1571</v>
      </c>
      <c r="K51" s="3091" t="s">
        <v>1572</v>
      </c>
      <c r="L51" s="3091"/>
      <c r="M51" s="992" t="s">
        <v>1573</v>
      </c>
      <c r="N51" s="992" t="s">
        <v>1574</v>
      </c>
      <c r="O51" s="992" t="s">
        <v>1575</v>
      </c>
    </row>
    <row r="52" spans="1:35" ht="24" customHeight="1">
      <c r="A52" s="993" t="s">
        <v>1576</v>
      </c>
      <c r="B52" s="3132" t="s">
        <v>1577</v>
      </c>
      <c r="C52" s="3132"/>
      <c r="D52" s="972" t="e">
        <f ca="1">ROUND(D45*'数据-取费表'!B41/(1+'数据-取费表'!C42),0)</f>
        <v>#REF!</v>
      </c>
      <c r="E52" s="977" t="s">
        <v>1578</v>
      </c>
      <c r="F52" s="879">
        <f>'数据-取费表'!B41</f>
        <v>0</v>
      </c>
      <c r="G52" s="974"/>
      <c r="H52" s="975"/>
      <c r="I52" s="678"/>
      <c r="J52" s="499">
        <v>1</v>
      </c>
      <c r="K52" s="3115" t="s">
        <v>1579</v>
      </c>
      <c r="L52" s="3115"/>
      <c r="M52" s="994" t="b">
        <f>D48</f>
        <v>0</v>
      </c>
      <c r="N52" s="499" t="str">
        <f>E48</f>
        <v>销售额×税（费）率</v>
      </c>
      <c r="O52" s="995">
        <f>F48</f>
        <v>0</v>
      </c>
    </row>
    <row r="53" spans="1:35" ht="12" customHeight="1">
      <c r="A53" s="993" t="s">
        <v>1580</v>
      </c>
      <c r="B53" s="3131" t="s">
        <v>2553</v>
      </c>
      <c r="C53" s="3138"/>
      <c r="D53" s="972" t="e">
        <f ca="1">ROUND(D45*'数据-取费表'!B41/(1+'数据-取费表'!C42),0)</f>
        <v>#REF!</v>
      </c>
      <c r="E53" s="977" t="s">
        <v>1578</v>
      </c>
      <c r="F53" s="879">
        <f>'数据-取费表'!B41</f>
        <v>0</v>
      </c>
      <c r="G53" s="974"/>
      <c r="H53" s="975"/>
      <c r="I53" s="678"/>
      <c r="J53" s="499">
        <v>2</v>
      </c>
      <c r="K53" s="3115" t="s">
        <v>1581</v>
      </c>
      <c r="L53" s="3115"/>
      <c r="M53" s="994" t="e">
        <f t="shared" ref="M53:O54" ca="1" si="0">D55</f>
        <v>#REF!</v>
      </c>
      <c r="N53" s="499" t="str">
        <f t="shared" si="0"/>
        <v>销售额×税（费）率</v>
      </c>
      <c r="O53" s="995" t="str">
        <f t="shared" si="0"/>
        <v>免征</v>
      </c>
    </row>
    <row r="54" spans="1:35" ht="12" customHeight="1">
      <c r="A54" s="993" t="s">
        <v>1582</v>
      </c>
      <c r="B54" s="3131" t="s">
        <v>2554</v>
      </c>
      <c r="C54" s="3138"/>
      <c r="D54" s="972" t="e">
        <f ca="1">C68</f>
        <v>#REF!</v>
      </c>
      <c r="E54" s="991" t="s">
        <v>1583</v>
      </c>
      <c r="F54" s="879">
        <f>'数据-取费表'!B41</f>
        <v>0</v>
      </c>
      <c r="G54" s="974"/>
      <c r="H54" s="996"/>
      <c r="I54" s="678"/>
      <c r="J54" s="499">
        <v>3</v>
      </c>
      <c r="K54" s="3115" t="s">
        <v>1584</v>
      </c>
      <c r="L54" s="3115"/>
      <c r="M54" s="994" t="e">
        <f t="shared" ca="1" si="0"/>
        <v>#REF!</v>
      </c>
      <c r="N54" s="499" t="str">
        <f t="shared" si="0"/>
        <v>增值额×税（费）率</v>
      </c>
      <c r="O54" s="995" t="str">
        <f t="shared" si="0"/>
        <v>免征</v>
      </c>
    </row>
    <row r="55" spans="1:35" ht="24" customHeight="1">
      <c r="A55" s="3171" t="s">
        <v>1585</v>
      </c>
      <c r="B55" s="3101"/>
      <c r="C55" s="3101"/>
      <c r="D55" s="976" t="e">
        <f ca="1">IF(H55="个人住宅",0,ROUND(D45*I55,0))</f>
        <v>#REF!</v>
      </c>
      <c r="E55" s="977" t="s">
        <v>1586</v>
      </c>
      <c r="F55" s="879" t="str">
        <f>IF(H55="正常",I55,"免征")</f>
        <v>免征</v>
      </c>
      <c r="G55" s="974"/>
      <c r="H55" s="980"/>
      <c r="I55" s="997">
        <f>'数据-取费表'!B49</f>
        <v>0</v>
      </c>
      <c r="J55" s="499">
        <f>IF(H59="非个人房产","",4)</f>
        <v>4</v>
      </c>
      <c r="K55" s="3115" t="str">
        <f>IF(H59="非个人房产","——","个人所得税")</f>
        <v>个人所得税</v>
      </c>
      <c r="L55" s="3115"/>
      <c r="M55" s="998" t="e">
        <f ca="1">D59</f>
        <v>#REF!</v>
      </c>
      <c r="N55" s="999" t="str">
        <f>E59</f>
        <v>差额计税</v>
      </c>
      <c r="O55" s="1000">
        <f>F59</f>
        <v>0.01</v>
      </c>
    </row>
    <row r="56" spans="1:35" ht="25.2">
      <c r="A56" s="3171" t="s">
        <v>1587</v>
      </c>
      <c r="B56" s="3101"/>
      <c r="C56" s="3101"/>
      <c r="D56" s="976" t="e">
        <f ca="1">IF(H56="个人住宅",D57,D58)</f>
        <v>#REF!</v>
      </c>
      <c r="E56" s="977" t="s">
        <v>1588</v>
      </c>
      <c r="F56" s="879" t="str">
        <f>IF(H56="正常",F58,"免征")</f>
        <v>免征</v>
      </c>
      <c r="G56" s="1001" t="s">
        <v>1589</v>
      </c>
      <c r="H56" s="1002"/>
      <c r="I56" s="1003"/>
      <c r="J56" s="499" t="str">
        <f>IF(项目基本情况!K6="上海银行",IF(J55="",4,J55+1),"")</f>
        <v/>
      </c>
      <c r="K56" s="3096" t="str">
        <f>IF(项目基本情况!K6="上海银行","其他处置费用","")</f>
        <v/>
      </c>
      <c r="L56" s="3097"/>
      <c r="M56" s="994" t="str">
        <f>IF(项目基本情况!K6="上海银行",M69,"")</f>
        <v/>
      </c>
      <c r="N56" s="3096" t="str">
        <f>IF(项目基本情况!K6="上海银行","包含处置中涉及的律师、诉讼、拍卖、评估等费用","")</f>
        <v/>
      </c>
      <c r="O56" s="3099"/>
    </row>
    <row r="57" spans="1:35" ht="13.2">
      <c r="A57" s="993" t="s">
        <v>1565</v>
      </c>
      <c r="B57" s="3131" t="s">
        <v>1590</v>
      </c>
      <c r="C57" s="3138"/>
      <c r="D57" s="982">
        <v>0</v>
      </c>
      <c r="E57" s="983" t="s">
        <v>1567</v>
      </c>
      <c r="F57" s="879"/>
      <c r="G57" s="974"/>
      <c r="H57" s="1004"/>
      <c r="I57" s="1003"/>
      <c r="J57" s="3115">
        <f>IF(AND(J55="",J56=""),4,IF(项目基本情况!K6="上海银行",结果表!J56+1,结果表!J55+1))</f>
        <v>5</v>
      </c>
      <c r="K57" s="3115" t="s">
        <v>1591</v>
      </c>
      <c r="L57" s="1005" t="s">
        <v>1592</v>
      </c>
      <c r="M57" s="1006"/>
      <c r="N57" s="1007">
        <f ca="1">SUMIF(M52:M56,"&lt;9e307")</f>
        <v>0</v>
      </c>
      <c r="O57" s="1008"/>
      <c r="P57" s="677" t="e">
        <f ca="1">N57/M49</f>
        <v>#VALUE!</v>
      </c>
    </row>
    <row r="58" spans="1:35" ht="25.2">
      <c r="A58" s="993" t="s">
        <v>1576</v>
      </c>
      <c r="B58" s="3131" t="s">
        <v>1593</v>
      </c>
      <c r="C58" s="3132"/>
      <c r="D58" s="976" t="e">
        <f ca="1">IF(H58="转让取得",C81,C97)</f>
        <v>#REF!</v>
      </c>
      <c r="E58" s="977" t="s">
        <v>1588</v>
      </c>
      <c r="F58" s="879" t="s">
        <v>31</v>
      </c>
      <c r="G58" s="974"/>
      <c r="H58" s="1002"/>
      <c r="I58" s="1003"/>
      <c r="J58" s="3115"/>
      <c r="K58" s="3115"/>
      <c r="L58" s="1005" t="s">
        <v>1594</v>
      </c>
      <c r="M58" s="1009"/>
      <c r="N58" s="1010" t="str">
        <f ca="1">NUMBERSTRING(INT(N57*10000),2)&amp;"元整"</f>
        <v>零元整</v>
      </c>
      <c r="O58" s="1011"/>
    </row>
    <row r="59" spans="1:35" ht="24.6" thickBot="1">
      <c r="A59" s="3119" t="s">
        <v>1595</v>
      </c>
      <c r="B59" s="3120"/>
      <c r="C59" s="312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17">
        <f>J57+1</f>
        <v>6</v>
      </c>
      <c r="K59" s="3115" t="s">
        <v>1596</v>
      </c>
      <c r="L59" s="499" t="s">
        <v>1592</v>
      </c>
      <c r="M59" s="1018"/>
      <c r="N59" s="1019" t="e">
        <f ca="1">M49-N57</f>
        <v>#VALUE!</v>
      </c>
      <c r="O59" s="1020"/>
    </row>
    <row r="60" spans="1:35" ht="12" customHeight="1">
      <c r="A60" s="1021"/>
      <c r="B60" s="865"/>
      <c r="C60" s="865"/>
      <c r="D60" s="865"/>
      <c r="E60" s="1022"/>
      <c r="F60" s="1003"/>
      <c r="G60" s="1003"/>
      <c r="H60" s="1023"/>
      <c r="I60" s="677"/>
      <c r="J60" s="3118"/>
      <c r="K60" s="3115"/>
      <c r="L60" s="1005" t="s">
        <v>1594</v>
      </c>
      <c r="M60" s="1009"/>
      <c r="N60" s="1010" t="e">
        <f ca="1">NUMBERSTRING(INT(N59*10000),2)&amp;"元整"</f>
        <v>#VALUE!</v>
      </c>
      <c r="O60" s="1011"/>
    </row>
    <row r="61" spans="1:35" ht="13.8" thickBot="1">
      <c r="A61" s="3170" t="s">
        <v>1597</v>
      </c>
      <c r="B61" s="3170"/>
      <c r="C61" s="3170"/>
      <c r="D61" s="3170"/>
      <c r="E61" s="3170"/>
      <c r="F61" s="1003"/>
      <c r="G61" s="1003"/>
      <c r="H61" s="1023"/>
      <c r="I61" s="677"/>
      <c r="J61" s="499">
        <f>J59+1</f>
        <v>7</v>
      </c>
      <c r="K61" s="3115" t="s">
        <v>1598</v>
      </c>
      <c r="L61" s="3115"/>
      <c r="M61" s="1024"/>
      <c r="N61" s="1025" t="e">
        <f ca="1">ROUND(N59*10000/'数据-汇总表'!E3,0)</f>
        <v>#VALUE!</v>
      </c>
      <c r="O61" s="1026"/>
    </row>
    <row r="62" spans="1:35" ht="13.2">
      <c r="A62" s="3134" t="s">
        <v>1599</v>
      </c>
      <c r="B62" s="3135"/>
      <c r="C62" s="1027"/>
      <c r="D62" s="1027" t="s">
        <v>1600</v>
      </c>
      <c r="E62" s="1028" t="s">
        <v>1601</v>
      </c>
      <c r="F62" s="1003"/>
      <c r="G62" s="1003"/>
      <c r="H62" s="1023"/>
      <c r="I62" s="677"/>
    </row>
    <row r="63" spans="1:35" ht="13.2">
      <c r="A63" s="1029" t="s">
        <v>538</v>
      </c>
      <c r="B63" s="1030" t="s">
        <v>1602</v>
      </c>
      <c r="C63" s="1030" t="e">
        <f ca="1">ROUND((C64+C65)/(1+'数据-取费表'!C42),0)</f>
        <v>#REF!</v>
      </c>
      <c r="D63" s="1030"/>
      <c r="E63" s="1031"/>
      <c r="F63" s="1003"/>
      <c r="G63" s="1003"/>
      <c r="H63" s="1023"/>
      <c r="I63" s="677"/>
      <c r="J63" s="309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9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9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9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9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9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9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4.4" thickBot="1">
      <c r="A70" s="3139" t="s">
        <v>1618</v>
      </c>
      <c r="B70" s="3140"/>
      <c r="C70" s="3140"/>
      <c r="D70" s="3140"/>
      <c r="E70" s="3140"/>
      <c r="F70" s="3140"/>
      <c r="G70" s="3140"/>
      <c r="H70" s="314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3.8">
      <c r="A71" s="3134" t="s">
        <v>1599</v>
      </c>
      <c r="B71" s="313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3.8">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3.8">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28.8">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31" t="s">
        <v>1626</v>
      </c>
      <c r="F76" s="3132"/>
      <c r="G76" s="3132"/>
      <c r="H76" s="313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31" t="s">
        <v>1630</v>
      </c>
      <c r="F78" s="3132"/>
      <c r="G78" s="3132"/>
      <c r="H78" s="313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3.8">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6"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4.4" thickBot="1">
      <c r="A83" s="3139" t="s">
        <v>1634</v>
      </c>
      <c r="B83" s="3140"/>
      <c r="C83" s="3140"/>
      <c r="D83" s="3140"/>
      <c r="E83" s="3140"/>
      <c r="F83" s="3140"/>
      <c r="G83" s="3140"/>
      <c r="H83" s="314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3.8">
      <c r="A84" s="3134" t="s">
        <v>1599</v>
      </c>
      <c r="B84" s="313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3.8">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3.8">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3.8">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4">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3.8">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4">
      <c r="A90" s="993" t="s">
        <v>534</v>
      </c>
      <c r="B90" s="473" t="s">
        <v>1640</v>
      </c>
      <c r="C90" s="1035"/>
      <c r="D90" s="1067"/>
      <c r="E90" s="976" t="str">
        <f>IF(H88="-","土地取得成本中已包含该笔费用"," ")</f>
        <v xml:space="preserve"> </v>
      </c>
      <c r="F90" s="1056"/>
      <c r="G90" s="3100" t="s">
        <v>2387</v>
      </c>
      <c r="H90" s="310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31" t="s">
        <v>1643</v>
      </c>
      <c r="F91" s="3132"/>
      <c r="G91" s="313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31" t="s">
        <v>1646</v>
      </c>
      <c r="F92" s="3132"/>
      <c r="G92" s="3132"/>
      <c r="H92" s="313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31" t="s">
        <v>1630</v>
      </c>
      <c r="F93" s="3132"/>
      <c r="G93" s="3132"/>
      <c r="H93" s="313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72" t="s">
        <v>1650</v>
      </c>
      <c r="F94" s="3173"/>
      <c r="G94" s="3173"/>
      <c r="H94" s="317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3.8">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6"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82" t="s">
        <v>1652</v>
      </c>
      <c r="B100" s="3083"/>
      <c r="C100" s="3083"/>
      <c r="D100" s="3116"/>
      <c r="E100" s="3083" t="s">
        <v>1653</v>
      </c>
      <c r="F100" s="3083"/>
      <c r="G100" s="3083"/>
      <c r="H100" s="3116"/>
      <c r="I100" s="677"/>
    </row>
    <row r="101" spans="1:35" ht="18.75" customHeight="1">
      <c r="A101" s="3124" t="s">
        <v>1654</v>
      </c>
      <c r="B101" s="3125"/>
      <c r="C101" s="1088">
        <f>C4</f>
        <v>0</v>
      </c>
      <c r="D101" s="1089">
        <f>D4</f>
        <v>0</v>
      </c>
      <c r="E101" s="3094" t="s">
        <v>1655</v>
      </c>
      <c r="F101" s="3095"/>
      <c r="G101" s="1090" t="s">
        <v>1656</v>
      </c>
      <c r="H101" s="1091" t="e">
        <f ca="1">H118</f>
        <v>#REF!</v>
      </c>
      <c r="I101" s="677"/>
    </row>
    <row r="102" spans="1:35" ht="18.75" customHeight="1">
      <c r="A102" s="3126" t="s">
        <v>1657</v>
      </c>
      <c r="B102" s="1092" t="s">
        <v>1656</v>
      </c>
      <c r="C102" s="1088" t="e">
        <f ca="1">C19</f>
        <v>#REF!</v>
      </c>
      <c r="D102" s="1089" t="e">
        <f ca="1">D19</f>
        <v>#REF!</v>
      </c>
      <c r="E102" s="3094"/>
      <c r="F102" s="3095"/>
      <c r="G102" s="1090" t="s">
        <v>1658</v>
      </c>
      <c r="H102" s="974" t="e">
        <f ca="1">I118</f>
        <v>#REF!</v>
      </c>
      <c r="I102" s="677"/>
    </row>
    <row r="103" spans="1:35" ht="42.75" customHeight="1">
      <c r="A103" s="3126"/>
      <c r="B103" s="1092" t="s">
        <v>1658</v>
      </c>
      <c r="C103" s="1093" t="e">
        <f ca="1">C20</f>
        <v>#REF!</v>
      </c>
      <c r="D103" s="1094" t="e">
        <f ca="1">D20</f>
        <v>#REF!</v>
      </c>
      <c r="E103" s="3088" t="s">
        <v>1659</v>
      </c>
      <c r="F103" s="3089"/>
      <c r="G103" s="1095" t="s">
        <v>1660</v>
      </c>
      <c r="H103" s="1091">
        <f>IF(D36="正常操作",H104+H105+H106,H105+H106)</f>
        <v>0</v>
      </c>
      <c r="I103" s="677"/>
    </row>
    <row r="104" spans="1:35" ht="18.75" customHeight="1">
      <c r="A104" s="312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7" t="str">
        <f>IF(项目基本情况!E8="已注销","——","3.房地产抵押价值")</f>
        <v>3.房地产抵押价值</v>
      </c>
      <c r="F107" s="3095"/>
      <c r="G107" s="1090" t="s">
        <v>1656</v>
      </c>
      <c r="H107" s="1091" t="e">
        <f ca="1">IF(E107="——","——",H101-H103)</f>
        <v>#REF!</v>
      </c>
      <c r="I107" s="677"/>
    </row>
    <row r="108" spans="1:35" ht="18.75" customHeight="1">
      <c r="A108" s="677"/>
      <c r="B108" s="677"/>
      <c r="C108" s="677"/>
      <c r="D108" s="677"/>
      <c r="E108" s="3127"/>
      <c r="F108" s="3095"/>
      <c r="G108" s="1090" t="s">
        <v>1658</v>
      </c>
      <c r="H108" s="974" t="e">
        <f ca="1">ROUND(H107*10000/'数据-汇总表'!E3,0)</f>
        <v>#REF!</v>
      </c>
      <c r="I108" s="677"/>
    </row>
    <row r="109" spans="1:35" ht="18.75" customHeight="1">
      <c r="A109" s="677"/>
      <c r="B109" s="677"/>
      <c r="C109" s="677"/>
      <c r="D109" s="677"/>
      <c r="E109" s="3127" t="str">
        <f>IF(项目基本情况!E8="已注销及未注销","4.抵押担保权已注销时的房地产抵押价值",IF(项目基本情况!E8="已注销","3.抵押担保权已注销时的房地产抵押价值","——"))</f>
        <v>——</v>
      </c>
      <c r="F109" s="3095"/>
      <c r="G109" s="1090" t="s">
        <v>1656</v>
      </c>
      <c r="H109" s="1105" t="str">
        <f>IF(E109="——","——",H101-H105-H106)</f>
        <v>——</v>
      </c>
      <c r="I109" s="677"/>
    </row>
    <row r="110" spans="1:35" ht="18.75" customHeight="1">
      <c r="A110" s="677"/>
      <c r="B110" s="677"/>
      <c r="C110" s="677"/>
      <c r="D110" s="677"/>
      <c r="E110" s="3127"/>
      <c r="F110" s="3095"/>
      <c r="G110" s="1090" t="s">
        <v>1658</v>
      </c>
      <c r="H110" s="974" t="str">
        <f>IF(H109="——","——",ROUND(H109*10000/'数据-汇总表'!E3,0))</f>
        <v>——</v>
      </c>
      <c r="I110" s="677"/>
    </row>
    <row r="111" spans="1:35" ht="18.75" customHeight="1">
      <c r="A111" s="677"/>
      <c r="B111" s="677"/>
      <c r="C111" s="677"/>
      <c r="D111" s="677"/>
      <c r="E111" s="3128" t="str">
        <f>IF(项目基本情况!E9="抵押净值",IF(OR(项目基本情况!E8="已注销",项目基本情况!E8="房地产抵押价值"),"4.抵押净值","5.抵押净值"),"——")</f>
        <v>——</v>
      </c>
      <c r="F111" s="3114"/>
      <c r="G111" s="1090" t="s">
        <v>1656</v>
      </c>
      <c r="H111" s="1091" t="str">
        <f>IF(E111="——","——",N59)</f>
        <v>——</v>
      </c>
      <c r="I111" s="677"/>
    </row>
    <row r="112" spans="1:35" ht="18.75" customHeight="1" thickBot="1">
      <c r="A112" s="677"/>
      <c r="B112" s="677"/>
      <c r="C112" s="677"/>
      <c r="D112" s="677"/>
      <c r="E112" s="3129"/>
      <c r="F112" s="3130"/>
      <c r="G112" s="1106" t="s">
        <v>1658</v>
      </c>
      <c r="H112" s="1107" t="str">
        <f>IF(E111="——","——",N61)</f>
        <v>——</v>
      </c>
      <c r="I112" s="677"/>
    </row>
    <row r="113" spans="1:27" ht="18.75" customHeight="1">
      <c r="A113" s="677"/>
      <c r="B113" s="677"/>
      <c r="C113" s="677"/>
      <c r="D113" s="677"/>
      <c r="E113" s="3137" t="s">
        <v>1664</v>
      </c>
      <c r="F113" s="3137"/>
      <c r="G113" s="3137"/>
      <c r="H113" s="3137"/>
      <c r="I113" s="677"/>
    </row>
    <row r="114" spans="1:27" ht="3.75" customHeight="1">
      <c r="A114" s="865"/>
      <c r="B114" s="865"/>
      <c r="C114" s="865"/>
      <c r="D114" s="865"/>
      <c r="E114" s="1021"/>
      <c r="F114" s="1021"/>
      <c r="G114" s="1021"/>
      <c r="H114" s="1021"/>
      <c r="I114" s="865"/>
    </row>
    <row r="115" spans="1:27" ht="18.75" customHeight="1">
      <c r="A115" s="3142" t="s">
        <v>1666</v>
      </c>
      <c r="B115" s="3143"/>
      <c r="C115" s="3143"/>
      <c r="D115" s="3143"/>
      <c r="E115" s="3143"/>
      <c r="F115" s="3143"/>
      <c r="G115" s="3143"/>
      <c r="H115" s="3143"/>
      <c r="I115" s="3144"/>
    </row>
    <row r="116" spans="1:27" ht="27" customHeight="1">
      <c r="A116" s="3102" t="s">
        <v>1667</v>
      </c>
      <c r="B116" s="3106" t="s">
        <v>1668</v>
      </c>
      <c r="C116" s="3106" t="s">
        <v>1669</v>
      </c>
      <c r="D116" s="3112" t="s">
        <v>1670</v>
      </c>
      <c r="E116" s="3113"/>
      <c r="F116" s="3141" t="s">
        <v>1671</v>
      </c>
      <c r="G116" s="3141"/>
      <c r="H116" s="3102" t="s">
        <v>1672</v>
      </c>
      <c r="I116" s="3102"/>
    </row>
    <row r="117" spans="1:27" ht="18.75" customHeight="1">
      <c r="A117" s="3102"/>
      <c r="B117" s="3107"/>
      <c r="C117" s="310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02" t="s">
        <v>1676</v>
      </c>
      <c r="B119" s="3102"/>
      <c r="C119" s="3102"/>
      <c r="D119" s="3108" t="e">
        <f ca="1">NUMBERSTRING(INT(D118*10000),2)&amp;"元整"</f>
        <v>#REF!</v>
      </c>
      <c r="E119" s="3109"/>
      <c r="F119" s="3108" t="e">
        <f ca="1">NUMBERSTRING(INT(F118*10000),2)&amp;"元整"</f>
        <v>#REF!</v>
      </c>
      <c r="G119" s="3109"/>
      <c r="H119" s="3108" t="e">
        <f ca="1">NUMBERSTRING(INT(H118*10000),2)&amp;"元整"</f>
        <v>#REF!</v>
      </c>
      <c r="I119" s="3109"/>
    </row>
    <row r="120" spans="1:27" ht="18.75" customHeight="1">
      <c r="A120" s="3103" t="str">
        <f>IF(项目基本情况!B9="房地产市场价值","",MID(E103,3,LEN(E103)-2))</f>
        <v>估价师知悉的法定优先受偿款</v>
      </c>
      <c r="B120" s="3104"/>
      <c r="C120" s="3105"/>
      <c r="D120" s="3103">
        <f>H103</f>
        <v>0</v>
      </c>
      <c r="E120" s="3104"/>
      <c r="F120" s="3104"/>
      <c r="G120" s="3104"/>
      <c r="H120" s="3104"/>
      <c r="I120" s="310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08" t="s">
        <v>1676</v>
      </c>
      <c r="B121" s="3110"/>
      <c r="C121" s="3109"/>
      <c r="D121" s="3108" t="str">
        <f>IF(D120=0,"零元整",NUMBERSTRING(INT(D120*10000),2)&amp;"元整")</f>
        <v>零元整</v>
      </c>
      <c r="E121" s="3110"/>
      <c r="F121" s="3110"/>
      <c r="G121" s="3110"/>
      <c r="H121" s="3110"/>
      <c r="I121" s="3109"/>
      <c r="AA121" s="590"/>
    </row>
    <row r="122" spans="1:27" ht="18.75" customHeight="1">
      <c r="A122" s="3114" t="str">
        <f>IF(项目基本情况!B9="房地产市场价值","",MID(E107,3,LEN(E107)-2))</f>
        <v>房地产抵押价值</v>
      </c>
      <c r="B122" s="3114"/>
      <c r="C122" s="3114"/>
      <c r="D122" s="3103" t="e">
        <f ca="1">H107</f>
        <v>#REF!</v>
      </c>
      <c r="E122" s="3104"/>
      <c r="F122" s="3104"/>
      <c r="G122" s="3104"/>
      <c r="H122" s="3104"/>
      <c r="I122" s="3105"/>
      <c r="AA122" s="590"/>
    </row>
    <row r="123" spans="1:27" ht="18.75" customHeight="1">
      <c r="A123" s="3102" t="s">
        <v>1676</v>
      </c>
      <c r="B123" s="3102"/>
      <c r="C123" s="3102"/>
      <c r="D123" s="3108" t="e">
        <f ca="1">NUMBERSTRING(INT(D122*10000),2)&amp;"元整"</f>
        <v>#REF!</v>
      </c>
      <c r="E123" s="3110"/>
      <c r="F123" s="3110"/>
      <c r="G123" s="3110"/>
      <c r="H123" s="3110"/>
      <c r="I123" s="3109"/>
      <c r="AA123" s="590"/>
    </row>
    <row r="124" spans="1:27" ht="18.75" customHeight="1">
      <c r="A124" s="3114" t="str">
        <f>IF(项目基本情况!B9="房地产市场价值","",MID(E109,3,LEN(E109)-2))</f>
        <v/>
      </c>
      <c r="B124" s="3114"/>
      <c r="C124" s="3114"/>
      <c r="D124" s="3103" t="str">
        <f>H109</f>
        <v>——</v>
      </c>
      <c r="E124" s="3104"/>
      <c r="F124" s="3104"/>
      <c r="G124" s="3104"/>
      <c r="H124" s="3104"/>
      <c r="I124" s="3105"/>
      <c r="AA124" s="590"/>
    </row>
    <row r="125" spans="1:27" ht="18.75" customHeight="1">
      <c r="A125" s="3102" t="s">
        <v>1676</v>
      </c>
      <c r="B125" s="3102"/>
      <c r="C125" s="3102"/>
      <c r="D125" s="3108" t="e">
        <f>NUMBERSTRING(INT(D124*10000),2)&amp;"元整"</f>
        <v>#VALUE!</v>
      </c>
      <c r="E125" s="3110"/>
      <c r="F125" s="3110"/>
      <c r="G125" s="3110"/>
      <c r="H125" s="3110"/>
      <c r="I125" s="3109"/>
      <c r="AA125" s="590"/>
    </row>
    <row r="126" spans="1:27" ht="18.75" customHeight="1">
      <c r="A126" s="3114" t="str">
        <f>IF(项目基本情况!B9="房地产市场价值","",MID(E111,3,LEN(E111)-2))</f>
        <v/>
      </c>
      <c r="B126" s="3114"/>
      <c r="C126" s="3114"/>
      <c r="D126" s="3103" t="str">
        <f>H111</f>
        <v>——</v>
      </c>
      <c r="E126" s="3104"/>
      <c r="F126" s="3104"/>
      <c r="G126" s="3104"/>
      <c r="H126" s="3104"/>
      <c r="I126" s="3105"/>
      <c r="AA126" s="590"/>
    </row>
    <row r="127" spans="1:27" ht="18.75" customHeight="1">
      <c r="A127" s="3102" t="s">
        <v>1676</v>
      </c>
      <c r="B127" s="3102"/>
      <c r="C127" s="3102"/>
      <c r="D127" s="3108" t="e">
        <f>NUMBERSTRING(INT(D126*10000),2)&amp;"元整"</f>
        <v>#VALUE!</v>
      </c>
      <c r="E127" s="3110"/>
      <c r="F127" s="3110"/>
      <c r="G127" s="3110"/>
      <c r="H127" s="3110"/>
      <c r="I127" s="3109"/>
      <c r="AA127" s="590"/>
    </row>
    <row r="128" spans="1:27" ht="21.75" customHeight="1">
      <c r="A128" s="3111" t="s">
        <v>1677</v>
      </c>
      <c r="B128" s="3111"/>
      <c r="C128" s="3111"/>
      <c r="D128" s="3111"/>
      <c r="E128" s="3111"/>
      <c r="F128" s="3111"/>
      <c r="G128" s="3111"/>
      <c r="H128" s="3111"/>
      <c r="I128" s="311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3203125" defaultRowHeight="13.2"/>
  <cols>
    <col min="1" max="1" width="10.33203125" style="1205" customWidth="1"/>
    <col min="2" max="2" width="29.21875" style="1191" customWidth="1"/>
    <col min="3" max="3" width="12.109375" style="1191" customWidth="1"/>
    <col min="4" max="5" width="11.21875" style="1208" customWidth="1"/>
    <col min="6" max="6" width="9.44140625" style="1191" customWidth="1"/>
    <col min="7" max="7" width="31.88671875" style="1191" customWidth="1"/>
    <col min="8" max="254" width="9" style="1191" customWidth="1"/>
    <col min="255" max="16384" width="8.33203125" style="1191"/>
  </cols>
  <sheetData>
    <row r="1" spans="1:9" s="1135" customFormat="1" ht="21">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6.2">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6.4">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2">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7" t="s">
        <v>1768</v>
      </c>
    </row>
    <row r="43" spans="1:7" ht="13.5" customHeight="1">
      <c r="A43" s="1179" t="s">
        <v>555</v>
      </c>
      <c r="B43" s="1155" t="s">
        <v>1769</v>
      </c>
      <c r="C43" s="1180" t="e">
        <f ca="1">ROUND(IF('数据-取费表'!B22&lt;=1,C39*F22*'数据-取费表'!B21/2,C39*(POWER((1+F22),'数据-取费表'!B21/2)-1)),0)</f>
        <v>#VALUE!</v>
      </c>
      <c r="D43" s="1180"/>
      <c r="E43" s="1180"/>
      <c r="F43" s="1181"/>
      <c r="G43" s="3178"/>
    </row>
    <row r="44" spans="1:7" ht="13.5" customHeight="1">
      <c r="A44" s="1179" t="s">
        <v>556</v>
      </c>
      <c r="B44" s="1155" t="s">
        <v>1770</v>
      </c>
      <c r="C44" s="1180" t="e">
        <f ca="1">ROUND(IF('数据-取费表'!B22&lt;=1,C40*F22*'数据-取费表'!B21/2,C40*(POWER((1+F22),'数据-取费表'!B21/2)-1)),4)</f>
        <v>#VALUE!</v>
      </c>
      <c r="D44" s="1180"/>
      <c r="E44" s="1180"/>
      <c r="F44" s="1181"/>
      <c r="G44" s="317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8"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3203125" defaultRowHeight="13.2"/>
  <cols>
    <col min="1" max="1" width="9.33203125" style="1205" customWidth="1"/>
    <col min="2" max="2" width="29.21875" style="1191" customWidth="1"/>
    <col min="3" max="3" width="12.109375" style="1191" customWidth="1"/>
    <col min="4" max="5" width="11.21875" style="1208" customWidth="1"/>
    <col min="6" max="6" width="9.44140625" style="1191" customWidth="1"/>
    <col min="7" max="7" width="31.88671875" style="1191" customWidth="1"/>
    <col min="8" max="8" width="10.77734375" style="1191" customWidth="1"/>
    <col min="9" max="254" width="9" style="1191" customWidth="1"/>
    <col min="255" max="16384" width="8.33203125" style="1191"/>
  </cols>
  <sheetData>
    <row r="1" spans="1:8" s="1135" customFormat="1" ht="21">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6.2">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6.4">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2">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7" t="s">
        <v>1815</v>
      </c>
    </row>
    <row r="43" spans="1:7" ht="13.5" customHeight="1">
      <c r="A43" s="1179" t="s">
        <v>555</v>
      </c>
      <c r="B43" s="1155" t="s">
        <v>1769</v>
      </c>
      <c r="C43" s="1180" t="e">
        <f ca="1">ROUND(IF('数据-取费表'!B22&lt;=1,C39*F22*'数据-取费表'!B20/2,C39*(POWER((1+F22),'数据-取费表'!B20/2)-1)),0)</f>
        <v>#VALUE!</v>
      </c>
      <c r="D43" s="1180"/>
      <c r="E43" s="1180"/>
      <c r="F43" s="1181"/>
      <c r="G43" s="3178"/>
    </row>
    <row r="44" spans="1:7" ht="13.5" customHeight="1">
      <c r="A44" s="1179" t="s">
        <v>556</v>
      </c>
      <c r="B44" s="1155" t="s">
        <v>1770</v>
      </c>
      <c r="C44" s="1180" t="e">
        <f ca="1">ROUND(IF('数据-取费表'!B22&lt;=1,C40*F22*'数据-取费表'!B20/2,C40*(POWER((1+F22),'数据-取费表'!B20/2)-1)),4)</f>
        <v>#VALUE!</v>
      </c>
      <c r="D44" s="1180"/>
      <c r="E44" s="1180"/>
      <c r="F44" s="1181"/>
      <c r="G44" s="317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8"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4.4"/>
  <cols>
    <col min="1" max="1" width="3.44140625" style="127" customWidth="1"/>
    <col min="2" max="9" width="10" style="127" customWidth="1"/>
    <col min="10" max="16384" width="9" style="127"/>
  </cols>
  <sheetData>
    <row r="36" spans="1:9">
      <c r="A36" s="126" t="s">
        <v>580</v>
      </c>
      <c r="B36" s="126" t="s">
        <v>581</v>
      </c>
    </row>
    <row r="37" spans="1:9" ht="27.75" customHeight="1">
      <c r="A37" s="126"/>
      <c r="B37" s="3001" t="str">
        <f>项目基本情况!B1</f>
        <v>预评估</v>
      </c>
      <c r="C37" s="3001"/>
      <c r="D37" s="3001"/>
      <c r="E37" s="3001"/>
      <c r="F37" s="3001"/>
      <c r="G37" s="3001"/>
      <c r="H37" s="3001"/>
      <c r="I37" s="300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640625" defaultRowHeight="13.2"/>
  <cols>
    <col min="1" max="1" width="9.77734375" style="628" customWidth="1"/>
    <col min="2" max="2" width="25.77734375" style="1220" customWidth="1"/>
    <col min="3" max="3" width="10.33203125" style="1292" customWidth="1"/>
    <col min="4" max="4" width="9.88671875" style="1220" customWidth="1"/>
    <col min="5" max="5" width="9.44140625" style="628" customWidth="1"/>
    <col min="6" max="6" width="10.109375" style="1220" customWidth="1"/>
    <col min="7" max="7" width="10.77734375" style="1220" customWidth="1"/>
    <col min="8" max="8" width="10" style="1220" customWidth="1"/>
    <col min="9" max="11" width="9.44140625" style="1220" customWidth="1"/>
    <col min="12" max="12" width="9" style="1220" customWidth="1"/>
    <col min="13" max="13" width="10.44140625" style="1220" bestFit="1" customWidth="1"/>
    <col min="14" max="254" width="9" style="1220" customWidth="1"/>
    <col min="255" max="16384" width="6.6640625" style="1220"/>
  </cols>
  <sheetData>
    <row r="1" spans="1:33" ht="21">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5.2">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95" customWidth="1"/>
    <col min="2" max="2" width="20.6640625" style="599" customWidth="1"/>
    <col min="3" max="3" width="11.88671875" style="599" customWidth="1"/>
    <col min="4" max="4" width="40.44140625" style="1195" customWidth="1"/>
    <col min="5" max="5" width="15.77734375" style="1195" customWidth="1"/>
    <col min="6" max="6" width="10.6640625" style="1195" customWidth="1"/>
    <col min="7" max="7" width="4.88671875" style="1195" customWidth="1"/>
    <col min="8" max="8" width="8.44140625" style="1195" customWidth="1"/>
    <col min="9" max="9" width="21.21875" style="1195" customWidth="1"/>
    <col min="10" max="10" width="12.21875" style="1195" customWidth="1"/>
    <col min="11" max="11" width="45.109375" style="1531" customWidth="1"/>
    <col min="12" max="12" width="16.33203125" style="1195" customWidth="1"/>
    <col min="13" max="13" width="13" style="1195" customWidth="1"/>
    <col min="14" max="14" width="13.77734375" style="1312" customWidth="1"/>
    <col min="15" max="15" width="5.109375" style="1312" customWidth="1"/>
    <col min="16" max="16" width="25.77734375" style="1312" customWidth="1"/>
    <col min="17" max="17" width="13.77734375" style="1312" customWidth="1"/>
    <col min="18" max="18" width="20.44140625" style="1312" customWidth="1"/>
    <col min="19" max="19" width="13.21875" style="1312" customWidth="1"/>
    <col min="20" max="37" width="9" style="1312"/>
    <col min="38" max="16384" width="9" style="1195"/>
  </cols>
  <sheetData>
    <row r="1" spans="1:37" s="1303" customFormat="1" ht="21.6">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82" t="s">
        <v>907</v>
      </c>
      <c r="C6" s="1329">
        <f ca="1">ROUND(F6*F8*F7*(1-F9)/10000,0)</f>
        <v>0</v>
      </c>
      <c r="D6" s="965" t="s">
        <v>2367</v>
      </c>
      <c r="E6" s="879" t="s">
        <v>909</v>
      </c>
      <c r="F6" s="1330">
        <f ca="1">INDIRECT("'数据-取费表'!u"&amp;$G$1)</f>
        <v>0</v>
      </c>
      <c r="G6" s="1312"/>
      <c r="H6" s="1328" t="s">
        <v>615</v>
      </c>
      <c r="I6" s="3182" t="s">
        <v>907</v>
      </c>
      <c r="J6" s="1331">
        <f ca="1">ROUND(M6*M8*M7*(1-M9)/10000,0)</f>
        <v>0</v>
      </c>
      <c r="K6" s="965" t="s">
        <v>2366</v>
      </c>
      <c r="L6" s="879" t="s">
        <v>909</v>
      </c>
      <c r="M6" s="1330">
        <f ca="1">INDIRECT("'数据-取费表'!z"&amp;$G$1)</f>
        <v>0</v>
      </c>
    </row>
    <row r="7" spans="1:37" ht="18" customHeight="1">
      <c r="A7" s="984"/>
      <c r="B7" s="3183"/>
      <c r="C7" s="1332"/>
      <c r="D7" s="1333"/>
      <c r="E7" s="1334" t="s">
        <v>910</v>
      </c>
      <c r="F7" s="1330">
        <f ca="1">IF(INDIRECT("'数据-取费表'!ah"&amp;$G$1)="",INDIRECT("'数据-取费表'!k"&amp;$G$1),INDIRECT("'数据-取费表'!ah"&amp;$G$1))</f>
        <v>0</v>
      </c>
      <c r="G7" s="1312"/>
      <c r="H7" s="1335"/>
      <c r="I7" s="3183"/>
      <c r="J7" s="1336"/>
      <c r="K7" s="1333"/>
      <c r="L7" s="879" t="s">
        <v>910</v>
      </c>
      <c r="M7" s="1330">
        <f ca="1">F7</f>
        <v>0</v>
      </c>
    </row>
    <row r="8" spans="1:37" ht="18" customHeight="1">
      <c r="A8" s="1335"/>
      <c r="B8" s="3183"/>
      <c r="C8" s="1336"/>
      <c r="D8" s="1333"/>
      <c r="E8" s="879" t="s">
        <v>911</v>
      </c>
      <c r="F8" s="1330">
        <f ca="1">INDIRECT("'数据-取费表'!ai"&amp;$G$1)</f>
        <v>0</v>
      </c>
      <c r="G8" s="1312"/>
      <c r="H8" s="1335"/>
      <c r="I8" s="3183"/>
      <c r="J8" s="1336"/>
      <c r="K8" s="1333"/>
      <c r="L8" s="879" t="s">
        <v>911</v>
      </c>
      <c r="M8" s="1330">
        <f ca="1">INDIRECT("'数据-取费表'!ai"&amp;$G$1)</f>
        <v>0</v>
      </c>
    </row>
    <row r="9" spans="1:37" ht="18" customHeight="1">
      <c r="A9" s="1335"/>
      <c r="B9" s="3184"/>
      <c r="C9" s="1336"/>
      <c r="D9" s="1333"/>
      <c r="E9" s="879" t="s">
        <v>912</v>
      </c>
      <c r="F9" s="1330">
        <f ca="1">INDIRECT("'数据-取费表'!w"&amp;$G$1)</f>
        <v>0</v>
      </c>
      <c r="G9" s="1312"/>
      <c r="H9" s="1335"/>
      <c r="I9" s="318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8"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8"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0.200000000000003"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8"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8"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8"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8"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6.6"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80" t="s">
        <v>1052</v>
      </c>
      <c r="L53" s="3181"/>
      <c r="O53" s="1436" t="s">
        <v>626</v>
      </c>
      <c r="P53" s="1437" t="s">
        <v>1053</v>
      </c>
      <c r="Q53" s="1438" t="e">
        <f ca="1">Q47+Q48</f>
        <v>#VALUE!</v>
      </c>
      <c r="R53" s="1438" t="s">
        <v>627</v>
      </c>
    </row>
    <row r="54" spans="1:18" s="1312" customFormat="1" ht="24.6"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8"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37.200000000000003"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6"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6"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6"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2"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8"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8"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8"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8"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8"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2"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24.6"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2"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8"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8" thickBot="1">
      <c r="A70" s="1525"/>
      <c r="B70" s="1526"/>
      <c r="C70" s="1359"/>
      <c r="D70" s="1515"/>
      <c r="E70" s="1495" t="s">
        <v>981</v>
      </c>
      <c r="F70" s="1471"/>
      <c r="O70" s="1457" t="s">
        <v>629</v>
      </c>
      <c r="P70" s="1521" t="s">
        <v>1089</v>
      </c>
      <c r="Q70" s="1438" t="e">
        <f ca="1">C13</f>
        <v>#VALUE!</v>
      </c>
      <c r="R70" s="1438" t="s">
        <v>1033</v>
      </c>
    </row>
    <row r="71" spans="1:18" s="1312" customFormat="1" ht="13.8"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8" thickBot="1">
      <c r="B72" s="598"/>
      <c r="C72" s="598"/>
      <c r="O72" s="1457" t="s">
        <v>624</v>
      </c>
      <c r="P72" s="1437" t="s">
        <v>1068</v>
      </c>
      <c r="Q72" s="1438">
        <f>L52</f>
        <v>0</v>
      </c>
      <c r="R72" s="1438"/>
    </row>
    <row r="73" spans="1:18" ht="16.2" thickBot="1">
      <c r="A73" s="1312"/>
      <c r="B73" s="598"/>
      <c r="C73" s="598"/>
      <c r="D73" s="1312"/>
      <c r="E73" s="1312"/>
      <c r="F73" s="1312"/>
      <c r="O73" s="1457" t="s">
        <v>625</v>
      </c>
      <c r="P73" s="1437" t="s">
        <v>1071</v>
      </c>
      <c r="Q73" s="1438" t="e">
        <f ca="1">L58</f>
        <v>#DIV/0!</v>
      </c>
      <c r="R73" s="1438" t="s">
        <v>1072</v>
      </c>
    </row>
    <row r="74" spans="1:18" ht="13.8"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8"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95" customWidth="1"/>
    <col min="2" max="2" width="20.6640625" style="599" customWidth="1"/>
    <col min="3" max="3" width="11.88671875" style="599" customWidth="1"/>
    <col min="4" max="4" width="40.44140625" style="1195" customWidth="1"/>
    <col min="5" max="5" width="15.77734375" style="1195" customWidth="1"/>
    <col min="6" max="6" width="10.6640625" style="1195" customWidth="1"/>
    <col min="7" max="7" width="4.88671875" style="1195" customWidth="1"/>
    <col min="8" max="8" width="8.44140625" style="1195" customWidth="1"/>
    <col min="9" max="9" width="21.21875" style="1195" customWidth="1"/>
    <col min="10" max="10" width="12.21875" style="1195" customWidth="1"/>
    <col min="11" max="11" width="40.109375" style="1531" customWidth="1"/>
    <col min="12" max="12" width="16.33203125" style="1195" customWidth="1"/>
    <col min="13" max="13" width="13" style="1195" customWidth="1"/>
    <col min="14" max="14" width="13.77734375" style="1312" customWidth="1"/>
    <col min="15" max="15" width="5.109375" style="1312" customWidth="1"/>
    <col min="16" max="16" width="25.77734375" style="1312" customWidth="1"/>
    <col min="17" max="17" width="13.77734375" style="1312" customWidth="1"/>
    <col min="18" max="18" width="20.44140625" style="1312" customWidth="1"/>
    <col min="19" max="19" width="13.21875" style="1312" customWidth="1"/>
    <col min="20" max="37" width="9" style="1312"/>
    <col min="38" max="16384" width="9" style="1195"/>
  </cols>
  <sheetData>
    <row r="1" spans="1:37" s="1303" customFormat="1" ht="21.6">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82" t="s">
        <v>907</v>
      </c>
      <c r="C6" s="1329">
        <f ca="1">ROUND(F6*F8*F7*(1-F9),0)</f>
        <v>0</v>
      </c>
      <c r="D6" s="965" t="s">
        <v>2364</v>
      </c>
      <c r="E6" s="879" t="s">
        <v>909</v>
      </c>
      <c r="F6" s="1330">
        <f ca="1">INDIRECT("'数据-取费表'!u"&amp;$G$1)</f>
        <v>0</v>
      </c>
      <c r="G6" s="1312"/>
      <c r="H6" s="1328" t="s">
        <v>615</v>
      </c>
      <c r="I6" s="3182" t="s">
        <v>907</v>
      </c>
      <c r="J6" s="1331">
        <f ca="1">ROUND(M6*M8*M7*(1-M9),0)</f>
        <v>0</v>
      </c>
      <c r="K6" s="1538" t="s">
        <v>2365</v>
      </c>
      <c r="L6" s="879" t="s">
        <v>909</v>
      </c>
      <c r="M6" s="1330">
        <f ca="1">INDIRECT("'数据-取费表'!z"&amp;$G$1)</f>
        <v>0</v>
      </c>
    </row>
    <row r="7" spans="1:37" ht="18" customHeight="1">
      <c r="A7" s="984"/>
      <c r="B7" s="3183"/>
      <c r="C7" s="1332"/>
      <c r="D7" s="1333"/>
      <c r="E7" s="1334" t="s">
        <v>910</v>
      </c>
      <c r="F7" s="1330">
        <f ca="1">IF(INDIRECT("'数据-取费表'!ah"&amp;$G$1)="",INDIRECT("'数据-取费表'!k"&amp;$G$1),INDIRECT("'数据-取费表'!ah"&amp;$G$1))</f>
        <v>0</v>
      </c>
      <c r="G7" s="1312"/>
      <c r="H7" s="1335"/>
      <c r="I7" s="3183"/>
      <c r="J7" s="1336"/>
      <c r="K7" s="1333"/>
      <c r="L7" s="879" t="s">
        <v>910</v>
      </c>
      <c r="M7" s="1330">
        <f ca="1">F7</f>
        <v>0</v>
      </c>
    </row>
    <row r="8" spans="1:37" ht="18" customHeight="1">
      <c r="A8" s="1335"/>
      <c r="B8" s="3183"/>
      <c r="C8" s="1336"/>
      <c r="D8" s="1333"/>
      <c r="E8" s="879" t="s">
        <v>911</v>
      </c>
      <c r="F8" s="1330">
        <f ca="1">INDIRECT("'数据-取费表'!ai"&amp;$G$1)</f>
        <v>0</v>
      </c>
      <c r="G8" s="1312"/>
      <c r="H8" s="1335"/>
      <c r="I8" s="3183"/>
      <c r="J8" s="1336"/>
      <c r="K8" s="1333"/>
      <c r="L8" s="879" t="s">
        <v>911</v>
      </c>
      <c r="M8" s="1330">
        <f ca="1">INDIRECT("'数据-取费表'!ai"&amp;$G$1)</f>
        <v>0</v>
      </c>
    </row>
    <row r="9" spans="1:37" ht="18" customHeight="1">
      <c r="A9" s="1335"/>
      <c r="B9" s="3184"/>
      <c r="C9" s="1336"/>
      <c r="D9" s="1333"/>
      <c r="E9" s="879" t="s">
        <v>912</v>
      </c>
      <c r="F9" s="1330">
        <f ca="1">INDIRECT("'数据-取费表'!w"&amp;$G$1)</f>
        <v>0</v>
      </c>
      <c r="G9" s="1312"/>
      <c r="H9" s="1335"/>
      <c r="I9" s="318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8"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8"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0.200000000000003"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8"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8"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8"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8"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80" t="s">
        <v>1052</v>
      </c>
      <c r="L53" s="3181"/>
      <c r="O53" s="1436" t="s">
        <v>626</v>
      </c>
      <c r="P53" s="1437" t="s">
        <v>1053</v>
      </c>
      <c r="Q53" s="1438" t="e">
        <f ca="1">Q47+Q48</f>
        <v>#VALUE!</v>
      </c>
      <c r="R53" s="1438" t="s">
        <v>627</v>
      </c>
    </row>
    <row r="54" spans="1:18" s="1312" customFormat="1" ht="13.8"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8"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6"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6"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6"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2"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8"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8"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8"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8"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8"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2"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24.6"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2"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8"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8" thickBot="1">
      <c r="A70" s="1525"/>
      <c r="B70" s="1526"/>
      <c r="C70" s="1359"/>
      <c r="D70" s="1515"/>
      <c r="E70" s="1495" t="s">
        <v>981</v>
      </c>
      <c r="F70" s="1471">
        <f ca="1">F42</f>
        <v>0</v>
      </c>
      <c r="O70" s="1457" t="s">
        <v>629</v>
      </c>
      <c r="P70" s="1521" t="s">
        <v>1089</v>
      </c>
      <c r="Q70" s="1438" t="e">
        <f ca="1">C13</f>
        <v>#VALUE!</v>
      </c>
      <c r="R70" s="1438" t="s">
        <v>1033</v>
      </c>
    </row>
    <row r="71" spans="1:18" s="1312" customFormat="1" ht="13.8"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8" thickBot="1">
      <c r="B72" s="598"/>
      <c r="C72" s="598"/>
      <c r="O72" s="1457" t="s">
        <v>624</v>
      </c>
      <c r="P72" s="1437" t="s">
        <v>1068</v>
      </c>
      <c r="Q72" s="1438">
        <f>L52</f>
        <v>0</v>
      </c>
      <c r="R72" s="1438"/>
    </row>
    <row r="73" spans="1:18" ht="16.2" thickBot="1">
      <c r="A73" s="1312"/>
      <c r="B73" s="598"/>
      <c r="C73" s="598"/>
      <c r="D73" s="1312"/>
      <c r="E73" s="1312"/>
      <c r="F73" s="1312"/>
      <c r="O73" s="1457" t="s">
        <v>625</v>
      </c>
      <c r="P73" s="1437" t="s">
        <v>1071</v>
      </c>
      <c r="Q73" s="1438" t="e">
        <f ca="1">L58</f>
        <v>#DIV/0!</v>
      </c>
      <c r="R73" s="1438" t="s">
        <v>1072</v>
      </c>
    </row>
    <row r="74" spans="1:18" ht="13.8"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8"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2" customHeight="1"/>
  <cols>
    <col min="1" max="1" width="9.44140625" style="1555" customWidth="1"/>
    <col min="2" max="2" width="8.88671875" style="1555"/>
    <col min="3" max="5" width="12.88671875" style="1555" customWidth="1"/>
    <col min="6" max="6" width="47.44140625" style="1555" customWidth="1"/>
    <col min="7" max="7" width="13" style="1680" customWidth="1"/>
    <col min="8" max="8" width="8.88671875" style="1549"/>
    <col min="9" max="9" width="8.88671875" style="1550"/>
    <col min="10" max="10" width="5.77734375" style="1681" customWidth="1"/>
    <col min="11" max="11" width="11.77734375" style="1681" customWidth="1"/>
    <col min="12" max="13" width="10.77734375" style="1681" customWidth="1"/>
    <col min="14" max="14" width="10" style="1681" customWidth="1"/>
    <col min="15" max="16" width="10.44140625" style="1681" bestFit="1" customWidth="1"/>
    <col min="17" max="17" width="10" style="1681" customWidth="1"/>
    <col min="18" max="18" width="10.109375" style="1681" customWidth="1"/>
    <col min="19" max="19" width="10" style="1681" customWidth="1"/>
    <col min="20" max="20" width="26.109375" style="1681" customWidth="1"/>
    <col min="21" max="21" width="8.88671875" style="1681"/>
    <col min="22" max="22" width="8.88671875" style="1550"/>
    <col min="23" max="256" width="8.88671875" style="1555"/>
    <col min="257" max="257" width="9.44140625" style="1555" customWidth="1"/>
    <col min="258" max="258" width="8.88671875" style="1555"/>
    <col min="259" max="261" width="12.88671875" style="1555" customWidth="1"/>
    <col min="262" max="262" width="47.44140625" style="1555" customWidth="1"/>
    <col min="263" max="263" width="13" style="1555" customWidth="1"/>
    <col min="264" max="265" width="8.88671875" style="1555"/>
    <col min="266" max="266" width="5.77734375" style="1555" customWidth="1"/>
    <col min="267" max="267" width="11.77734375" style="1555" customWidth="1"/>
    <col min="268" max="269" width="10.77734375" style="1555" customWidth="1"/>
    <col min="270" max="270" width="10" style="1555" customWidth="1"/>
    <col min="271" max="272" width="10.44140625" style="1555" bestFit="1" customWidth="1"/>
    <col min="273" max="273" width="10" style="1555" customWidth="1"/>
    <col min="274" max="274" width="10.109375" style="1555" customWidth="1"/>
    <col min="275" max="275" width="10" style="1555" customWidth="1"/>
    <col min="276" max="276" width="26.109375" style="1555" customWidth="1"/>
    <col min="277" max="512" width="8.88671875" style="1555"/>
    <col min="513" max="513" width="9.44140625" style="1555" customWidth="1"/>
    <col min="514" max="514" width="8.88671875" style="1555"/>
    <col min="515" max="517" width="12.88671875" style="1555" customWidth="1"/>
    <col min="518" max="518" width="47.44140625" style="1555" customWidth="1"/>
    <col min="519" max="519" width="13" style="1555" customWidth="1"/>
    <col min="520" max="521" width="8.88671875" style="1555"/>
    <col min="522" max="522" width="5.77734375" style="1555" customWidth="1"/>
    <col min="523" max="523" width="11.77734375" style="1555" customWidth="1"/>
    <col min="524" max="525" width="10.77734375" style="1555" customWidth="1"/>
    <col min="526" max="526" width="10" style="1555" customWidth="1"/>
    <col min="527" max="528" width="10.44140625" style="1555" bestFit="1" customWidth="1"/>
    <col min="529" max="529" width="10" style="1555" customWidth="1"/>
    <col min="530" max="530" width="10.109375" style="1555" customWidth="1"/>
    <col min="531" max="531" width="10" style="1555" customWidth="1"/>
    <col min="532" max="532" width="26.109375" style="1555" customWidth="1"/>
    <col min="533" max="768" width="8.88671875" style="1555"/>
    <col min="769" max="769" width="9.44140625" style="1555" customWidth="1"/>
    <col min="770" max="770" width="8.88671875" style="1555"/>
    <col min="771" max="773" width="12.88671875" style="1555" customWidth="1"/>
    <col min="774" max="774" width="47.44140625" style="1555" customWidth="1"/>
    <col min="775" max="775" width="13" style="1555" customWidth="1"/>
    <col min="776" max="777" width="8.88671875" style="1555"/>
    <col min="778" max="778" width="5.77734375" style="1555" customWidth="1"/>
    <col min="779" max="779" width="11.77734375" style="1555" customWidth="1"/>
    <col min="780" max="781" width="10.77734375" style="1555" customWidth="1"/>
    <col min="782" max="782" width="10" style="1555" customWidth="1"/>
    <col min="783" max="784" width="10.44140625" style="1555" bestFit="1" customWidth="1"/>
    <col min="785" max="785" width="10" style="1555" customWidth="1"/>
    <col min="786" max="786" width="10.109375" style="1555" customWidth="1"/>
    <col min="787" max="787" width="10" style="1555" customWidth="1"/>
    <col min="788" max="788" width="26.109375" style="1555" customWidth="1"/>
    <col min="789" max="1024" width="8.88671875" style="1555"/>
    <col min="1025" max="1025" width="9.44140625" style="1555" customWidth="1"/>
    <col min="1026" max="1026" width="8.88671875" style="1555"/>
    <col min="1027" max="1029" width="12.88671875" style="1555" customWidth="1"/>
    <col min="1030" max="1030" width="47.44140625" style="1555" customWidth="1"/>
    <col min="1031" max="1031" width="13" style="1555" customWidth="1"/>
    <col min="1032" max="1033" width="8.88671875" style="1555"/>
    <col min="1034" max="1034" width="5.77734375" style="1555" customWidth="1"/>
    <col min="1035" max="1035" width="11.77734375" style="1555" customWidth="1"/>
    <col min="1036" max="1037" width="10.77734375" style="1555" customWidth="1"/>
    <col min="1038" max="1038" width="10" style="1555" customWidth="1"/>
    <col min="1039" max="1040" width="10.44140625" style="1555" bestFit="1" customWidth="1"/>
    <col min="1041" max="1041" width="10" style="1555" customWidth="1"/>
    <col min="1042" max="1042" width="10.109375" style="1555" customWidth="1"/>
    <col min="1043" max="1043" width="10" style="1555" customWidth="1"/>
    <col min="1044" max="1044" width="26.109375" style="1555" customWidth="1"/>
    <col min="1045" max="1280" width="8.88671875" style="1555"/>
    <col min="1281" max="1281" width="9.44140625" style="1555" customWidth="1"/>
    <col min="1282" max="1282" width="8.88671875" style="1555"/>
    <col min="1283" max="1285" width="12.88671875" style="1555" customWidth="1"/>
    <col min="1286" max="1286" width="47.44140625" style="1555" customWidth="1"/>
    <col min="1287" max="1287" width="13" style="1555" customWidth="1"/>
    <col min="1288" max="1289" width="8.88671875" style="1555"/>
    <col min="1290" max="1290" width="5.77734375" style="1555" customWidth="1"/>
    <col min="1291" max="1291" width="11.77734375" style="1555" customWidth="1"/>
    <col min="1292" max="1293" width="10.77734375" style="1555" customWidth="1"/>
    <col min="1294" max="1294" width="10" style="1555" customWidth="1"/>
    <col min="1295" max="1296" width="10.44140625" style="1555" bestFit="1" customWidth="1"/>
    <col min="1297" max="1297" width="10" style="1555" customWidth="1"/>
    <col min="1298" max="1298" width="10.109375" style="1555" customWidth="1"/>
    <col min="1299" max="1299" width="10" style="1555" customWidth="1"/>
    <col min="1300" max="1300" width="26.109375" style="1555" customWidth="1"/>
    <col min="1301" max="1536" width="8.88671875" style="1555"/>
    <col min="1537" max="1537" width="9.44140625" style="1555" customWidth="1"/>
    <col min="1538" max="1538" width="8.88671875" style="1555"/>
    <col min="1539" max="1541" width="12.88671875" style="1555" customWidth="1"/>
    <col min="1542" max="1542" width="47.44140625" style="1555" customWidth="1"/>
    <col min="1543" max="1543" width="13" style="1555" customWidth="1"/>
    <col min="1544" max="1545" width="8.88671875" style="1555"/>
    <col min="1546" max="1546" width="5.77734375" style="1555" customWidth="1"/>
    <col min="1547" max="1547" width="11.77734375" style="1555" customWidth="1"/>
    <col min="1548" max="1549" width="10.77734375" style="1555" customWidth="1"/>
    <col min="1550" max="1550" width="10" style="1555" customWidth="1"/>
    <col min="1551" max="1552" width="10.44140625" style="1555" bestFit="1" customWidth="1"/>
    <col min="1553" max="1553" width="10" style="1555" customWidth="1"/>
    <col min="1554" max="1554" width="10.109375" style="1555" customWidth="1"/>
    <col min="1555" max="1555" width="10" style="1555" customWidth="1"/>
    <col min="1556" max="1556" width="26.109375" style="1555" customWidth="1"/>
    <col min="1557" max="1792" width="8.88671875" style="1555"/>
    <col min="1793" max="1793" width="9.44140625" style="1555" customWidth="1"/>
    <col min="1794" max="1794" width="8.88671875" style="1555"/>
    <col min="1795" max="1797" width="12.88671875" style="1555" customWidth="1"/>
    <col min="1798" max="1798" width="47.44140625" style="1555" customWidth="1"/>
    <col min="1799" max="1799" width="13" style="1555" customWidth="1"/>
    <col min="1800" max="1801" width="8.88671875" style="1555"/>
    <col min="1802" max="1802" width="5.77734375" style="1555" customWidth="1"/>
    <col min="1803" max="1803" width="11.77734375" style="1555" customWidth="1"/>
    <col min="1804" max="1805" width="10.77734375" style="1555" customWidth="1"/>
    <col min="1806" max="1806" width="10" style="1555" customWidth="1"/>
    <col min="1807" max="1808" width="10.44140625" style="1555" bestFit="1" customWidth="1"/>
    <col min="1809" max="1809" width="10" style="1555" customWidth="1"/>
    <col min="1810" max="1810" width="10.109375" style="1555" customWidth="1"/>
    <col min="1811" max="1811" width="10" style="1555" customWidth="1"/>
    <col min="1812" max="1812" width="26.109375" style="1555" customWidth="1"/>
    <col min="1813" max="2048" width="8.88671875" style="1555"/>
    <col min="2049" max="2049" width="9.44140625" style="1555" customWidth="1"/>
    <col min="2050" max="2050" width="8.88671875" style="1555"/>
    <col min="2051" max="2053" width="12.88671875" style="1555" customWidth="1"/>
    <col min="2054" max="2054" width="47.44140625" style="1555" customWidth="1"/>
    <col min="2055" max="2055" width="13" style="1555" customWidth="1"/>
    <col min="2056" max="2057" width="8.88671875" style="1555"/>
    <col min="2058" max="2058" width="5.77734375" style="1555" customWidth="1"/>
    <col min="2059" max="2059" width="11.77734375" style="1555" customWidth="1"/>
    <col min="2060" max="2061" width="10.77734375" style="1555" customWidth="1"/>
    <col min="2062" max="2062" width="10" style="1555" customWidth="1"/>
    <col min="2063" max="2064" width="10.44140625" style="1555" bestFit="1" customWidth="1"/>
    <col min="2065" max="2065" width="10" style="1555" customWidth="1"/>
    <col min="2066" max="2066" width="10.109375" style="1555" customWidth="1"/>
    <col min="2067" max="2067" width="10" style="1555" customWidth="1"/>
    <col min="2068" max="2068" width="26.109375" style="1555" customWidth="1"/>
    <col min="2069" max="2304" width="8.88671875" style="1555"/>
    <col min="2305" max="2305" width="9.44140625" style="1555" customWidth="1"/>
    <col min="2306" max="2306" width="8.88671875" style="1555"/>
    <col min="2307" max="2309" width="12.88671875" style="1555" customWidth="1"/>
    <col min="2310" max="2310" width="47.44140625" style="1555" customWidth="1"/>
    <col min="2311" max="2311" width="13" style="1555" customWidth="1"/>
    <col min="2312" max="2313" width="8.88671875" style="1555"/>
    <col min="2314" max="2314" width="5.77734375" style="1555" customWidth="1"/>
    <col min="2315" max="2315" width="11.77734375" style="1555" customWidth="1"/>
    <col min="2316" max="2317" width="10.77734375" style="1555" customWidth="1"/>
    <col min="2318" max="2318" width="10" style="1555" customWidth="1"/>
    <col min="2319" max="2320" width="10.44140625" style="1555" bestFit="1" customWidth="1"/>
    <col min="2321" max="2321" width="10" style="1555" customWidth="1"/>
    <col min="2322" max="2322" width="10.109375" style="1555" customWidth="1"/>
    <col min="2323" max="2323" width="10" style="1555" customWidth="1"/>
    <col min="2324" max="2324" width="26.109375" style="1555" customWidth="1"/>
    <col min="2325" max="2560" width="8.88671875" style="1555"/>
    <col min="2561" max="2561" width="9.44140625" style="1555" customWidth="1"/>
    <col min="2562" max="2562" width="8.88671875" style="1555"/>
    <col min="2563" max="2565" width="12.88671875" style="1555" customWidth="1"/>
    <col min="2566" max="2566" width="47.44140625" style="1555" customWidth="1"/>
    <col min="2567" max="2567" width="13" style="1555" customWidth="1"/>
    <col min="2568" max="2569" width="8.88671875" style="1555"/>
    <col min="2570" max="2570" width="5.77734375" style="1555" customWidth="1"/>
    <col min="2571" max="2571" width="11.77734375" style="1555" customWidth="1"/>
    <col min="2572" max="2573" width="10.77734375" style="1555" customWidth="1"/>
    <col min="2574" max="2574" width="10" style="1555" customWidth="1"/>
    <col min="2575" max="2576" width="10.44140625" style="1555" bestFit="1" customWidth="1"/>
    <col min="2577" max="2577" width="10" style="1555" customWidth="1"/>
    <col min="2578" max="2578" width="10.109375" style="1555" customWidth="1"/>
    <col min="2579" max="2579" width="10" style="1555" customWidth="1"/>
    <col min="2580" max="2580" width="26.109375" style="1555" customWidth="1"/>
    <col min="2581" max="2816" width="8.88671875" style="1555"/>
    <col min="2817" max="2817" width="9.44140625" style="1555" customWidth="1"/>
    <col min="2818" max="2818" width="8.88671875" style="1555"/>
    <col min="2819" max="2821" width="12.88671875" style="1555" customWidth="1"/>
    <col min="2822" max="2822" width="47.44140625" style="1555" customWidth="1"/>
    <col min="2823" max="2823" width="13" style="1555" customWidth="1"/>
    <col min="2824" max="2825" width="8.88671875" style="1555"/>
    <col min="2826" max="2826" width="5.77734375" style="1555" customWidth="1"/>
    <col min="2827" max="2827" width="11.77734375" style="1555" customWidth="1"/>
    <col min="2828" max="2829" width="10.77734375" style="1555" customWidth="1"/>
    <col min="2830" max="2830" width="10" style="1555" customWidth="1"/>
    <col min="2831" max="2832" width="10.44140625" style="1555" bestFit="1" customWidth="1"/>
    <col min="2833" max="2833" width="10" style="1555" customWidth="1"/>
    <col min="2834" max="2834" width="10.109375" style="1555" customWidth="1"/>
    <col min="2835" max="2835" width="10" style="1555" customWidth="1"/>
    <col min="2836" max="2836" width="26.109375" style="1555" customWidth="1"/>
    <col min="2837" max="3072" width="8.88671875" style="1555"/>
    <col min="3073" max="3073" width="9.44140625" style="1555" customWidth="1"/>
    <col min="3074" max="3074" width="8.88671875" style="1555"/>
    <col min="3075" max="3077" width="12.88671875" style="1555" customWidth="1"/>
    <col min="3078" max="3078" width="47.44140625" style="1555" customWidth="1"/>
    <col min="3079" max="3079" width="13" style="1555" customWidth="1"/>
    <col min="3080" max="3081" width="8.88671875" style="1555"/>
    <col min="3082" max="3082" width="5.77734375" style="1555" customWidth="1"/>
    <col min="3083" max="3083" width="11.77734375" style="1555" customWidth="1"/>
    <col min="3084" max="3085" width="10.77734375" style="1555" customWidth="1"/>
    <col min="3086" max="3086" width="10" style="1555" customWidth="1"/>
    <col min="3087" max="3088" width="10.44140625" style="1555" bestFit="1" customWidth="1"/>
    <col min="3089" max="3089" width="10" style="1555" customWidth="1"/>
    <col min="3090" max="3090" width="10.109375" style="1555" customWidth="1"/>
    <col min="3091" max="3091" width="10" style="1555" customWidth="1"/>
    <col min="3092" max="3092" width="26.109375" style="1555" customWidth="1"/>
    <col min="3093" max="3328" width="8.88671875" style="1555"/>
    <col min="3329" max="3329" width="9.44140625" style="1555" customWidth="1"/>
    <col min="3330" max="3330" width="8.88671875" style="1555"/>
    <col min="3331" max="3333" width="12.88671875" style="1555" customWidth="1"/>
    <col min="3334" max="3334" width="47.44140625" style="1555" customWidth="1"/>
    <col min="3335" max="3335" width="13" style="1555" customWidth="1"/>
    <col min="3336" max="3337" width="8.88671875" style="1555"/>
    <col min="3338" max="3338" width="5.77734375" style="1555" customWidth="1"/>
    <col min="3339" max="3339" width="11.77734375" style="1555" customWidth="1"/>
    <col min="3340" max="3341" width="10.77734375" style="1555" customWidth="1"/>
    <col min="3342" max="3342" width="10" style="1555" customWidth="1"/>
    <col min="3343" max="3344" width="10.44140625" style="1555" bestFit="1" customWidth="1"/>
    <col min="3345" max="3345" width="10" style="1555" customWidth="1"/>
    <col min="3346" max="3346" width="10.109375" style="1555" customWidth="1"/>
    <col min="3347" max="3347" width="10" style="1555" customWidth="1"/>
    <col min="3348" max="3348" width="26.109375" style="1555" customWidth="1"/>
    <col min="3349" max="3584" width="8.88671875" style="1555"/>
    <col min="3585" max="3585" width="9.44140625" style="1555" customWidth="1"/>
    <col min="3586" max="3586" width="8.88671875" style="1555"/>
    <col min="3587" max="3589" width="12.88671875" style="1555" customWidth="1"/>
    <col min="3590" max="3590" width="47.44140625" style="1555" customWidth="1"/>
    <col min="3591" max="3591" width="13" style="1555" customWidth="1"/>
    <col min="3592" max="3593" width="8.88671875" style="1555"/>
    <col min="3594" max="3594" width="5.77734375" style="1555" customWidth="1"/>
    <col min="3595" max="3595" width="11.77734375" style="1555" customWidth="1"/>
    <col min="3596" max="3597" width="10.77734375" style="1555" customWidth="1"/>
    <col min="3598" max="3598" width="10" style="1555" customWidth="1"/>
    <col min="3599" max="3600" width="10.44140625" style="1555" bestFit="1" customWidth="1"/>
    <col min="3601" max="3601" width="10" style="1555" customWidth="1"/>
    <col min="3602" max="3602" width="10.109375" style="1555" customWidth="1"/>
    <col min="3603" max="3603" width="10" style="1555" customWidth="1"/>
    <col min="3604" max="3604" width="26.109375" style="1555" customWidth="1"/>
    <col min="3605" max="3840" width="8.88671875" style="1555"/>
    <col min="3841" max="3841" width="9.44140625" style="1555" customWidth="1"/>
    <col min="3842" max="3842" width="8.88671875" style="1555"/>
    <col min="3843" max="3845" width="12.88671875" style="1555" customWidth="1"/>
    <col min="3846" max="3846" width="47.44140625" style="1555" customWidth="1"/>
    <col min="3847" max="3847" width="13" style="1555" customWidth="1"/>
    <col min="3848" max="3849" width="8.88671875" style="1555"/>
    <col min="3850" max="3850" width="5.77734375" style="1555" customWidth="1"/>
    <col min="3851" max="3851" width="11.77734375" style="1555" customWidth="1"/>
    <col min="3852" max="3853" width="10.77734375" style="1555" customWidth="1"/>
    <col min="3854" max="3854" width="10" style="1555" customWidth="1"/>
    <col min="3855" max="3856" width="10.44140625" style="1555" bestFit="1" customWidth="1"/>
    <col min="3857" max="3857" width="10" style="1555" customWidth="1"/>
    <col min="3858" max="3858" width="10.109375" style="1555" customWidth="1"/>
    <col min="3859" max="3859" width="10" style="1555" customWidth="1"/>
    <col min="3860" max="3860" width="26.109375" style="1555" customWidth="1"/>
    <col min="3861" max="4096" width="8.88671875" style="1555"/>
    <col min="4097" max="4097" width="9.44140625" style="1555" customWidth="1"/>
    <col min="4098" max="4098" width="8.88671875" style="1555"/>
    <col min="4099" max="4101" width="12.88671875" style="1555" customWidth="1"/>
    <col min="4102" max="4102" width="47.44140625" style="1555" customWidth="1"/>
    <col min="4103" max="4103" width="13" style="1555" customWidth="1"/>
    <col min="4104" max="4105" width="8.88671875" style="1555"/>
    <col min="4106" max="4106" width="5.77734375" style="1555" customWidth="1"/>
    <col min="4107" max="4107" width="11.77734375" style="1555" customWidth="1"/>
    <col min="4108" max="4109" width="10.77734375" style="1555" customWidth="1"/>
    <col min="4110" max="4110" width="10" style="1555" customWidth="1"/>
    <col min="4111" max="4112" width="10.44140625" style="1555" bestFit="1" customWidth="1"/>
    <col min="4113" max="4113" width="10" style="1555" customWidth="1"/>
    <col min="4114" max="4114" width="10.109375" style="1555" customWidth="1"/>
    <col min="4115" max="4115" width="10" style="1555" customWidth="1"/>
    <col min="4116" max="4116" width="26.109375" style="1555" customWidth="1"/>
    <col min="4117" max="4352" width="8.88671875" style="1555"/>
    <col min="4353" max="4353" width="9.44140625" style="1555" customWidth="1"/>
    <col min="4354" max="4354" width="8.88671875" style="1555"/>
    <col min="4355" max="4357" width="12.88671875" style="1555" customWidth="1"/>
    <col min="4358" max="4358" width="47.44140625" style="1555" customWidth="1"/>
    <col min="4359" max="4359" width="13" style="1555" customWidth="1"/>
    <col min="4360" max="4361" width="8.88671875" style="1555"/>
    <col min="4362" max="4362" width="5.77734375" style="1555" customWidth="1"/>
    <col min="4363" max="4363" width="11.77734375" style="1555" customWidth="1"/>
    <col min="4364" max="4365" width="10.77734375" style="1555" customWidth="1"/>
    <col min="4366" max="4366" width="10" style="1555" customWidth="1"/>
    <col min="4367" max="4368" width="10.44140625" style="1555" bestFit="1" customWidth="1"/>
    <col min="4369" max="4369" width="10" style="1555" customWidth="1"/>
    <col min="4370" max="4370" width="10.109375" style="1555" customWidth="1"/>
    <col min="4371" max="4371" width="10" style="1555" customWidth="1"/>
    <col min="4372" max="4372" width="26.109375" style="1555" customWidth="1"/>
    <col min="4373" max="4608" width="8.88671875" style="1555"/>
    <col min="4609" max="4609" width="9.44140625" style="1555" customWidth="1"/>
    <col min="4610" max="4610" width="8.88671875" style="1555"/>
    <col min="4611" max="4613" width="12.88671875" style="1555" customWidth="1"/>
    <col min="4614" max="4614" width="47.44140625" style="1555" customWidth="1"/>
    <col min="4615" max="4615" width="13" style="1555" customWidth="1"/>
    <col min="4616" max="4617" width="8.88671875" style="1555"/>
    <col min="4618" max="4618" width="5.77734375" style="1555" customWidth="1"/>
    <col min="4619" max="4619" width="11.77734375" style="1555" customWidth="1"/>
    <col min="4620" max="4621" width="10.77734375" style="1555" customWidth="1"/>
    <col min="4622" max="4622" width="10" style="1555" customWidth="1"/>
    <col min="4623" max="4624" width="10.44140625" style="1555" bestFit="1" customWidth="1"/>
    <col min="4625" max="4625" width="10" style="1555" customWidth="1"/>
    <col min="4626" max="4626" width="10.109375" style="1555" customWidth="1"/>
    <col min="4627" max="4627" width="10" style="1555" customWidth="1"/>
    <col min="4628" max="4628" width="26.109375" style="1555" customWidth="1"/>
    <col min="4629" max="4864" width="8.88671875" style="1555"/>
    <col min="4865" max="4865" width="9.44140625" style="1555" customWidth="1"/>
    <col min="4866" max="4866" width="8.88671875" style="1555"/>
    <col min="4867" max="4869" width="12.88671875" style="1555" customWidth="1"/>
    <col min="4870" max="4870" width="47.44140625" style="1555" customWidth="1"/>
    <col min="4871" max="4871" width="13" style="1555" customWidth="1"/>
    <col min="4872" max="4873" width="8.88671875" style="1555"/>
    <col min="4874" max="4874" width="5.77734375" style="1555" customWidth="1"/>
    <col min="4875" max="4875" width="11.77734375" style="1555" customWidth="1"/>
    <col min="4876" max="4877" width="10.77734375" style="1555" customWidth="1"/>
    <col min="4878" max="4878" width="10" style="1555" customWidth="1"/>
    <col min="4879" max="4880" width="10.44140625" style="1555" bestFit="1" customWidth="1"/>
    <col min="4881" max="4881" width="10" style="1555" customWidth="1"/>
    <col min="4882" max="4882" width="10.109375" style="1555" customWidth="1"/>
    <col min="4883" max="4883" width="10" style="1555" customWidth="1"/>
    <col min="4884" max="4884" width="26.109375" style="1555" customWidth="1"/>
    <col min="4885" max="5120" width="8.88671875" style="1555"/>
    <col min="5121" max="5121" width="9.44140625" style="1555" customWidth="1"/>
    <col min="5122" max="5122" width="8.88671875" style="1555"/>
    <col min="5123" max="5125" width="12.88671875" style="1555" customWidth="1"/>
    <col min="5126" max="5126" width="47.44140625" style="1555" customWidth="1"/>
    <col min="5127" max="5127" width="13" style="1555" customWidth="1"/>
    <col min="5128" max="5129" width="8.88671875" style="1555"/>
    <col min="5130" max="5130" width="5.77734375" style="1555" customWidth="1"/>
    <col min="5131" max="5131" width="11.77734375" style="1555" customWidth="1"/>
    <col min="5132" max="5133" width="10.77734375" style="1555" customWidth="1"/>
    <col min="5134" max="5134" width="10" style="1555" customWidth="1"/>
    <col min="5135" max="5136" width="10.44140625" style="1555" bestFit="1" customWidth="1"/>
    <col min="5137" max="5137" width="10" style="1555" customWidth="1"/>
    <col min="5138" max="5138" width="10.109375" style="1555" customWidth="1"/>
    <col min="5139" max="5139" width="10" style="1555" customWidth="1"/>
    <col min="5140" max="5140" width="26.109375" style="1555" customWidth="1"/>
    <col min="5141" max="5376" width="8.88671875" style="1555"/>
    <col min="5377" max="5377" width="9.44140625" style="1555" customWidth="1"/>
    <col min="5378" max="5378" width="8.88671875" style="1555"/>
    <col min="5379" max="5381" width="12.88671875" style="1555" customWidth="1"/>
    <col min="5382" max="5382" width="47.44140625" style="1555" customWidth="1"/>
    <col min="5383" max="5383" width="13" style="1555" customWidth="1"/>
    <col min="5384" max="5385" width="8.88671875" style="1555"/>
    <col min="5386" max="5386" width="5.77734375" style="1555" customWidth="1"/>
    <col min="5387" max="5387" width="11.77734375" style="1555" customWidth="1"/>
    <col min="5388" max="5389" width="10.77734375" style="1555" customWidth="1"/>
    <col min="5390" max="5390" width="10" style="1555" customWidth="1"/>
    <col min="5391" max="5392" width="10.44140625" style="1555" bestFit="1" customWidth="1"/>
    <col min="5393" max="5393" width="10" style="1555" customWidth="1"/>
    <col min="5394" max="5394" width="10.109375" style="1555" customWidth="1"/>
    <col min="5395" max="5395" width="10" style="1555" customWidth="1"/>
    <col min="5396" max="5396" width="26.109375" style="1555" customWidth="1"/>
    <col min="5397" max="5632" width="8.88671875" style="1555"/>
    <col min="5633" max="5633" width="9.44140625" style="1555" customWidth="1"/>
    <col min="5634" max="5634" width="8.88671875" style="1555"/>
    <col min="5635" max="5637" width="12.88671875" style="1555" customWidth="1"/>
    <col min="5638" max="5638" width="47.44140625" style="1555" customWidth="1"/>
    <col min="5639" max="5639" width="13" style="1555" customWidth="1"/>
    <col min="5640" max="5641" width="8.88671875" style="1555"/>
    <col min="5642" max="5642" width="5.77734375" style="1555" customWidth="1"/>
    <col min="5643" max="5643" width="11.77734375" style="1555" customWidth="1"/>
    <col min="5644" max="5645" width="10.77734375" style="1555" customWidth="1"/>
    <col min="5646" max="5646" width="10" style="1555" customWidth="1"/>
    <col min="5647" max="5648" width="10.44140625" style="1555" bestFit="1" customWidth="1"/>
    <col min="5649" max="5649" width="10" style="1555" customWidth="1"/>
    <col min="5650" max="5650" width="10.109375" style="1555" customWidth="1"/>
    <col min="5651" max="5651" width="10" style="1555" customWidth="1"/>
    <col min="5652" max="5652" width="26.109375" style="1555" customWidth="1"/>
    <col min="5653" max="5888" width="8.88671875" style="1555"/>
    <col min="5889" max="5889" width="9.44140625" style="1555" customWidth="1"/>
    <col min="5890" max="5890" width="8.88671875" style="1555"/>
    <col min="5891" max="5893" width="12.88671875" style="1555" customWidth="1"/>
    <col min="5894" max="5894" width="47.44140625" style="1555" customWidth="1"/>
    <col min="5895" max="5895" width="13" style="1555" customWidth="1"/>
    <col min="5896" max="5897" width="8.88671875" style="1555"/>
    <col min="5898" max="5898" width="5.77734375" style="1555" customWidth="1"/>
    <col min="5899" max="5899" width="11.77734375" style="1555" customWidth="1"/>
    <col min="5900" max="5901" width="10.77734375" style="1555" customWidth="1"/>
    <col min="5902" max="5902" width="10" style="1555" customWidth="1"/>
    <col min="5903" max="5904" width="10.44140625" style="1555" bestFit="1" customWidth="1"/>
    <col min="5905" max="5905" width="10" style="1555" customWidth="1"/>
    <col min="5906" max="5906" width="10.109375" style="1555" customWidth="1"/>
    <col min="5907" max="5907" width="10" style="1555" customWidth="1"/>
    <col min="5908" max="5908" width="26.109375" style="1555" customWidth="1"/>
    <col min="5909" max="6144" width="8.88671875" style="1555"/>
    <col min="6145" max="6145" width="9.44140625" style="1555" customWidth="1"/>
    <col min="6146" max="6146" width="8.88671875" style="1555"/>
    <col min="6147" max="6149" width="12.88671875" style="1555" customWidth="1"/>
    <col min="6150" max="6150" width="47.44140625" style="1555" customWidth="1"/>
    <col min="6151" max="6151" width="13" style="1555" customWidth="1"/>
    <col min="6152" max="6153" width="8.88671875" style="1555"/>
    <col min="6154" max="6154" width="5.77734375" style="1555" customWidth="1"/>
    <col min="6155" max="6155" width="11.77734375" style="1555" customWidth="1"/>
    <col min="6156" max="6157" width="10.77734375" style="1555" customWidth="1"/>
    <col min="6158" max="6158" width="10" style="1555" customWidth="1"/>
    <col min="6159" max="6160" width="10.44140625" style="1555" bestFit="1" customWidth="1"/>
    <col min="6161" max="6161" width="10" style="1555" customWidth="1"/>
    <col min="6162" max="6162" width="10.109375" style="1555" customWidth="1"/>
    <col min="6163" max="6163" width="10" style="1555" customWidth="1"/>
    <col min="6164" max="6164" width="26.109375" style="1555" customWidth="1"/>
    <col min="6165" max="6400" width="8.88671875" style="1555"/>
    <col min="6401" max="6401" width="9.44140625" style="1555" customWidth="1"/>
    <col min="6402" max="6402" width="8.88671875" style="1555"/>
    <col min="6403" max="6405" width="12.88671875" style="1555" customWidth="1"/>
    <col min="6406" max="6406" width="47.44140625" style="1555" customWidth="1"/>
    <col min="6407" max="6407" width="13" style="1555" customWidth="1"/>
    <col min="6408" max="6409" width="8.88671875" style="1555"/>
    <col min="6410" max="6410" width="5.77734375" style="1555" customWidth="1"/>
    <col min="6411" max="6411" width="11.77734375" style="1555" customWidth="1"/>
    <col min="6412" max="6413" width="10.77734375" style="1555" customWidth="1"/>
    <col min="6414" max="6414" width="10" style="1555" customWidth="1"/>
    <col min="6415" max="6416" width="10.44140625" style="1555" bestFit="1" customWidth="1"/>
    <col min="6417" max="6417" width="10" style="1555" customWidth="1"/>
    <col min="6418" max="6418" width="10.109375" style="1555" customWidth="1"/>
    <col min="6419" max="6419" width="10" style="1555" customWidth="1"/>
    <col min="6420" max="6420" width="26.109375" style="1555" customWidth="1"/>
    <col min="6421" max="6656" width="8.88671875" style="1555"/>
    <col min="6657" max="6657" width="9.44140625" style="1555" customWidth="1"/>
    <col min="6658" max="6658" width="8.88671875" style="1555"/>
    <col min="6659" max="6661" width="12.88671875" style="1555" customWidth="1"/>
    <col min="6662" max="6662" width="47.44140625" style="1555" customWidth="1"/>
    <col min="6663" max="6663" width="13" style="1555" customWidth="1"/>
    <col min="6664" max="6665" width="8.88671875" style="1555"/>
    <col min="6666" max="6666" width="5.77734375" style="1555" customWidth="1"/>
    <col min="6667" max="6667" width="11.77734375" style="1555" customWidth="1"/>
    <col min="6668" max="6669" width="10.77734375" style="1555" customWidth="1"/>
    <col min="6670" max="6670" width="10" style="1555" customWidth="1"/>
    <col min="6671" max="6672" width="10.44140625" style="1555" bestFit="1" customWidth="1"/>
    <col min="6673" max="6673" width="10" style="1555" customWidth="1"/>
    <col min="6674" max="6674" width="10.109375" style="1555" customWidth="1"/>
    <col min="6675" max="6675" width="10" style="1555" customWidth="1"/>
    <col min="6676" max="6676" width="26.109375" style="1555" customWidth="1"/>
    <col min="6677" max="6912" width="8.88671875" style="1555"/>
    <col min="6913" max="6913" width="9.44140625" style="1555" customWidth="1"/>
    <col min="6914" max="6914" width="8.88671875" style="1555"/>
    <col min="6915" max="6917" width="12.88671875" style="1555" customWidth="1"/>
    <col min="6918" max="6918" width="47.44140625" style="1555" customWidth="1"/>
    <col min="6919" max="6919" width="13" style="1555" customWidth="1"/>
    <col min="6920" max="6921" width="8.88671875" style="1555"/>
    <col min="6922" max="6922" width="5.77734375" style="1555" customWidth="1"/>
    <col min="6923" max="6923" width="11.77734375" style="1555" customWidth="1"/>
    <col min="6924" max="6925" width="10.77734375" style="1555" customWidth="1"/>
    <col min="6926" max="6926" width="10" style="1555" customWidth="1"/>
    <col min="6927" max="6928" width="10.44140625" style="1555" bestFit="1" customWidth="1"/>
    <col min="6929" max="6929" width="10" style="1555" customWidth="1"/>
    <col min="6930" max="6930" width="10.109375" style="1555" customWidth="1"/>
    <col min="6931" max="6931" width="10" style="1555" customWidth="1"/>
    <col min="6932" max="6932" width="26.109375" style="1555" customWidth="1"/>
    <col min="6933" max="7168" width="8.88671875" style="1555"/>
    <col min="7169" max="7169" width="9.44140625" style="1555" customWidth="1"/>
    <col min="7170" max="7170" width="8.88671875" style="1555"/>
    <col min="7171" max="7173" width="12.88671875" style="1555" customWidth="1"/>
    <col min="7174" max="7174" width="47.44140625" style="1555" customWidth="1"/>
    <col min="7175" max="7175" width="13" style="1555" customWidth="1"/>
    <col min="7176" max="7177" width="8.88671875" style="1555"/>
    <col min="7178" max="7178" width="5.77734375" style="1555" customWidth="1"/>
    <col min="7179" max="7179" width="11.77734375" style="1555" customWidth="1"/>
    <col min="7180" max="7181" width="10.77734375" style="1555" customWidth="1"/>
    <col min="7182" max="7182" width="10" style="1555" customWidth="1"/>
    <col min="7183" max="7184" width="10.44140625" style="1555" bestFit="1" customWidth="1"/>
    <col min="7185" max="7185" width="10" style="1555" customWidth="1"/>
    <col min="7186" max="7186" width="10.109375" style="1555" customWidth="1"/>
    <col min="7187" max="7187" width="10" style="1555" customWidth="1"/>
    <col min="7188" max="7188" width="26.109375" style="1555" customWidth="1"/>
    <col min="7189" max="7424" width="8.88671875" style="1555"/>
    <col min="7425" max="7425" width="9.44140625" style="1555" customWidth="1"/>
    <col min="7426" max="7426" width="8.88671875" style="1555"/>
    <col min="7427" max="7429" width="12.88671875" style="1555" customWidth="1"/>
    <col min="7430" max="7430" width="47.44140625" style="1555" customWidth="1"/>
    <col min="7431" max="7431" width="13" style="1555" customWidth="1"/>
    <col min="7432" max="7433" width="8.88671875" style="1555"/>
    <col min="7434" max="7434" width="5.77734375" style="1555" customWidth="1"/>
    <col min="7435" max="7435" width="11.77734375" style="1555" customWidth="1"/>
    <col min="7436" max="7437" width="10.77734375" style="1555" customWidth="1"/>
    <col min="7438" max="7438" width="10" style="1555" customWidth="1"/>
    <col min="7439" max="7440" width="10.44140625" style="1555" bestFit="1" customWidth="1"/>
    <col min="7441" max="7441" width="10" style="1555" customWidth="1"/>
    <col min="7442" max="7442" width="10.109375" style="1555" customWidth="1"/>
    <col min="7443" max="7443" width="10" style="1555" customWidth="1"/>
    <col min="7444" max="7444" width="26.109375" style="1555" customWidth="1"/>
    <col min="7445" max="7680" width="8.88671875" style="1555"/>
    <col min="7681" max="7681" width="9.44140625" style="1555" customWidth="1"/>
    <col min="7682" max="7682" width="8.88671875" style="1555"/>
    <col min="7683" max="7685" width="12.88671875" style="1555" customWidth="1"/>
    <col min="7686" max="7686" width="47.44140625" style="1555" customWidth="1"/>
    <col min="7687" max="7687" width="13" style="1555" customWidth="1"/>
    <col min="7688" max="7689" width="8.88671875" style="1555"/>
    <col min="7690" max="7690" width="5.77734375" style="1555" customWidth="1"/>
    <col min="7691" max="7691" width="11.77734375" style="1555" customWidth="1"/>
    <col min="7692" max="7693" width="10.77734375" style="1555" customWidth="1"/>
    <col min="7694" max="7694" width="10" style="1555" customWidth="1"/>
    <col min="7695" max="7696" width="10.44140625" style="1555" bestFit="1" customWidth="1"/>
    <col min="7697" max="7697" width="10" style="1555" customWidth="1"/>
    <col min="7698" max="7698" width="10.109375" style="1555" customWidth="1"/>
    <col min="7699" max="7699" width="10" style="1555" customWidth="1"/>
    <col min="7700" max="7700" width="26.109375" style="1555" customWidth="1"/>
    <col min="7701" max="7936" width="8.88671875" style="1555"/>
    <col min="7937" max="7937" width="9.44140625" style="1555" customWidth="1"/>
    <col min="7938" max="7938" width="8.88671875" style="1555"/>
    <col min="7939" max="7941" width="12.88671875" style="1555" customWidth="1"/>
    <col min="7942" max="7942" width="47.44140625" style="1555" customWidth="1"/>
    <col min="7943" max="7943" width="13" style="1555" customWidth="1"/>
    <col min="7944" max="7945" width="8.88671875" style="1555"/>
    <col min="7946" max="7946" width="5.77734375" style="1555" customWidth="1"/>
    <col min="7947" max="7947" width="11.77734375" style="1555" customWidth="1"/>
    <col min="7948" max="7949" width="10.77734375" style="1555" customWidth="1"/>
    <col min="7950" max="7950" width="10" style="1555" customWidth="1"/>
    <col min="7951" max="7952" width="10.44140625" style="1555" bestFit="1" customWidth="1"/>
    <col min="7953" max="7953" width="10" style="1555" customWidth="1"/>
    <col min="7954" max="7954" width="10.109375" style="1555" customWidth="1"/>
    <col min="7955" max="7955" width="10" style="1555" customWidth="1"/>
    <col min="7956" max="7956" width="26.109375" style="1555" customWidth="1"/>
    <col min="7957" max="8192" width="8.88671875" style="1555"/>
    <col min="8193" max="8193" width="9.44140625" style="1555" customWidth="1"/>
    <col min="8194" max="8194" width="8.88671875" style="1555"/>
    <col min="8195" max="8197" width="12.88671875" style="1555" customWidth="1"/>
    <col min="8198" max="8198" width="47.44140625" style="1555" customWidth="1"/>
    <col min="8199" max="8199" width="13" style="1555" customWidth="1"/>
    <col min="8200" max="8201" width="8.88671875" style="1555"/>
    <col min="8202" max="8202" width="5.77734375" style="1555" customWidth="1"/>
    <col min="8203" max="8203" width="11.77734375" style="1555" customWidth="1"/>
    <col min="8204" max="8205" width="10.77734375" style="1555" customWidth="1"/>
    <col min="8206" max="8206" width="10" style="1555" customWidth="1"/>
    <col min="8207" max="8208" width="10.44140625" style="1555" bestFit="1" customWidth="1"/>
    <col min="8209" max="8209" width="10" style="1555" customWidth="1"/>
    <col min="8210" max="8210" width="10.109375" style="1555" customWidth="1"/>
    <col min="8211" max="8211" width="10" style="1555" customWidth="1"/>
    <col min="8212" max="8212" width="26.109375" style="1555" customWidth="1"/>
    <col min="8213" max="8448" width="8.88671875" style="1555"/>
    <col min="8449" max="8449" width="9.44140625" style="1555" customWidth="1"/>
    <col min="8450" max="8450" width="8.88671875" style="1555"/>
    <col min="8451" max="8453" width="12.88671875" style="1555" customWidth="1"/>
    <col min="8454" max="8454" width="47.44140625" style="1555" customWidth="1"/>
    <col min="8455" max="8455" width="13" style="1555" customWidth="1"/>
    <col min="8456" max="8457" width="8.88671875" style="1555"/>
    <col min="8458" max="8458" width="5.77734375" style="1555" customWidth="1"/>
    <col min="8459" max="8459" width="11.77734375" style="1555" customWidth="1"/>
    <col min="8460" max="8461" width="10.77734375" style="1555" customWidth="1"/>
    <col min="8462" max="8462" width="10" style="1555" customWidth="1"/>
    <col min="8463" max="8464" width="10.44140625" style="1555" bestFit="1" customWidth="1"/>
    <col min="8465" max="8465" width="10" style="1555" customWidth="1"/>
    <col min="8466" max="8466" width="10.109375" style="1555" customWidth="1"/>
    <col min="8467" max="8467" width="10" style="1555" customWidth="1"/>
    <col min="8468" max="8468" width="26.109375" style="1555" customWidth="1"/>
    <col min="8469" max="8704" width="8.88671875" style="1555"/>
    <col min="8705" max="8705" width="9.44140625" style="1555" customWidth="1"/>
    <col min="8706" max="8706" width="8.88671875" style="1555"/>
    <col min="8707" max="8709" width="12.88671875" style="1555" customWidth="1"/>
    <col min="8710" max="8710" width="47.44140625" style="1555" customWidth="1"/>
    <col min="8711" max="8711" width="13" style="1555" customWidth="1"/>
    <col min="8712" max="8713" width="8.88671875" style="1555"/>
    <col min="8714" max="8714" width="5.77734375" style="1555" customWidth="1"/>
    <col min="8715" max="8715" width="11.77734375" style="1555" customWidth="1"/>
    <col min="8716" max="8717" width="10.77734375" style="1555" customWidth="1"/>
    <col min="8718" max="8718" width="10" style="1555" customWidth="1"/>
    <col min="8719" max="8720" width="10.44140625" style="1555" bestFit="1" customWidth="1"/>
    <col min="8721" max="8721" width="10" style="1555" customWidth="1"/>
    <col min="8722" max="8722" width="10.109375" style="1555" customWidth="1"/>
    <col min="8723" max="8723" width="10" style="1555" customWidth="1"/>
    <col min="8724" max="8724" width="26.109375" style="1555" customWidth="1"/>
    <col min="8725" max="8960" width="8.88671875" style="1555"/>
    <col min="8961" max="8961" width="9.44140625" style="1555" customWidth="1"/>
    <col min="8962" max="8962" width="8.88671875" style="1555"/>
    <col min="8963" max="8965" width="12.88671875" style="1555" customWidth="1"/>
    <col min="8966" max="8966" width="47.44140625" style="1555" customWidth="1"/>
    <col min="8967" max="8967" width="13" style="1555" customWidth="1"/>
    <col min="8968" max="8969" width="8.88671875" style="1555"/>
    <col min="8970" max="8970" width="5.77734375" style="1555" customWidth="1"/>
    <col min="8971" max="8971" width="11.77734375" style="1555" customWidth="1"/>
    <col min="8972" max="8973" width="10.77734375" style="1555" customWidth="1"/>
    <col min="8974" max="8974" width="10" style="1555" customWidth="1"/>
    <col min="8975" max="8976" width="10.44140625" style="1555" bestFit="1" customWidth="1"/>
    <col min="8977" max="8977" width="10" style="1555" customWidth="1"/>
    <col min="8978" max="8978" width="10.109375" style="1555" customWidth="1"/>
    <col min="8979" max="8979" width="10" style="1555" customWidth="1"/>
    <col min="8980" max="8980" width="26.109375" style="1555" customWidth="1"/>
    <col min="8981" max="9216" width="8.88671875" style="1555"/>
    <col min="9217" max="9217" width="9.44140625" style="1555" customWidth="1"/>
    <col min="9218" max="9218" width="8.88671875" style="1555"/>
    <col min="9219" max="9221" width="12.88671875" style="1555" customWidth="1"/>
    <col min="9222" max="9222" width="47.44140625" style="1555" customWidth="1"/>
    <col min="9223" max="9223" width="13" style="1555" customWidth="1"/>
    <col min="9224" max="9225" width="8.88671875" style="1555"/>
    <col min="9226" max="9226" width="5.77734375" style="1555" customWidth="1"/>
    <col min="9227" max="9227" width="11.77734375" style="1555" customWidth="1"/>
    <col min="9228" max="9229" width="10.77734375" style="1555" customWidth="1"/>
    <col min="9230" max="9230" width="10" style="1555" customWidth="1"/>
    <col min="9231" max="9232" width="10.44140625" style="1555" bestFit="1" customWidth="1"/>
    <col min="9233" max="9233" width="10" style="1555" customWidth="1"/>
    <col min="9234" max="9234" width="10.109375" style="1555" customWidth="1"/>
    <col min="9235" max="9235" width="10" style="1555" customWidth="1"/>
    <col min="9236" max="9236" width="26.109375" style="1555" customWidth="1"/>
    <col min="9237" max="9472" width="8.88671875" style="1555"/>
    <col min="9473" max="9473" width="9.44140625" style="1555" customWidth="1"/>
    <col min="9474" max="9474" width="8.88671875" style="1555"/>
    <col min="9475" max="9477" width="12.88671875" style="1555" customWidth="1"/>
    <col min="9478" max="9478" width="47.44140625" style="1555" customWidth="1"/>
    <col min="9479" max="9479" width="13" style="1555" customWidth="1"/>
    <col min="9480" max="9481" width="8.88671875" style="1555"/>
    <col min="9482" max="9482" width="5.77734375" style="1555" customWidth="1"/>
    <col min="9483" max="9483" width="11.77734375" style="1555" customWidth="1"/>
    <col min="9484" max="9485" width="10.77734375" style="1555" customWidth="1"/>
    <col min="9486" max="9486" width="10" style="1555" customWidth="1"/>
    <col min="9487" max="9488" width="10.44140625" style="1555" bestFit="1" customWidth="1"/>
    <col min="9489" max="9489" width="10" style="1555" customWidth="1"/>
    <col min="9490" max="9490" width="10.109375" style="1555" customWidth="1"/>
    <col min="9491" max="9491" width="10" style="1555" customWidth="1"/>
    <col min="9492" max="9492" width="26.109375" style="1555" customWidth="1"/>
    <col min="9493" max="9728" width="8.88671875" style="1555"/>
    <col min="9729" max="9729" width="9.44140625" style="1555" customWidth="1"/>
    <col min="9730" max="9730" width="8.88671875" style="1555"/>
    <col min="9731" max="9733" width="12.88671875" style="1555" customWidth="1"/>
    <col min="9734" max="9734" width="47.44140625" style="1555" customWidth="1"/>
    <col min="9735" max="9735" width="13" style="1555" customWidth="1"/>
    <col min="9736" max="9737" width="8.88671875" style="1555"/>
    <col min="9738" max="9738" width="5.77734375" style="1555" customWidth="1"/>
    <col min="9739" max="9739" width="11.77734375" style="1555" customWidth="1"/>
    <col min="9740" max="9741" width="10.77734375" style="1555" customWidth="1"/>
    <col min="9742" max="9742" width="10" style="1555" customWidth="1"/>
    <col min="9743" max="9744" width="10.44140625" style="1555" bestFit="1" customWidth="1"/>
    <col min="9745" max="9745" width="10" style="1555" customWidth="1"/>
    <col min="9746" max="9746" width="10.109375" style="1555" customWidth="1"/>
    <col min="9747" max="9747" width="10" style="1555" customWidth="1"/>
    <col min="9748" max="9748" width="26.109375" style="1555" customWidth="1"/>
    <col min="9749" max="9984" width="8.88671875" style="1555"/>
    <col min="9985" max="9985" width="9.44140625" style="1555" customWidth="1"/>
    <col min="9986" max="9986" width="8.88671875" style="1555"/>
    <col min="9987" max="9989" width="12.88671875" style="1555" customWidth="1"/>
    <col min="9990" max="9990" width="47.44140625" style="1555" customWidth="1"/>
    <col min="9991" max="9991" width="13" style="1555" customWidth="1"/>
    <col min="9992" max="9993" width="8.88671875" style="1555"/>
    <col min="9994" max="9994" width="5.77734375" style="1555" customWidth="1"/>
    <col min="9995" max="9995" width="11.77734375" style="1555" customWidth="1"/>
    <col min="9996" max="9997" width="10.77734375" style="1555" customWidth="1"/>
    <col min="9998" max="9998" width="10" style="1555" customWidth="1"/>
    <col min="9999" max="10000" width="10.44140625" style="1555" bestFit="1" customWidth="1"/>
    <col min="10001" max="10001" width="10" style="1555" customWidth="1"/>
    <col min="10002" max="10002" width="10.109375" style="1555" customWidth="1"/>
    <col min="10003" max="10003" width="10" style="1555" customWidth="1"/>
    <col min="10004" max="10004" width="26.109375" style="1555" customWidth="1"/>
    <col min="10005" max="10240" width="8.88671875" style="1555"/>
    <col min="10241" max="10241" width="9.44140625" style="1555" customWidth="1"/>
    <col min="10242" max="10242" width="8.88671875" style="1555"/>
    <col min="10243" max="10245" width="12.88671875" style="1555" customWidth="1"/>
    <col min="10246" max="10246" width="47.44140625" style="1555" customWidth="1"/>
    <col min="10247" max="10247" width="13" style="1555" customWidth="1"/>
    <col min="10248" max="10249" width="8.88671875" style="1555"/>
    <col min="10250" max="10250" width="5.77734375" style="1555" customWidth="1"/>
    <col min="10251" max="10251" width="11.77734375" style="1555" customWidth="1"/>
    <col min="10252" max="10253" width="10.77734375" style="1555" customWidth="1"/>
    <col min="10254" max="10254" width="10" style="1555" customWidth="1"/>
    <col min="10255" max="10256" width="10.44140625" style="1555" bestFit="1" customWidth="1"/>
    <col min="10257" max="10257" width="10" style="1555" customWidth="1"/>
    <col min="10258" max="10258" width="10.109375" style="1555" customWidth="1"/>
    <col min="10259" max="10259" width="10" style="1555" customWidth="1"/>
    <col min="10260" max="10260" width="26.109375" style="1555" customWidth="1"/>
    <col min="10261" max="10496" width="8.88671875" style="1555"/>
    <col min="10497" max="10497" width="9.44140625" style="1555" customWidth="1"/>
    <col min="10498" max="10498" width="8.88671875" style="1555"/>
    <col min="10499" max="10501" width="12.88671875" style="1555" customWidth="1"/>
    <col min="10502" max="10502" width="47.44140625" style="1555" customWidth="1"/>
    <col min="10503" max="10503" width="13" style="1555" customWidth="1"/>
    <col min="10504" max="10505" width="8.88671875" style="1555"/>
    <col min="10506" max="10506" width="5.77734375" style="1555" customWidth="1"/>
    <col min="10507" max="10507" width="11.77734375" style="1555" customWidth="1"/>
    <col min="10508" max="10509" width="10.77734375" style="1555" customWidth="1"/>
    <col min="10510" max="10510" width="10" style="1555" customWidth="1"/>
    <col min="10511" max="10512" width="10.44140625" style="1555" bestFit="1" customWidth="1"/>
    <col min="10513" max="10513" width="10" style="1555" customWidth="1"/>
    <col min="10514" max="10514" width="10.109375" style="1555" customWidth="1"/>
    <col min="10515" max="10515" width="10" style="1555" customWidth="1"/>
    <col min="10516" max="10516" width="26.109375" style="1555" customWidth="1"/>
    <col min="10517" max="10752" width="8.88671875" style="1555"/>
    <col min="10753" max="10753" width="9.44140625" style="1555" customWidth="1"/>
    <col min="10754" max="10754" width="8.88671875" style="1555"/>
    <col min="10755" max="10757" width="12.88671875" style="1555" customWidth="1"/>
    <col min="10758" max="10758" width="47.44140625" style="1555" customWidth="1"/>
    <col min="10759" max="10759" width="13" style="1555" customWidth="1"/>
    <col min="10760" max="10761" width="8.88671875" style="1555"/>
    <col min="10762" max="10762" width="5.77734375" style="1555" customWidth="1"/>
    <col min="10763" max="10763" width="11.77734375" style="1555" customWidth="1"/>
    <col min="10764" max="10765" width="10.77734375" style="1555" customWidth="1"/>
    <col min="10766" max="10766" width="10" style="1555" customWidth="1"/>
    <col min="10767" max="10768" width="10.44140625" style="1555" bestFit="1" customWidth="1"/>
    <col min="10769" max="10769" width="10" style="1555" customWidth="1"/>
    <col min="10770" max="10770" width="10.109375" style="1555" customWidth="1"/>
    <col min="10771" max="10771" width="10" style="1555" customWidth="1"/>
    <col min="10772" max="10772" width="26.109375" style="1555" customWidth="1"/>
    <col min="10773" max="11008" width="8.88671875" style="1555"/>
    <col min="11009" max="11009" width="9.44140625" style="1555" customWidth="1"/>
    <col min="11010" max="11010" width="8.88671875" style="1555"/>
    <col min="11011" max="11013" width="12.88671875" style="1555" customWidth="1"/>
    <col min="11014" max="11014" width="47.44140625" style="1555" customWidth="1"/>
    <col min="11015" max="11015" width="13" style="1555" customWidth="1"/>
    <col min="11016" max="11017" width="8.88671875" style="1555"/>
    <col min="11018" max="11018" width="5.77734375" style="1555" customWidth="1"/>
    <col min="11019" max="11019" width="11.77734375" style="1555" customWidth="1"/>
    <col min="11020" max="11021" width="10.77734375" style="1555" customWidth="1"/>
    <col min="11022" max="11022" width="10" style="1555" customWidth="1"/>
    <col min="11023" max="11024" width="10.44140625" style="1555" bestFit="1" customWidth="1"/>
    <col min="11025" max="11025" width="10" style="1555" customWidth="1"/>
    <col min="11026" max="11026" width="10.109375" style="1555" customWidth="1"/>
    <col min="11027" max="11027" width="10" style="1555" customWidth="1"/>
    <col min="11028" max="11028" width="26.109375" style="1555" customWidth="1"/>
    <col min="11029" max="11264" width="8.88671875" style="1555"/>
    <col min="11265" max="11265" width="9.44140625" style="1555" customWidth="1"/>
    <col min="11266" max="11266" width="8.88671875" style="1555"/>
    <col min="11267" max="11269" width="12.88671875" style="1555" customWidth="1"/>
    <col min="11270" max="11270" width="47.44140625" style="1555" customWidth="1"/>
    <col min="11271" max="11271" width="13" style="1555" customWidth="1"/>
    <col min="11272" max="11273" width="8.88671875" style="1555"/>
    <col min="11274" max="11274" width="5.77734375" style="1555" customWidth="1"/>
    <col min="11275" max="11275" width="11.77734375" style="1555" customWidth="1"/>
    <col min="11276" max="11277" width="10.77734375" style="1555" customWidth="1"/>
    <col min="11278" max="11278" width="10" style="1555" customWidth="1"/>
    <col min="11279" max="11280" width="10.44140625" style="1555" bestFit="1" customWidth="1"/>
    <col min="11281" max="11281" width="10" style="1555" customWidth="1"/>
    <col min="11282" max="11282" width="10.109375" style="1555" customWidth="1"/>
    <col min="11283" max="11283" width="10" style="1555" customWidth="1"/>
    <col min="11284" max="11284" width="26.109375" style="1555" customWidth="1"/>
    <col min="11285" max="11520" width="8.88671875" style="1555"/>
    <col min="11521" max="11521" width="9.44140625" style="1555" customWidth="1"/>
    <col min="11522" max="11522" width="8.88671875" style="1555"/>
    <col min="11523" max="11525" width="12.88671875" style="1555" customWidth="1"/>
    <col min="11526" max="11526" width="47.44140625" style="1555" customWidth="1"/>
    <col min="11527" max="11527" width="13" style="1555" customWidth="1"/>
    <col min="11528" max="11529" width="8.88671875" style="1555"/>
    <col min="11530" max="11530" width="5.77734375" style="1555" customWidth="1"/>
    <col min="11531" max="11531" width="11.77734375" style="1555" customWidth="1"/>
    <col min="11532" max="11533" width="10.77734375" style="1555" customWidth="1"/>
    <col min="11534" max="11534" width="10" style="1555" customWidth="1"/>
    <col min="11535" max="11536" width="10.44140625" style="1555" bestFit="1" customWidth="1"/>
    <col min="11537" max="11537" width="10" style="1555" customWidth="1"/>
    <col min="11538" max="11538" width="10.109375" style="1555" customWidth="1"/>
    <col min="11539" max="11539" width="10" style="1555" customWidth="1"/>
    <col min="11540" max="11540" width="26.109375" style="1555" customWidth="1"/>
    <col min="11541" max="11776" width="8.88671875" style="1555"/>
    <col min="11777" max="11777" width="9.44140625" style="1555" customWidth="1"/>
    <col min="11778" max="11778" width="8.88671875" style="1555"/>
    <col min="11779" max="11781" width="12.88671875" style="1555" customWidth="1"/>
    <col min="11782" max="11782" width="47.44140625" style="1555" customWidth="1"/>
    <col min="11783" max="11783" width="13" style="1555" customWidth="1"/>
    <col min="11784" max="11785" width="8.88671875" style="1555"/>
    <col min="11786" max="11786" width="5.77734375" style="1555" customWidth="1"/>
    <col min="11787" max="11787" width="11.77734375" style="1555" customWidth="1"/>
    <col min="11788" max="11789" width="10.77734375" style="1555" customWidth="1"/>
    <col min="11790" max="11790" width="10" style="1555" customWidth="1"/>
    <col min="11791" max="11792" width="10.44140625" style="1555" bestFit="1" customWidth="1"/>
    <col min="11793" max="11793" width="10" style="1555" customWidth="1"/>
    <col min="11794" max="11794" width="10.109375" style="1555" customWidth="1"/>
    <col min="11795" max="11795" width="10" style="1555" customWidth="1"/>
    <col min="11796" max="11796" width="26.109375" style="1555" customWidth="1"/>
    <col min="11797" max="12032" width="8.88671875" style="1555"/>
    <col min="12033" max="12033" width="9.44140625" style="1555" customWidth="1"/>
    <col min="12034" max="12034" width="8.88671875" style="1555"/>
    <col min="12035" max="12037" width="12.88671875" style="1555" customWidth="1"/>
    <col min="12038" max="12038" width="47.44140625" style="1555" customWidth="1"/>
    <col min="12039" max="12039" width="13" style="1555" customWidth="1"/>
    <col min="12040" max="12041" width="8.88671875" style="1555"/>
    <col min="12042" max="12042" width="5.77734375" style="1555" customWidth="1"/>
    <col min="12043" max="12043" width="11.77734375" style="1555" customWidth="1"/>
    <col min="12044" max="12045" width="10.77734375" style="1555" customWidth="1"/>
    <col min="12046" max="12046" width="10" style="1555" customWidth="1"/>
    <col min="12047" max="12048" width="10.44140625" style="1555" bestFit="1" customWidth="1"/>
    <col min="12049" max="12049" width="10" style="1555" customWidth="1"/>
    <col min="12050" max="12050" width="10.109375" style="1555" customWidth="1"/>
    <col min="12051" max="12051" width="10" style="1555" customWidth="1"/>
    <col min="12052" max="12052" width="26.109375" style="1555" customWidth="1"/>
    <col min="12053" max="12288" width="8.88671875" style="1555"/>
    <col min="12289" max="12289" width="9.44140625" style="1555" customWidth="1"/>
    <col min="12290" max="12290" width="8.88671875" style="1555"/>
    <col min="12291" max="12293" width="12.88671875" style="1555" customWidth="1"/>
    <col min="12294" max="12294" width="47.44140625" style="1555" customWidth="1"/>
    <col min="12295" max="12295" width="13" style="1555" customWidth="1"/>
    <col min="12296" max="12297" width="8.88671875" style="1555"/>
    <col min="12298" max="12298" width="5.77734375" style="1555" customWidth="1"/>
    <col min="12299" max="12299" width="11.77734375" style="1555" customWidth="1"/>
    <col min="12300" max="12301" width="10.77734375" style="1555" customWidth="1"/>
    <col min="12302" max="12302" width="10" style="1555" customWidth="1"/>
    <col min="12303" max="12304" width="10.44140625" style="1555" bestFit="1" customWidth="1"/>
    <col min="12305" max="12305" width="10" style="1555" customWidth="1"/>
    <col min="12306" max="12306" width="10.109375" style="1555" customWidth="1"/>
    <col min="12307" max="12307" width="10" style="1555" customWidth="1"/>
    <col min="12308" max="12308" width="26.109375" style="1555" customWidth="1"/>
    <col min="12309" max="12544" width="8.88671875" style="1555"/>
    <col min="12545" max="12545" width="9.44140625" style="1555" customWidth="1"/>
    <col min="12546" max="12546" width="8.88671875" style="1555"/>
    <col min="12547" max="12549" width="12.88671875" style="1555" customWidth="1"/>
    <col min="12550" max="12550" width="47.44140625" style="1555" customWidth="1"/>
    <col min="12551" max="12551" width="13" style="1555" customWidth="1"/>
    <col min="12552" max="12553" width="8.88671875" style="1555"/>
    <col min="12554" max="12554" width="5.77734375" style="1555" customWidth="1"/>
    <col min="12555" max="12555" width="11.77734375" style="1555" customWidth="1"/>
    <col min="12556" max="12557" width="10.77734375" style="1555" customWidth="1"/>
    <col min="12558" max="12558" width="10" style="1555" customWidth="1"/>
    <col min="12559" max="12560" width="10.44140625" style="1555" bestFit="1" customWidth="1"/>
    <col min="12561" max="12561" width="10" style="1555" customWidth="1"/>
    <col min="12562" max="12562" width="10.109375" style="1555" customWidth="1"/>
    <col min="12563" max="12563" width="10" style="1555" customWidth="1"/>
    <col min="12564" max="12564" width="26.109375" style="1555" customWidth="1"/>
    <col min="12565" max="12800" width="8.88671875" style="1555"/>
    <col min="12801" max="12801" width="9.44140625" style="1555" customWidth="1"/>
    <col min="12802" max="12802" width="8.88671875" style="1555"/>
    <col min="12803" max="12805" width="12.88671875" style="1555" customWidth="1"/>
    <col min="12806" max="12806" width="47.44140625" style="1555" customWidth="1"/>
    <col min="12807" max="12807" width="13" style="1555" customWidth="1"/>
    <col min="12808" max="12809" width="8.88671875" style="1555"/>
    <col min="12810" max="12810" width="5.77734375" style="1555" customWidth="1"/>
    <col min="12811" max="12811" width="11.77734375" style="1555" customWidth="1"/>
    <col min="12812" max="12813" width="10.77734375" style="1555" customWidth="1"/>
    <col min="12814" max="12814" width="10" style="1555" customWidth="1"/>
    <col min="12815" max="12816" width="10.44140625" style="1555" bestFit="1" customWidth="1"/>
    <col min="12817" max="12817" width="10" style="1555" customWidth="1"/>
    <col min="12818" max="12818" width="10.109375" style="1555" customWidth="1"/>
    <col min="12819" max="12819" width="10" style="1555" customWidth="1"/>
    <col min="12820" max="12820" width="26.109375" style="1555" customWidth="1"/>
    <col min="12821" max="13056" width="8.88671875" style="1555"/>
    <col min="13057" max="13057" width="9.44140625" style="1555" customWidth="1"/>
    <col min="13058" max="13058" width="8.88671875" style="1555"/>
    <col min="13059" max="13061" width="12.88671875" style="1555" customWidth="1"/>
    <col min="13062" max="13062" width="47.44140625" style="1555" customWidth="1"/>
    <col min="13063" max="13063" width="13" style="1555" customWidth="1"/>
    <col min="13064" max="13065" width="8.88671875" style="1555"/>
    <col min="13066" max="13066" width="5.77734375" style="1555" customWidth="1"/>
    <col min="13067" max="13067" width="11.77734375" style="1555" customWidth="1"/>
    <col min="13068" max="13069" width="10.77734375" style="1555" customWidth="1"/>
    <col min="13070" max="13070" width="10" style="1555" customWidth="1"/>
    <col min="13071" max="13072" width="10.44140625" style="1555" bestFit="1" customWidth="1"/>
    <col min="13073" max="13073" width="10" style="1555" customWidth="1"/>
    <col min="13074" max="13074" width="10.109375" style="1555" customWidth="1"/>
    <col min="13075" max="13075" width="10" style="1555" customWidth="1"/>
    <col min="13076" max="13076" width="26.109375" style="1555" customWidth="1"/>
    <col min="13077" max="13312" width="8.88671875" style="1555"/>
    <col min="13313" max="13313" width="9.44140625" style="1555" customWidth="1"/>
    <col min="13314" max="13314" width="8.88671875" style="1555"/>
    <col min="13315" max="13317" width="12.88671875" style="1555" customWidth="1"/>
    <col min="13318" max="13318" width="47.44140625" style="1555" customWidth="1"/>
    <col min="13319" max="13319" width="13" style="1555" customWidth="1"/>
    <col min="13320" max="13321" width="8.88671875" style="1555"/>
    <col min="13322" max="13322" width="5.77734375" style="1555" customWidth="1"/>
    <col min="13323" max="13323" width="11.77734375" style="1555" customWidth="1"/>
    <col min="13324" max="13325" width="10.77734375" style="1555" customWidth="1"/>
    <col min="13326" max="13326" width="10" style="1555" customWidth="1"/>
    <col min="13327" max="13328" width="10.44140625" style="1555" bestFit="1" customWidth="1"/>
    <col min="13329" max="13329" width="10" style="1555" customWidth="1"/>
    <col min="13330" max="13330" width="10.109375" style="1555" customWidth="1"/>
    <col min="13331" max="13331" width="10" style="1555" customWidth="1"/>
    <col min="13332" max="13332" width="26.109375" style="1555" customWidth="1"/>
    <col min="13333" max="13568" width="8.88671875" style="1555"/>
    <col min="13569" max="13569" width="9.44140625" style="1555" customWidth="1"/>
    <col min="13570" max="13570" width="8.88671875" style="1555"/>
    <col min="13571" max="13573" width="12.88671875" style="1555" customWidth="1"/>
    <col min="13574" max="13574" width="47.44140625" style="1555" customWidth="1"/>
    <col min="13575" max="13575" width="13" style="1555" customWidth="1"/>
    <col min="13576" max="13577" width="8.88671875" style="1555"/>
    <col min="13578" max="13578" width="5.77734375" style="1555" customWidth="1"/>
    <col min="13579" max="13579" width="11.77734375" style="1555" customWidth="1"/>
    <col min="13580" max="13581" width="10.77734375" style="1555" customWidth="1"/>
    <col min="13582" max="13582" width="10" style="1555" customWidth="1"/>
    <col min="13583" max="13584" width="10.44140625" style="1555" bestFit="1" customWidth="1"/>
    <col min="13585" max="13585" width="10" style="1555" customWidth="1"/>
    <col min="13586" max="13586" width="10.109375" style="1555" customWidth="1"/>
    <col min="13587" max="13587" width="10" style="1555" customWidth="1"/>
    <col min="13588" max="13588" width="26.109375" style="1555" customWidth="1"/>
    <col min="13589" max="13824" width="8.88671875" style="1555"/>
    <col min="13825" max="13825" width="9.44140625" style="1555" customWidth="1"/>
    <col min="13826" max="13826" width="8.88671875" style="1555"/>
    <col min="13827" max="13829" width="12.88671875" style="1555" customWidth="1"/>
    <col min="13830" max="13830" width="47.44140625" style="1555" customWidth="1"/>
    <col min="13831" max="13831" width="13" style="1555" customWidth="1"/>
    <col min="13832" max="13833" width="8.88671875" style="1555"/>
    <col min="13834" max="13834" width="5.77734375" style="1555" customWidth="1"/>
    <col min="13835" max="13835" width="11.77734375" style="1555" customWidth="1"/>
    <col min="13836" max="13837" width="10.77734375" style="1555" customWidth="1"/>
    <col min="13838" max="13838" width="10" style="1555" customWidth="1"/>
    <col min="13839" max="13840" width="10.44140625" style="1555" bestFit="1" customWidth="1"/>
    <col min="13841" max="13841" width="10" style="1555" customWidth="1"/>
    <col min="13842" max="13842" width="10.109375" style="1555" customWidth="1"/>
    <col min="13843" max="13843" width="10" style="1555" customWidth="1"/>
    <col min="13844" max="13844" width="26.109375" style="1555" customWidth="1"/>
    <col min="13845" max="14080" width="8.88671875" style="1555"/>
    <col min="14081" max="14081" width="9.44140625" style="1555" customWidth="1"/>
    <col min="14082" max="14082" width="8.88671875" style="1555"/>
    <col min="14083" max="14085" width="12.88671875" style="1555" customWidth="1"/>
    <col min="14086" max="14086" width="47.44140625" style="1555" customWidth="1"/>
    <col min="14087" max="14087" width="13" style="1555" customWidth="1"/>
    <col min="14088" max="14089" width="8.88671875" style="1555"/>
    <col min="14090" max="14090" width="5.77734375" style="1555" customWidth="1"/>
    <col min="14091" max="14091" width="11.77734375" style="1555" customWidth="1"/>
    <col min="14092" max="14093" width="10.77734375" style="1555" customWidth="1"/>
    <col min="14094" max="14094" width="10" style="1555" customWidth="1"/>
    <col min="14095" max="14096" width="10.44140625" style="1555" bestFit="1" customWidth="1"/>
    <col min="14097" max="14097" width="10" style="1555" customWidth="1"/>
    <col min="14098" max="14098" width="10.109375" style="1555" customWidth="1"/>
    <col min="14099" max="14099" width="10" style="1555" customWidth="1"/>
    <col min="14100" max="14100" width="26.109375" style="1555" customWidth="1"/>
    <col min="14101" max="14336" width="8.88671875" style="1555"/>
    <col min="14337" max="14337" width="9.44140625" style="1555" customWidth="1"/>
    <col min="14338" max="14338" width="8.88671875" style="1555"/>
    <col min="14339" max="14341" width="12.88671875" style="1555" customWidth="1"/>
    <col min="14342" max="14342" width="47.44140625" style="1555" customWidth="1"/>
    <col min="14343" max="14343" width="13" style="1555" customWidth="1"/>
    <col min="14344" max="14345" width="8.88671875" style="1555"/>
    <col min="14346" max="14346" width="5.77734375" style="1555" customWidth="1"/>
    <col min="14347" max="14347" width="11.77734375" style="1555" customWidth="1"/>
    <col min="14348" max="14349" width="10.77734375" style="1555" customWidth="1"/>
    <col min="14350" max="14350" width="10" style="1555" customWidth="1"/>
    <col min="14351" max="14352" width="10.44140625" style="1555" bestFit="1" customWidth="1"/>
    <col min="14353" max="14353" width="10" style="1555" customWidth="1"/>
    <col min="14354" max="14354" width="10.109375" style="1555" customWidth="1"/>
    <col min="14355" max="14355" width="10" style="1555" customWidth="1"/>
    <col min="14356" max="14356" width="26.109375" style="1555" customWidth="1"/>
    <col min="14357" max="14592" width="8.88671875" style="1555"/>
    <col min="14593" max="14593" width="9.44140625" style="1555" customWidth="1"/>
    <col min="14594" max="14594" width="8.88671875" style="1555"/>
    <col min="14595" max="14597" width="12.88671875" style="1555" customWidth="1"/>
    <col min="14598" max="14598" width="47.44140625" style="1555" customWidth="1"/>
    <col min="14599" max="14599" width="13" style="1555" customWidth="1"/>
    <col min="14600" max="14601" width="8.88671875" style="1555"/>
    <col min="14602" max="14602" width="5.77734375" style="1555" customWidth="1"/>
    <col min="14603" max="14603" width="11.77734375" style="1555" customWidth="1"/>
    <col min="14604" max="14605" width="10.77734375" style="1555" customWidth="1"/>
    <col min="14606" max="14606" width="10" style="1555" customWidth="1"/>
    <col min="14607" max="14608" width="10.44140625" style="1555" bestFit="1" customWidth="1"/>
    <col min="14609" max="14609" width="10" style="1555" customWidth="1"/>
    <col min="14610" max="14610" width="10.109375" style="1555" customWidth="1"/>
    <col min="14611" max="14611" width="10" style="1555" customWidth="1"/>
    <col min="14612" max="14612" width="26.109375" style="1555" customWidth="1"/>
    <col min="14613" max="14848" width="8.88671875" style="1555"/>
    <col min="14849" max="14849" width="9.44140625" style="1555" customWidth="1"/>
    <col min="14850" max="14850" width="8.88671875" style="1555"/>
    <col min="14851" max="14853" width="12.88671875" style="1555" customWidth="1"/>
    <col min="14854" max="14854" width="47.44140625" style="1555" customWidth="1"/>
    <col min="14855" max="14855" width="13" style="1555" customWidth="1"/>
    <col min="14856" max="14857" width="8.88671875" style="1555"/>
    <col min="14858" max="14858" width="5.77734375" style="1555" customWidth="1"/>
    <col min="14859" max="14859" width="11.77734375" style="1555" customWidth="1"/>
    <col min="14860" max="14861" width="10.77734375" style="1555" customWidth="1"/>
    <col min="14862" max="14862" width="10" style="1555" customWidth="1"/>
    <col min="14863" max="14864" width="10.44140625" style="1555" bestFit="1" customWidth="1"/>
    <col min="14865" max="14865" width="10" style="1555" customWidth="1"/>
    <col min="14866" max="14866" width="10.109375" style="1555" customWidth="1"/>
    <col min="14867" max="14867" width="10" style="1555" customWidth="1"/>
    <col min="14868" max="14868" width="26.109375" style="1555" customWidth="1"/>
    <col min="14869" max="15104" width="8.88671875" style="1555"/>
    <col min="15105" max="15105" width="9.44140625" style="1555" customWidth="1"/>
    <col min="15106" max="15106" width="8.88671875" style="1555"/>
    <col min="15107" max="15109" width="12.88671875" style="1555" customWidth="1"/>
    <col min="15110" max="15110" width="47.44140625" style="1555" customWidth="1"/>
    <col min="15111" max="15111" width="13" style="1555" customWidth="1"/>
    <col min="15112" max="15113" width="8.88671875" style="1555"/>
    <col min="15114" max="15114" width="5.77734375" style="1555" customWidth="1"/>
    <col min="15115" max="15115" width="11.77734375" style="1555" customWidth="1"/>
    <col min="15116" max="15117" width="10.77734375" style="1555" customWidth="1"/>
    <col min="15118" max="15118" width="10" style="1555" customWidth="1"/>
    <col min="15119" max="15120" width="10.44140625" style="1555" bestFit="1" customWidth="1"/>
    <col min="15121" max="15121" width="10" style="1555" customWidth="1"/>
    <col min="15122" max="15122" width="10.109375" style="1555" customWidth="1"/>
    <col min="15123" max="15123" width="10" style="1555" customWidth="1"/>
    <col min="15124" max="15124" width="26.109375" style="1555" customWidth="1"/>
    <col min="15125" max="15360" width="8.88671875" style="1555"/>
    <col min="15361" max="15361" width="9.44140625" style="1555" customWidth="1"/>
    <col min="15362" max="15362" width="8.88671875" style="1555"/>
    <col min="15363" max="15365" width="12.88671875" style="1555" customWidth="1"/>
    <col min="15366" max="15366" width="47.44140625" style="1555" customWidth="1"/>
    <col min="15367" max="15367" width="13" style="1555" customWidth="1"/>
    <col min="15368" max="15369" width="8.88671875" style="1555"/>
    <col min="15370" max="15370" width="5.77734375" style="1555" customWidth="1"/>
    <col min="15371" max="15371" width="11.77734375" style="1555" customWidth="1"/>
    <col min="15372" max="15373" width="10.77734375" style="1555" customWidth="1"/>
    <col min="15374" max="15374" width="10" style="1555" customWidth="1"/>
    <col min="15375" max="15376" width="10.44140625" style="1555" bestFit="1" customWidth="1"/>
    <col min="15377" max="15377" width="10" style="1555" customWidth="1"/>
    <col min="15378" max="15378" width="10.109375" style="1555" customWidth="1"/>
    <col min="15379" max="15379" width="10" style="1555" customWidth="1"/>
    <col min="15380" max="15380" width="26.109375" style="1555" customWidth="1"/>
    <col min="15381" max="15616" width="8.88671875" style="1555"/>
    <col min="15617" max="15617" width="9.44140625" style="1555" customWidth="1"/>
    <col min="15618" max="15618" width="8.88671875" style="1555"/>
    <col min="15619" max="15621" width="12.88671875" style="1555" customWidth="1"/>
    <col min="15622" max="15622" width="47.44140625" style="1555" customWidth="1"/>
    <col min="15623" max="15623" width="13" style="1555" customWidth="1"/>
    <col min="15624" max="15625" width="8.88671875" style="1555"/>
    <col min="15626" max="15626" width="5.77734375" style="1555" customWidth="1"/>
    <col min="15627" max="15627" width="11.77734375" style="1555" customWidth="1"/>
    <col min="15628" max="15629" width="10.77734375" style="1555" customWidth="1"/>
    <col min="15630" max="15630" width="10" style="1555" customWidth="1"/>
    <col min="15631" max="15632" width="10.44140625" style="1555" bestFit="1" customWidth="1"/>
    <col min="15633" max="15633" width="10" style="1555" customWidth="1"/>
    <col min="15634" max="15634" width="10.109375" style="1555" customWidth="1"/>
    <col min="15635" max="15635" width="10" style="1555" customWidth="1"/>
    <col min="15636" max="15636" width="26.109375" style="1555" customWidth="1"/>
    <col min="15637" max="15872" width="8.88671875" style="1555"/>
    <col min="15873" max="15873" width="9.44140625" style="1555" customWidth="1"/>
    <col min="15874" max="15874" width="8.88671875" style="1555"/>
    <col min="15875" max="15877" width="12.88671875" style="1555" customWidth="1"/>
    <col min="15878" max="15878" width="47.44140625" style="1555" customWidth="1"/>
    <col min="15879" max="15879" width="13" style="1555" customWidth="1"/>
    <col min="15880" max="15881" width="8.88671875" style="1555"/>
    <col min="15882" max="15882" width="5.77734375" style="1555" customWidth="1"/>
    <col min="15883" max="15883" width="11.77734375" style="1555" customWidth="1"/>
    <col min="15884" max="15885" width="10.77734375" style="1555" customWidth="1"/>
    <col min="15886" max="15886" width="10" style="1555" customWidth="1"/>
    <col min="15887" max="15888" width="10.44140625" style="1555" bestFit="1" customWidth="1"/>
    <col min="15889" max="15889" width="10" style="1555" customWidth="1"/>
    <col min="15890" max="15890" width="10.109375" style="1555" customWidth="1"/>
    <col min="15891" max="15891" width="10" style="1555" customWidth="1"/>
    <col min="15892" max="15892" width="26.109375" style="1555" customWidth="1"/>
    <col min="15893" max="16128" width="8.88671875" style="1555"/>
    <col min="16129" max="16129" width="9.44140625" style="1555" customWidth="1"/>
    <col min="16130" max="16130" width="8.88671875" style="1555"/>
    <col min="16131" max="16133" width="12.88671875" style="1555" customWidth="1"/>
    <col min="16134" max="16134" width="47.44140625" style="1555" customWidth="1"/>
    <col min="16135" max="16135" width="13" style="1555" customWidth="1"/>
    <col min="16136" max="16137" width="8.88671875" style="1555"/>
    <col min="16138" max="16138" width="5.77734375" style="1555" customWidth="1"/>
    <col min="16139" max="16139" width="11.77734375" style="1555" customWidth="1"/>
    <col min="16140" max="16141" width="10.77734375" style="1555" customWidth="1"/>
    <col min="16142" max="16142" width="10" style="1555" customWidth="1"/>
    <col min="16143" max="16144" width="10.44140625" style="1555" bestFit="1" customWidth="1"/>
    <col min="16145" max="16145" width="10" style="1555" customWidth="1"/>
    <col min="16146" max="16146" width="10.109375" style="1555" customWidth="1"/>
    <col min="16147" max="16147" width="10" style="1555" customWidth="1"/>
    <col min="16148" max="16148" width="26.109375" style="1555" customWidth="1"/>
    <col min="16149" max="16384" width="8.88671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2" customHeight="1">
      <c r="A2" s="1304" t="s">
        <v>2581</v>
      </c>
      <c r="B2" s="1556" t="e">
        <f>C40</f>
        <v>#DIV/0!</v>
      </c>
      <c r="C2" s="1546" t="s">
        <v>2582</v>
      </c>
      <c r="D2" s="1546"/>
      <c r="E2" s="1557"/>
      <c r="F2" s="1558"/>
      <c r="G2" s="1559"/>
      <c r="H2" s="1560"/>
      <c r="I2" s="1561"/>
      <c r="J2" s="3185" t="s">
        <v>2583</v>
      </c>
      <c r="K2" s="3186"/>
      <c r="L2" s="1562" t="s">
        <v>2584</v>
      </c>
      <c r="M2" s="1562" t="s">
        <v>2585</v>
      </c>
      <c r="N2" s="1562" t="s">
        <v>2586</v>
      </c>
      <c r="O2" s="1562" t="s">
        <v>2587</v>
      </c>
      <c r="P2" s="1562" t="s">
        <v>2588</v>
      </c>
      <c r="Q2" s="1563" t="s">
        <v>2589</v>
      </c>
      <c r="R2" s="1564" t="s">
        <v>2590</v>
      </c>
      <c r="S2" s="1554"/>
      <c r="T2" s="1554"/>
      <c r="U2" s="1554"/>
      <c r="V2" s="1561"/>
    </row>
    <row r="3" spans="1:22" s="1565" customFormat="1" ht="13.2" customHeight="1">
      <c r="A3" s="1566" t="s">
        <v>2591</v>
      </c>
      <c r="B3" s="1567" t="e">
        <f>ROUND(B2*10000/B4,0)</f>
        <v>#DIV/0!</v>
      </c>
      <c r="C3" s="1546" t="s">
        <v>2592</v>
      </c>
      <c r="D3" s="1546"/>
      <c r="E3" s="1557"/>
      <c r="F3" s="1558"/>
      <c r="G3" s="1559"/>
      <c r="H3" s="1560"/>
      <c r="I3" s="1561"/>
      <c r="J3" s="3187" t="s">
        <v>2593</v>
      </c>
      <c r="K3" s="3188"/>
      <c r="L3" s="1568"/>
      <c r="M3" s="1568"/>
      <c r="N3" s="1568"/>
      <c r="O3" s="1568"/>
      <c r="P3" s="1568"/>
      <c r="Q3" s="1569"/>
      <c r="R3" s="1570">
        <f>SUM(L3:Q3)</f>
        <v>0</v>
      </c>
      <c r="S3" s="1554"/>
      <c r="T3" s="1554"/>
      <c r="U3" s="1554"/>
      <c r="V3" s="1561"/>
    </row>
    <row r="4" spans="1:22" s="1565" customFormat="1" ht="13.2" customHeight="1">
      <c r="A4" s="1571" t="s">
        <v>2594</v>
      </c>
      <c r="B4" s="1572"/>
      <c r="C4" s="1546"/>
      <c r="D4" s="1546"/>
      <c r="E4" s="1557"/>
      <c r="F4" s="1558"/>
      <c r="G4" s="1559"/>
      <c r="H4" s="1560"/>
      <c r="I4" s="1561"/>
      <c r="J4" s="3187" t="s">
        <v>2595</v>
      </c>
      <c r="K4" s="3188"/>
      <c r="L4" s="1573"/>
      <c r="M4" s="1573"/>
      <c r="N4" s="1573"/>
      <c r="O4" s="1573"/>
      <c r="P4" s="1573"/>
      <c r="Q4" s="1574"/>
      <c r="R4" s="1575">
        <f>SUM(L4:Q4)</f>
        <v>0</v>
      </c>
      <c r="S4" s="1554"/>
      <c r="T4" s="1554"/>
      <c r="U4" s="1554"/>
      <c r="V4" s="1561"/>
    </row>
    <row r="5" spans="1:22" s="1565" customFormat="1" ht="13.2"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2" customHeight="1" thickBot="1">
      <c r="A6" s="3189" t="s">
        <v>2599</v>
      </c>
      <c r="B6" s="3190"/>
      <c r="C6" s="3191"/>
      <c r="D6" s="1582"/>
      <c r="E6" s="1583"/>
      <c r="F6" s="1584"/>
      <c r="G6" s="1585"/>
      <c r="H6" s="1560"/>
      <c r="I6" s="1561"/>
      <c r="J6" s="3192">
        <v>1</v>
      </c>
      <c r="K6" s="319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2" customHeight="1">
      <c r="A7" s="1588" t="s">
        <v>2609</v>
      </c>
      <c r="B7" s="1589"/>
      <c r="C7" s="1590"/>
      <c r="D7" s="1591">
        <f>SUM(D9,D10,D11,D17,0)</f>
        <v>0</v>
      </c>
      <c r="E7" s="1589" t="e">
        <f>E9+E10+E11+E17</f>
        <v>#DIV/0!</v>
      </c>
      <c r="F7" s="1592"/>
      <c r="G7" s="1593"/>
      <c r="H7" s="1560"/>
      <c r="I7" s="1561"/>
      <c r="J7" s="3192"/>
      <c r="K7" s="3194"/>
      <c r="L7" s="1594" t="s">
        <v>2610</v>
      </c>
      <c r="M7" s="1595"/>
      <c r="N7" s="1572"/>
      <c r="O7" s="1572"/>
      <c r="P7" s="1572"/>
      <c r="Q7" s="1572">
        <v>365</v>
      </c>
      <c r="R7" s="1596">
        <f>ROUND(M7*N7*O7*P7*Q7/10000,0)</f>
        <v>0</v>
      </c>
      <c r="S7" s="1554"/>
      <c r="T7" s="1554" t="s">
        <v>2611</v>
      </c>
      <c r="U7" s="1554"/>
      <c r="V7" s="1561"/>
    </row>
    <row r="8" spans="1:22" s="1565" customFormat="1" ht="13.2" customHeight="1">
      <c r="A8" s="1597" t="s">
        <v>2612</v>
      </c>
      <c r="B8" s="3196" t="s">
        <v>2613</v>
      </c>
      <c r="C8" s="3197"/>
      <c r="D8" s="1598" t="s">
        <v>2614</v>
      </c>
      <c r="E8" s="1598" t="s">
        <v>2615</v>
      </c>
      <c r="F8" s="1599" t="s">
        <v>2616</v>
      </c>
      <c r="G8" s="1593"/>
      <c r="H8" s="1560"/>
      <c r="I8" s="1561"/>
      <c r="J8" s="3192"/>
      <c r="K8" s="3194"/>
      <c r="L8" s="1594" t="s">
        <v>2617</v>
      </c>
      <c r="M8" s="1595"/>
      <c r="N8" s="1572"/>
      <c r="O8" s="1572"/>
      <c r="P8" s="1572"/>
      <c r="Q8" s="1572">
        <v>365</v>
      </c>
      <c r="R8" s="1596">
        <f t="shared" ref="R8:R13" si="0">ROUND(M8*N8*O8*P8*Q8/10000,0)</f>
        <v>0</v>
      </c>
      <c r="S8" s="1554"/>
      <c r="T8" s="1554" t="s">
        <v>2618</v>
      </c>
      <c r="U8" s="1554"/>
      <c r="V8" s="1561"/>
    </row>
    <row r="9" spans="1:22" s="1565" customFormat="1" ht="13.2" customHeight="1">
      <c r="A9" s="1597">
        <v>1</v>
      </c>
      <c r="B9" s="3196" t="s">
        <v>2619</v>
      </c>
      <c r="C9" s="3197"/>
      <c r="D9" s="1598">
        <f>ROUND(D6*E9,0)</f>
        <v>0</v>
      </c>
      <c r="E9" s="1562"/>
      <c r="F9" s="1600" t="s">
        <v>2620</v>
      </c>
      <c r="G9" s="1585"/>
      <c r="H9" s="1560"/>
      <c r="I9" s="1561"/>
      <c r="J9" s="3192"/>
      <c r="K9" s="3194"/>
      <c r="L9" s="1594" t="s">
        <v>2621</v>
      </c>
      <c r="M9" s="1595"/>
      <c r="N9" s="1572"/>
      <c r="O9" s="1572"/>
      <c r="P9" s="1572"/>
      <c r="Q9" s="1572">
        <v>365</v>
      </c>
      <c r="R9" s="1596">
        <f t="shared" si="0"/>
        <v>0</v>
      </c>
      <c r="S9" s="1554"/>
      <c r="T9" s="1554"/>
      <c r="U9" s="1554"/>
      <c r="V9" s="1561"/>
    </row>
    <row r="10" spans="1:22" s="1565" customFormat="1" ht="13.2" customHeight="1">
      <c r="A10" s="1597">
        <v>2</v>
      </c>
      <c r="B10" s="3196" t="s">
        <v>2622</v>
      </c>
      <c r="C10" s="3197"/>
      <c r="D10" s="1598">
        <f>ROUND(D6*E10,0)</f>
        <v>0</v>
      </c>
      <c r="E10" s="1562"/>
      <c r="F10" s="1600" t="s">
        <v>2623</v>
      </c>
      <c r="G10" s="1585"/>
      <c r="H10" s="1560"/>
      <c r="I10" s="1561"/>
      <c r="J10" s="3192"/>
      <c r="K10" s="3194"/>
      <c r="L10" s="1594" t="s">
        <v>2624</v>
      </c>
      <c r="M10" s="1595"/>
      <c r="N10" s="1572"/>
      <c r="O10" s="1572"/>
      <c r="P10" s="1572"/>
      <c r="Q10" s="1572">
        <v>365</v>
      </c>
      <c r="R10" s="1596">
        <f t="shared" si="0"/>
        <v>0</v>
      </c>
      <c r="S10" s="1554"/>
      <c r="T10" s="1554"/>
      <c r="U10" s="1554"/>
      <c r="V10" s="1561"/>
    </row>
    <row r="11" spans="1:22" s="1565" customFormat="1" ht="13.2" customHeight="1">
      <c r="A11" s="1597">
        <v>3</v>
      </c>
      <c r="B11" s="3196" t="s">
        <v>2625</v>
      </c>
      <c r="C11" s="3197"/>
      <c r="D11" s="1598">
        <f>D12+D14+D15+D16</f>
        <v>0</v>
      </c>
      <c r="E11" s="1598" t="e">
        <f>D11/D6</f>
        <v>#DIV/0!</v>
      </c>
      <c r="F11" s="1599"/>
      <c r="G11" s="1593"/>
      <c r="H11" s="1560"/>
      <c r="I11" s="1561"/>
      <c r="J11" s="3192"/>
      <c r="K11" s="3194"/>
      <c r="L11" s="1594" t="s">
        <v>2626</v>
      </c>
      <c r="M11" s="1595"/>
      <c r="N11" s="1572"/>
      <c r="O11" s="1572"/>
      <c r="P11" s="1572"/>
      <c r="Q11" s="1572">
        <v>365</v>
      </c>
      <c r="R11" s="1596">
        <f t="shared" si="0"/>
        <v>0</v>
      </c>
      <c r="S11" s="1554"/>
      <c r="T11" s="1554"/>
      <c r="U11" s="1554"/>
      <c r="V11" s="1561"/>
    </row>
    <row r="12" spans="1:22" s="1565" customFormat="1" ht="13.2" customHeight="1">
      <c r="A12" s="1601" t="s">
        <v>2627</v>
      </c>
      <c r="B12" s="3198" t="s">
        <v>2628</v>
      </c>
      <c r="C12" s="3199"/>
      <c r="D12" s="1602">
        <f>ROUND(D13*1.2%*(1-30%),0)</f>
        <v>0</v>
      </c>
      <c r="E12" s="1602">
        <v>1.2E-2</v>
      </c>
      <c r="F12" s="1599" t="s">
        <v>2629</v>
      </c>
      <c r="G12" s="1593"/>
      <c r="H12" s="1560"/>
      <c r="I12" s="1561"/>
      <c r="J12" s="3192"/>
      <c r="K12" s="3194"/>
      <c r="L12" s="1594" t="s">
        <v>2630</v>
      </c>
      <c r="M12" s="1595"/>
      <c r="N12" s="1572"/>
      <c r="O12" s="1572"/>
      <c r="P12" s="1572"/>
      <c r="Q12" s="1572">
        <v>365</v>
      </c>
      <c r="R12" s="1596">
        <f t="shared" si="0"/>
        <v>0</v>
      </c>
      <c r="S12" s="1554"/>
      <c r="T12" s="1554"/>
      <c r="U12" s="1554"/>
      <c r="V12" s="1561"/>
    </row>
    <row r="13" spans="1:22" s="1565" customFormat="1" ht="13.2" customHeight="1">
      <c r="A13" s="1601"/>
      <c r="B13" s="1603"/>
      <c r="C13" s="1604" t="s">
        <v>2631</v>
      </c>
      <c r="D13" s="1572"/>
      <c r="E13" s="1605"/>
      <c r="F13" s="1599"/>
      <c r="G13" s="1593"/>
      <c r="H13" s="1560"/>
      <c r="I13" s="1561"/>
      <c r="J13" s="3192"/>
      <c r="K13" s="3194"/>
      <c r="L13" s="1594" t="s">
        <v>2632</v>
      </c>
      <c r="M13" s="1595"/>
      <c r="N13" s="1572"/>
      <c r="O13" s="1572"/>
      <c r="P13" s="1572"/>
      <c r="Q13" s="1572">
        <v>365</v>
      </c>
      <c r="R13" s="1596">
        <f t="shared" si="0"/>
        <v>0</v>
      </c>
      <c r="S13" s="1554"/>
      <c r="T13" s="1554"/>
      <c r="U13" s="1554"/>
      <c r="V13" s="1561"/>
    </row>
    <row r="14" spans="1:22" s="1565" customFormat="1" ht="13.2" customHeight="1">
      <c r="A14" s="1601" t="s">
        <v>2633</v>
      </c>
      <c r="B14" s="3198" t="s">
        <v>2634</v>
      </c>
      <c r="C14" s="3199"/>
      <c r="D14" s="1602">
        <f>ROUND(E14*B5/10000,0)</f>
        <v>0</v>
      </c>
      <c r="E14" s="1572"/>
      <c r="F14" s="1599" t="s">
        <v>2635</v>
      </c>
      <c r="G14" s="1593"/>
      <c r="H14" s="1560"/>
      <c r="I14" s="1561"/>
      <c r="J14" s="3192"/>
      <c r="K14" s="319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2" customHeight="1">
      <c r="A15" s="1601" t="s">
        <v>2637</v>
      </c>
      <c r="B15" s="3198" t="s">
        <v>2638</v>
      </c>
      <c r="C15" s="3199"/>
      <c r="D15" s="1602">
        <f>ROUND(D6*E15,0)</f>
        <v>0</v>
      </c>
      <c r="E15" s="1602">
        <v>5.5E-2</v>
      </c>
      <c r="F15" s="1599" t="s">
        <v>2639</v>
      </c>
      <c r="G15" s="1585"/>
      <c r="H15" s="1560"/>
      <c r="I15" s="1561"/>
      <c r="J15" s="3192">
        <v>2</v>
      </c>
      <c r="K15" s="319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2" customHeight="1">
      <c r="A16" s="1601" t="s">
        <v>2646</v>
      </c>
      <c r="B16" s="3198" t="s">
        <v>2647</v>
      </c>
      <c r="C16" s="3199"/>
      <c r="D16" s="1572">
        <f>D6*E16</f>
        <v>0</v>
      </c>
      <c r="E16" s="1572"/>
      <c r="F16" s="1600" t="s">
        <v>2648</v>
      </c>
      <c r="G16" s="1585"/>
      <c r="H16" s="1560"/>
      <c r="I16" s="1561"/>
      <c r="J16" s="3192"/>
      <c r="K16" s="3194"/>
      <c r="L16" s="1594" t="s">
        <v>2649</v>
      </c>
      <c r="M16" s="1595"/>
      <c r="N16" s="1595"/>
      <c r="O16" s="1572"/>
      <c r="P16" s="1572">
        <v>365</v>
      </c>
      <c r="Q16" s="1572"/>
      <c r="R16" s="1596">
        <f>ROUND(M16*N16*O16*P16/10000,0)</f>
        <v>0</v>
      </c>
      <c r="S16" s="1554"/>
      <c r="T16" s="1554"/>
      <c r="U16" s="1554"/>
      <c r="V16" s="1561"/>
    </row>
    <row r="17" spans="1:22" s="1565" customFormat="1" ht="13.2" customHeight="1" thickBot="1">
      <c r="A17" s="1609">
        <v>4</v>
      </c>
      <c r="B17" s="3200" t="s">
        <v>2650</v>
      </c>
      <c r="C17" s="3201"/>
      <c r="D17" s="1610">
        <f>ROUND(D6*E17,0)</f>
        <v>0</v>
      </c>
      <c r="E17" s="1611"/>
      <c r="F17" s="1612" t="s">
        <v>2651</v>
      </c>
      <c r="G17" s="1585"/>
      <c r="H17" s="1560"/>
      <c r="I17" s="1561"/>
      <c r="J17" s="3192"/>
      <c r="K17" s="3194"/>
      <c r="L17" s="1594" t="s">
        <v>2652</v>
      </c>
      <c r="M17" s="1595"/>
      <c r="N17" s="1595"/>
      <c r="O17" s="1572"/>
      <c r="P17" s="1572">
        <v>365</v>
      </c>
      <c r="Q17" s="1572"/>
      <c r="R17" s="1596">
        <f>ROUND(M17*N17*O17*P17/10000,0)</f>
        <v>0</v>
      </c>
      <c r="S17" s="1554"/>
      <c r="T17" s="1554"/>
      <c r="U17" s="1554"/>
      <c r="V17" s="1561"/>
    </row>
    <row r="18" spans="1:22" s="1565" customFormat="1" ht="13.2" customHeight="1" thickBot="1">
      <c r="A18" s="1588" t="s">
        <v>2653</v>
      </c>
      <c r="B18" s="1589"/>
      <c r="C18" s="1589"/>
      <c r="D18" s="1589">
        <f>ROUND(D6*E18,0)</f>
        <v>0</v>
      </c>
      <c r="E18" s="1613"/>
      <c r="F18" s="1614" t="s">
        <v>2654</v>
      </c>
      <c r="G18" s="1585"/>
      <c r="H18" s="1560"/>
      <c r="I18" s="1561"/>
      <c r="J18" s="3192"/>
      <c r="K18" s="3194"/>
      <c r="L18" s="1594" t="s">
        <v>2655</v>
      </c>
      <c r="M18" s="1595"/>
      <c r="N18" s="1595"/>
      <c r="O18" s="1572"/>
      <c r="P18" s="1572">
        <v>365</v>
      </c>
      <c r="Q18" s="1572"/>
      <c r="R18" s="1596">
        <f>ROUND(M18*N18*O18*P18/10000,0)</f>
        <v>0</v>
      </c>
      <c r="S18" s="1554"/>
      <c r="T18" s="1554"/>
      <c r="U18" s="1554"/>
      <c r="V18" s="1561"/>
    </row>
    <row r="19" spans="1:22" s="1565" customFormat="1" ht="13.2" customHeight="1" thickBot="1">
      <c r="A19" s="1615" t="s">
        <v>2656</v>
      </c>
      <c r="B19" s="1583"/>
      <c r="C19" s="1583"/>
      <c r="D19" s="1583"/>
      <c r="E19" s="1583"/>
      <c r="F19" s="1584"/>
      <c r="G19" s="1593"/>
      <c r="H19" s="1560"/>
      <c r="I19" s="1561"/>
      <c r="J19" s="3192"/>
      <c r="K19" s="319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2" customHeight="1">
      <c r="A20" s="1588"/>
      <c r="B20" s="1589"/>
      <c r="C20" s="1589"/>
      <c r="D20" s="1589"/>
      <c r="E20" s="1589"/>
      <c r="F20" s="1592"/>
      <c r="G20" s="1593"/>
      <c r="H20" s="1560"/>
      <c r="I20" s="1561"/>
      <c r="J20" s="3192">
        <v>3</v>
      </c>
      <c r="K20" s="319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2" customHeight="1">
      <c r="A21" s="1588"/>
      <c r="B21" s="1589"/>
      <c r="C21" s="1620" t="s">
        <v>2665</v>
      </c>
      <c r="D21" s="1621" t="s">
        <v>2666</v>
      </c>
      <c r="E21" s="1622" t="s">
        <v>2667</v>
      </c>
      <c r="F21" s="1592"/>
      <c r="G21" s="1593"/>
      <c r="H21" s="1560"/>
      <c r="I21" s="1561"/>
      <c r="J21" s="3192"/>
      <c r="K21" s="3194"/>
      <c r="L21" s="1594" t="s">
        <v>2668</v>
      </c>
      <c r="M21" s="1595"/>
      <c r="N21" s="1595"/>
      <c r="O21" s="1572"/>
      <c r="P21" s="1572">
        <v>365</v>
      </c>
      <c r="Q21" s="1572"/>
      <c r="R21" s="1623">
        <f>ROUND(M21*N21*O21*P21/10000,0)</f>
        <v>0</v>
      </c>
      <c r="S21" s="1619"/>
      <c r="T21" s="1619"/>
      <c r="U21" s="1619"/>
      <c r="V21" s="1561"/>
    </row>
    <row r="22" spans="1:22" s="1565" customFormat="1" ht="13.2" customHeight="1">
      <c r="A22" s="1588"/>
      <c r="B22" s="1589"/>
      <c r="C22" s="1624" t="s">
        <v>2669</v>
      </c>
      <c r="D22" s="1625" t="s">
        <v>2670</v>
      </c>
      <c r="E22" s="1626" t="s">
        <v>2671</v>
      </c>
      <c r="F22" s="1592"/>
      <c r="G22" s="1627"/>
      <c r="H22" s="1560"/>
      <c r="I22" s="1561"/>
      <c r="J22" s="3192"/>
      <c r="K22" s="3194"/>
      <c r="L22" s="1594" t="s">
        <v>2672</v>
      </c>
      <c r="M22" s="1595"/>
      <c r="N22" s="1595"/>
      <c r="O22" s="1572"/>
      <c r="P22" s="1572">
        <v>365</v>
      </c>
      <c r="Q22" s="1572"/>
      <c r="R22" s="1623">
        <f>ROUND(M22*N22*O22*P22/10000,0)</f>
        <v>0</v>
      </c>
      <c r="S22" s="1619"/>
      <c r="T22" s="1619"/>
      <c r="U22" s="1619"/>
      <c r="V22" s="1561"/>
    </row>
    <row r="23" spans="1:22" s="1565" customFormat="1" ht="13.2" customHeight="1">
      <c r="A23" s="1628">
        <v>1</v>
      </c>
      <c r="B23" s="1602" t="s">
        <v>2673</v>
      </c>
      <c r="C23" s="1603">
        <f>D6</f>
        <v>0</v>
      </c>
      <c r="D23" s="1629">
        <f>C23*(1+D24)</f>
        <v>0</v>
      </c>
      <c r="E23" s="1630">
        <f>D23*(1+E24)</f>
        <v>0</v>
      </c>
      <c r="F23" s="1631"/>
      <c r="G23" s="1632"/>
      <c r="H23" s="1560"/>
      <c r="I23" s="1561"/>
      <c r="J23" s="3192"/>
      <c r="K23" s="3194"/>
      <c r="L23" s="1594" t="s">
        <v>2674</v>
      </c>
      <c r="M23" s="1595"/>
      <c r="N23" s="1595"/>
      <c r="O23" s="1572"/>
      <c r="P23" s="1572">
        <v>365</v>
      </c>
      <c r="Q23" s="1572"/>
      <c r="R23" s="1623">
        <f>ROUND(M23*N23*O23*P23/10000,0)</f>
        <v>0</v>
      </c>
      <c r="S23" s="1554"/>
      <c r="T23" s="1554"/>
      <c r="U23" s="1554"/>
      <c r="V23" s="1561"/>
    </row>
    <row r="24" spans="1:22" s="1565" customFormat="1" ht="13.2" customHeight="1">
      <c r="A24" s="1633"/>
      <c r="B24" s="1634" t="s">
        <v>2675</v>
      </c>
      <c r="C24" s="1635"/>
      <c r="D24" s="1636"/>
      <c r="E24" s="1637"/>
      <c r="F24" s="1638"/>
      <c r="G24" s="1632"/>
      <c r="H24" s="1560"/>
      <c r="I24" s="1561"/>
      <c r="J24" s="3192"/>
      <c r="K24" s="319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2"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2" customHeight="1">
      <c r="A26" s="1628">
        <v>2</v>
      </c>
      <c r="B26" s="1602" t="s">
        <v>2677</v>
      </c>
      <c r="C26" s="1603">
        <f>D7</f>
        <v>0</v>
      </c>
      <c r="D26" s="1629">
        <f>D23*D27</f>
        <v>0</v>
      </c>
      <c r="E26" s="1630">
        <f>E23*E27</f>
        <v>0</v>
      </c>
      <c r="F26" s="1631"/>
      <c r="G26" s="1632"/>
      <c r="H26" s="1560"/>
      <c r="I26" s="1561"/>
      <c r="J26" s="320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2" customHeight="1">
      <c r="A27" s="1633"/>
      <c r="B27" s="1634" t="s">
        <v>2683</v>
      </c>
      <c r="C27" s="1635" t="e">
        <f>E7</f>
        <v>#DIV/0!</v>
      </c>
      <c r="D27" s="1636"/>
      <c r="E27" s="1637"/>
      <c r="F27" s="1638"/>
      <c r="G27" s="1632"/>
      <c r="H27" s="1650"/>
      <c r="I27" s="1643"/>
      <c r="J27" s="3203"/>
      <c r="K27" s="1651"/>
      <c r="L27" s="1652"/>
      <c r="M27" s="1653"/>
      <c r="N27" s="1654"/>
      <c r="O27" s="1654"/>
      <c r="P27" s="1654"/>
      <c r="Q27" s="1654"/>
      <c r="R27" s="1617">
        <f>ROUND(O27*N27*P27*(1-Q27)/10000,0)</f>
        <v>0</v>
      </c>
      <c r="S27" s="1554"/>
      <c r="T27" s="1554"/>
      <c r="U27" s="1554"/>
      <c r="V27" s="1561"/>
    </row>
    <row r="28" spans="1:22" s="1644" customFormat="1" ht="13.2"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2"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2"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2"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2" customHeight="1">
      <c r="A32" s="1628">
        <v>4</v>
      </c>
      <c r="B32" s="1602" t="s">
        <v>2691</v>
      </c>
      <c r="C32" s="1603">
        <f>C23-C26-C29</f>
        <v>0</v>
      </c>
      <c r="D32" s="1629">
        <f>D23-D26-D29</f>
        <v>0</v>
      </c>
      <c r="E32" s="1630">
        <f>E23-E26-E29</f>
        <v>0</v>
      </c>
      <c r="F32" s="1631"/>
      <c r="G32" s="1627"/>
      <c r="H32" s="1560"/>
      <c r="I32" s="1561"/>
      <c r="J32" s="3185" t="s">
        <v>2583</v>
      </c>
      <c r="K32" s="3186"/>
      <c r="L32" s="1562" t="s">
        <v>2584</v>
      </c>
      <c r="M32" s="1562" t="s">
        <v>2585</v>
      </c>
      <c r="N32" s="1562" t="s">
        <v>2586</v>
      </c>
      <c r="O32" s="1562" t="s">
        <v>2587</v>
      </c>
      <c r="P32" s="1562" t="s">
        <v>2588</v>
      </c>
      <c r="Q32" s="1563" t="s">
        <v>2589</v>
      </c>
      <c r="R32" s="1608" t="s">
        <v>2590</v>
      </c>
      <c r="S32" s="1619"/>
      <c r="T32" s="1554"/>
      <c r="U32" s="1554"/>
      <c r="V32" s="1643"/>
    </row>
    <row r="33" spans="1:23" s="1565" customFormat="1" ht="13.2" customHeight="1">
      <c r="A33" s="1628"/>
      <c r="B33" s="1602"/>
      <c r="C33" s="1603"/>
      <c r="D33" s="1629"/>
      <c r="E33" s="1630"/>
      <c r="F33" s="1631"/>
      <c r="G33" s="1627"/>
      <c r="H33" s="1650"/>
      <c r="I33" s="1643"/>
      <c r="J33" s="3187" t="s">
        <v>2593</v>
      </c>
      <c r="K33" s="3188"/>
      <c r="L33" s="1568"/>
      <c r="M33" s="1568"/>
      <c r="N33" s="1568"/>
      <c r="O33" s="1568"/>
      <c r="P33" s="1568"/>
      <c r="Q33" s="1569"/>
      <c r="R33" s="1587">
        <f>SUM(L33:Q33)</f>
        <v>0</v>
      </c>
      <c r="S33" s="1619"/>
      <c r="T33" s="1554"/>
      <c r="U33" s="1554"/>
      <c r="V33" s="1561"/>
    </row>
    <row r="34" spans="1:23" s="1565" customFormat="1" ht="13.2" customHeight="1">
      <c r="A34" s="1628">
        <v>5</v>
      </c>
      <c r="B34" s="1602" t="s">
        <v>2692</v>
      </c>
      <c r="C34" s="1664"/>
      <c r="D34" s="1665"/>
      <c r="E34" s="1666"/>
      <c r="F34" s="1631"/>
      <c r="G34" s="1627"/>
      <c r="H34" s="1650"/>
      <c r="I34" s="1643"/>
      <c r="J34" s="3187" t="s">
        <v>2595</v>
      </c>
      <c r="K34" s="3188"/>
      <c r="L34" s="1573"/>
      <c r="M34" s="1573"/>
      <c r="N34" s="1573"/>
      <c r="O34" s="1573"/>
      <c r="P34" s="1573"/>
      <c r="Q34" s="1574"/>
      <c r="R34" s="1667">
        <f>SUM(L34:Q34)</f>
        <v>0</v>
      </c>
      <c r="S34" s="1619"/>
      <c r="T34" s="1554"/>
      <c r="U34" s="1554" t="e">
        <f>ROUND(R35*10000/365/R33,1)</f>
        <v>#DIV/0!</v>
      </c>
      <c r="V34" s="1561"/>
    </row>
    <row r="35" spans="1:23" s="1565" customFormat="1" ht="13.2"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2" customHeight="1" thickBot="1">
      <c r="A36" s="1628">
        <v>7</v>
      </c>
      <c r="B36" s="1669" t="s">
        <v>2694</v>
      </c>
      <c r="C36" s="1670"/>
      <c r="D36" s="1671"/>
      <c r="E36" s="1672"/>
      <c r="F36" s="1631">
        <f>C36+D36+E36</f>
        <v>0</v>
      </c>
      <c r="G36" s="1627"/>
      <c r="H36" s="1560"/>
      <c r="I36" s="1561"/>
      <c r="J36" s="3192">
        <v>1</v>
      </c>
      <c r="K36" s="3193" t="s">
        <v>2695</v>
      </c>
      <c r="L36" s="1586"/>
      <c r="M36" s="1587"/>
      <c r="N36" s="1587"/>
      <c r="O36" s="1587"/>
      <c r="P36" s="1587"/>
      <c r="Q36" s="1587"/>
      <c r="R36" s="1570" t="s">
        <v>2607</v>
      </c>
      <c r="S36" s="1619"/>
      <c r="T36" s="1554" t="s">
        <v>2608</v>
      </c>
      <c r="U36" s="1554"/>
      <c r="V36" s="1561"/>
    </row>
    <row r="37" spans="1:23" s="1565" customFormat="1" ht="13.2" customHeight="1">
      <c r="A37" s="1628"/>
      <c r="B37" s="1602"/>
      <c r="C37" s="1602"/>
      <c r="D37" s="1602"/>
      <c r="E37" s="1602"/>
      <c r="F37" s="1631"/>
      <c r="G37" s="1627"/>
      <c r="H37" s="1560"/>
      <c r="I37" s="1561"/>
      <c r="J37" s="3192"/>
      <c r="K37" s="3194"/>
      <c r="L37" s="1594"/>
      <c r="M37" s="1595"/>
      <c r="N37" s="1572"/>
      <c r="O37" s="1572"/>
      <c r="P37" s="1572"/>
      <c r="Q37" s="1572"/>
      <c r="R37" s="1596"/>
      <c r="S37" s="1619"/>
      <c r="T37" s="1554" t="s">
        <v>2611</v>
      </c>
      <c r="U37" s="1554"/>
      <c r="V37" s="1561"/>
    </row>
    <row r="38" spans="1:23" s="1565" customFormat="1" ht="13.2" customHeight="1">
      <c r="A38" s="1628">
        <v>8</v>
      </c>
      <c r="B38" s="1602"/>
      <c r="C38" s="1598" t="e">
        <f>ROUND(C32*(1-((1+C35)/(1+C34))^C36)/(C34-C35),0)</f>
        <v>#DIV/0!</v>
      </c>
      <c r="D38" s="1598">
        <f>IF(D23=0,0,ROUND(D32*(1-((1+D35)/(1+D34))^D36)/(D34-D35),0))</f>
        <v>0</v>
      </c>
      <c r="E38" s="1598">
        <f>IF(E23=0,0,ROUND(E32*(1-((1+E35)/(1+E34))^E36)/(E34-E35),0))</f>
        <v>0</v>
      </c>
      <c r="F38" s="1631"/>
      <c r="G38" s="1627"/>
      <c r="H38" s="1560"/>
      <c r="I38" s="1561"/>
      <c r="J38" s="3192"/>
      <c r="K38" s="3194"/>
      <c r="L38" s="1594"/>
      <c r="M38" s="1595"/>
      <c r="N38" s="1572"/>
      <c r="O38" s="1572"/>
      <c r="P38" s="1572"/>
      <c r="Q38" s="1572"/>
      <c r="R38" s="1596"/>
      <c r="S38" s="1619"/>
      <c r="T38" s="1554" t="s">
        <v>2618</v>
      </c>
      <c r="U38" s="1554"/>
      <c r="V38" s="1561"/>
    </row>
    <row r="39" spans="1:23" s="1565" customFormat="1" ht="13.2" customHeight="1">
      <c r="A39" s="1628">
        <v>9</v>
      </c>
      <c r="B39" s="1602" t="s">
        <v>2696</v>
      </c>
      <c r="C39" s="1602" t="e">
        <f>C38</f>
        <v>#DIV/0!</v>
      </c>
      <c r="D39" s="1602">
        <f>D38/(1+D34)^C36</f>
        <v>0</v>
      </c>
      <c r="E39" s="1602">
        <f>E38/(1+E34)^(C36+D36)</f>
        <v>0</v>
      </c>
      <c r="F39" s="1631"/>
      <c r="G39" s="1673"/>
      <c r="H39" s="1560"/>
      <c r="I39" s="1561"/>
      <c r="J39" s="3192"/>
      <c r="K39" s="3194"/>
      <c r="L39" s="1594"/>
      <c r="M39" s="1595"/>
      <c r="N39" s="1572"/>
      <c r="O39" s="1572"/>
      <c r="P39" s="1572"/>
      <c r="Q39" s="1572"/>
      <c r="R39" s="1596"/>
      <c r="S39" s="1619"/>
      <c r="T39" s="1554"/>
      <c r="U39" s="1554"/>
      <c r="V39" s="1561"/>
    </row>
    <row r="40" spans="1:23" s="1565" customFormat="1" ht="13.2" customHeight="1">
      <c r="A40" s="1601">
        <v>10</v>
      </c>
      <c r="B40" s="1602" t="s">
        <v>2697</v>
      </c>
      <c r="C40" s="1674" t="e">
        <f>C39+D39+E39</f>
        <v>#DIV/0!</v>
      </c>
      <c r="D40" s="1674"/>
      <c r="E40" s="1674"/>
      <c r="F40" s="1675"/>
      <c r="G40" s="1627"/>
      <c r="H40" s="1560"/>
      <c r="I40" s="1561"/>
      <c r="J40" s="3192"/>
      <c r="K40" s="3195"/>
      <c r="L40" s="1606" t="s">
        <v>2636</v>
      </c>
      <c r="M40" s="1607"/>
      <c r="N40" s="1607"/>
      <c r="O40" s="1608"/>
      <c r="P40" s="1608"/>
      <c r="Q40" s="1608"/>
      <c r="R40" s="1564">
        <f>SUM(R37:R39)</f>
        <v>0</v>
      </c>
      <c r="S40" s="1619"/>
      <c r="T40" s="1554"/>
      <c r="U40" s="1554"/>
      <c r="V40" s="1561"/>
    </row>
    <row r="41" spans="1:23" s="1565" customFormat="1" ht="13.2"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2" customHeight="1">
      <c r="G42" s="1679"/>
      <c r="H42" s="1560"/>
      <c r="I42" s="1561"/>
      <c r="J42" s="3202">
        <v>3</v>
      </c>
      <c r="K42" s="1645" t="s">
        <v>2678</v>
      </c>
      <c r="L42" s="1646"/>
      <c r="M42" s="1647"/>
      <c r="N42" s="1648" t="s">
        <v>2679</v>
      </c>
      <c r="O42" s="1648" t="s">
        <v>2680</v>
      </c>
      <c r="P42" s="1648" t="s">
        <v>2681</v>
      </c>
      <c r="Q42" s="1648" t="s">
        <v>2682</v>
      </c>
      <c r="R42" s="1570" t="s">
        <v>2607</v>
      </c>
      <c r="S42" s="1649"/>
      <c r="T42" s="1649"/>
      <c r="U42" s="1554"/>
      <c r="V42" s="1561"/>
    </row>
    <row r="43" spans="1:23" ht="13.2" customHeight="1">
      <c r="A43" s="1565"/>
      <c r="B43" s="1565"/>
      <c r="C43" s="1565"/>
      <c r="D43" s="1565"/>
      <c r="E43" s="1565"/>
      <c r="F43" s="1565"/>
      <c r="I43" s="1549"/>
      <c r="J43" s="3203"/>
      <c r="K43" s="1651"/>
      <c r="L43" s="1652"/>
      <c r="M43" s="1653"/>
      <c r="N43" s="1595"/>
      <c r="O43" s="1595"/>
      <c r="P43" s="1595"/>
      <c r="Q43" s="1595"/>
      <c r="R43" s="1617">
        <f>ROUND(O43*N43*P43*(1-Q43)/10000,0)</f>
        <v>0</v>
      </c>
      <c r="S43" s="1619"/>
      <c r="T43" s="1554"/>
      <c r="V43" s="1681"/>
      <c r="W43" s="1682"/>
    </row>
    <row r="44" spans="1:23" ht="13.2"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3.8"/>
  <cols>
    <col min="1" max="1" width="23.6640625" style="1689" customWidth="1"/>
    <col min="2" max="2" width="12" style="1689" customWidth="1"/>
    <col min="3" max="3" width="9" style="1689"/>
    <col min="4" max="4" width="14.109375" style="1689" customWidth="1"/>
    <col min="5" max="5" width="9" style="1689"/>
    <col min="6" max="6" width="12.88671875" style="1689" customWidth="1"/>
    <col min="7" max="16384" width="9" style="1689"/>
  </cols>
  <sheetData>
    <row r="1" spans="1:22" ht="21.6">
      <c r="A1" s="1684" t="s">
        <v>1885</v>
      </c>
      <c r="B1" s="1685"/>
      <c r="C1" s="1685"/>
      <c r="D1" s="1685"/>
      <c r="E1" s="1686"/>
      <c r="F1" s="1687"/>
      <c r="G1" s="1688"/>
      <c r="H1" s="1688"/>
      <c r="I1" s="1688"/>
      <c r="J1" s="1688"/>
      <c r="K1" s="1688"/>
      <c r="L1" s="1688"/>
      <c r="M1" s="1688"/>
      <c r="N1" s="1688"/>
      <c r="O1" s="1688"/>
      <c r="P1" s="1688"/>
      <c r="Q1" s="1688"/>
      <c r="R1" s="1688"/>
      <c r="S1" s="1688"/>
    </row>
    <row r="2" spans="1:22" ht="15.6">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6">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6">
      <c r="A4" s="1698"/>
      <c r="B4" s="1696"/>
      <c r="C4" s="1696"/>
      <c r="D4" s="1696"/>
      <c r="E4" s="1697"/>
      <c r="F4" s="1687"/>
      <c r="G4" s="1688"/>
      <c r="H4" s="1688"/>
      <c r="I4" s="1688"/>
      <c r="J4" s="1688"/>
      <c r="K4" s="1688"/>
      <c r="L4" s="1688"/>
      <c r="M4" s="1688"/>
      <c r="N4" s="1688"/>
      <c r="O4" s="1688"/>
      <c r="P4" s="1688"/>
      <c r="Q4" s="1688"/>
      <c r="R4" s="1688"/>
      <c r="S4" s="1688"/>
    </row>
    <row r="5" spans="1:22" ht="14.4">
      <c r="A5" s="1699" t="s">
        <v>1880</v>
      </c>
      <c r="B5" s="3204" t="s">
        <v>1881</v>
      </c>
      <c r="C5" s="3205"/>
      <c r="D5" s="1700"/>
      <c r="E5" s="1701" t="s">
        <v>1882</v>
      </c>
      <c r="F5" s="1702" t="s">
        <v>1883</v>
      </c>
      <c r="G5" s="1688"/>
      <c r="H5" s="1688"/>
      <c r="I5" s="1688"/>
      <c r="J5" s="1688"/>
      <c r="K5" s="1688"/>
      <c r="L5" s="1688"/>
      <c r="M5" s="1688"/>
      <c r="N5" s="1688"/>
      <c r="O5" s="1688"/>
      <c r="P5" s="1688"/>
      <c r="Q5" s="1688"/>
      <c r="R5" s="1688"/>
      <c r="S5" s="1688"/>
    </row>
    <row r="6" spans="1:22" ht="14.4">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ht="14.4">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ht="14.4">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ht="14.4">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ht="14.4">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ht="14.4">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ht="14.4">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1744" customWidth="1"/>
    <col min="2" max="2" width="15.77734375" style="1744" customWidth="1"/>
    <col min="3" max="3" width="15.10937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872"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4.4">
      <c r="A4" s="1738" t="s">
        <v>1894</v>
      </c>
      <c r="B4" s="1739"/>
      <c r="C4" s="3224" t="s">
        <v>1895</v>
      </c>
      <c r="D4" s="3225"/>
      <c r="E4" s="3226" t="s">
        <v>1896</v>
      </c>
      <c r="F4" s="3227"/>
      <c r="G4" s="3224" t="s">
        <v>1897</v>
      </c>
      <c r="H4" s="3225"/>
      <c r="I4" s="3224" t="s">
        <v>1898</v>
      </c>
      <c r="J4" s="3225"/>
      <c r="K4" s="1740" t="s">
        <v>1899</v>
      </c>
      <c r="L4" s="1741"/>
      <c r="M4" s="1742"/>
      <c r="N4" s="1742"/>
      <c r="O4" s="1742"/>
      <c r="P4" s="3228" t="s">
        <v>1900</v>
      </c>
      <c r="Q4" s="3229"/>
      <c r="R4" s="3211" t="s">
        <v>1896</v>
      </c>
      <c r="S4" s="3212"/>
      <c r="T4" s="3211" t="s">
        <v>1897</v>
      </c>
      <c r="U4" s="3212"/>
      <c r="V4" s="3236" t="s">
        <v>1898</v>
      </c>
      <c r="W4" s="3236"/>
      <c r="X4" s="1743"/>
      <c r="Y4" s="3211" t="s">
        <v>1900</v>
      </c>
      <c r="Z4" s="3212"/>
      <c r="AA4" s="3206" t="s">
        <v>1896</v>
      </c>
      <c r="AB4" s="3206" t="s">
        <v>1897</v>
      </c>
      <c r="AC4" s="3206" t="s">
        <v>1898</v>
      </c>
    </row>
    <row r="5" spans="1:29">
      <c r="A5" s="1745"/>
      <c r="B5" s="1746"/>
      <c r="C5" s="3217" t="s">
        <v>1901</v>
      </c>
      <c r="D5" s="3218"/>
      <c r="E5" s="3215" t="s">
        <v>1902</v>
      </c>
      <c r="F5" s="3216"/>
      <c r="G5" s="3217" t="s">
        <v>1903</v>
      </c>
      <c r="H5" s="3218"/>
      <c r="I5" s="3217" t="s">
        <v>1904</v>
      </c>
      <c r="J5" s="3218"/>
      <c r="K5" s="1747"/>
      <c r="L5" s="1741"/>
      <c r="M5" s="1742"/>
      <c r="N5" s="1742"/>
      <c r="O5" s="1742"/>
      <c r="P5" s="3230"/>
      <c r="Q5" s="3231"/>
      <c r="R5" s="3213"/>
      <c r="S5" s="3214"/>
      <c r="T5" s="3213"/>
      <c r="U5" s="3214"/>
      <c r="V5" s="3236"/>
      <c r="W5" s="3236"/>
      <c r="X5" s="1743"/>
      <c r="Y5" s="3213"/>
      <c r="Z5" s="3214"/>
      <c r="AA5" s="3207"/>
      <c r="AB5" s="3207"/>
      <c r="AC5" s="3207"/>
    </row>
    <row r="6" spans="1:29" ht="15" thickBot="1">
      <c r="A6" s="1748"/>
      <c r="B6" s="1749"/>
      <c r="C6" s="3219" t="s">
        <v>1905</v>
      </c>
      <c r="D6" s="3220"/>
      <c r="E6" s="3221" t="s">
        <v>1905</v>
      </c>
      <c r="F6" s="3222"/>
      <c r="G6" s="3219" t="s">
        <v>1905</v>
      </c>
      <c r="H6" s="3220"/>
      <c r="I6" s="3219" t="s">
        <v>1905</v>
      </c>
      <c r="J6" s="3220"/>
      <c r="K6" s="1747" t="s">
        <v>1906</v>
      </c>
      <c r="L6" s="1741"/>
      <c r="M6" s="1742"/>
      <c r="N6" s="1742"/>
      <c r="O6" s="1742"/>
      <c r="P6" s="3232"/>
      <c r="Q6" s="3233"/>
      <c r="R6" s="3213"/>
      <c r="S6" s="3214"/>
      <c r="T6" s="3234"/>
      <c r="U6" s="3235"/>
      <c r="V6" s="3236"/>
      <c r="W6" s="3236"/>
      <c r="X6" s="1743"/>
      <c r="Y6" s="3234"/>
      <c r="Z6" s="3235"/>
      <c r="AA6" s="3208"/>
      <c r="AB6" s="3208"/>
      <c r="AC6" s="3208"/>
    </row>
    <row r="7" spans="1:29" s="1760" customFormat="1" ht="15" thickBot="1">
      <c r="A7" s="1750" t="s">
        <v>1907</v>
      </c>
      <c r="B7" s="1751"/>
      <c r="C7" s="1752">
        <f>'数据-取费表'!B2</f>
        <v>44889</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09" t="s">
        <v>1908</v>
      </c>
      <c r="Q7" s="3237"/>
      <c r="R7" s="463" t="s">
        <v>20</v>
      </c>
      <c r="S7" s="1758">
        <f t="shared" ref="S7:S15" si="0">F7</f>
        <v>0</v>
      </c>
      <c r="T7" s="463" t="s">
        <v>20</v>
      </c>
      <c r="U7" s="1758">
        <f t="shared" ref="U7:U15" si="1">H7</f>
        <v>0</v>
      </c>
      <c r="V7" s="463" t="s">
        <v>20</v>
      </c>
      <c r="W7" s="1758">
        <f t="shared" ref="W7:W15" si="2">J7</f>
        <v>0</v>
      </c>
      <c r="X7" s="1759"/>
      <c r="Y7" s="3209" t="s">
        <v>1908</v>
      </c>
      <c r="Z7" s="3210"/>
      <c r="AA7" s="469" t="e">
        <f>D7/F7</f>
        <v>#DIV/0!</v>
      </c>
      <c r="AB7" s="469" t="e">
        <f>D7/H7</f>
        <v>#DIV/0!</v>
      </c>
      <c r="AC7" s="469" t="e">
        <f>D7/J7</f>
        <v>#DIV/0!</v>
      </c>
    </row>
    <row r="8" spans="1:29" s="1760" customFormat="1" ht="1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09" t="s">
        <v>1911</v>
      </c>
      <c r="Q8" s="3210"/>
      <c r="R8" s="463" t="s">
        <v>20</v>
      </c>
      <c r="S8" s="1758">
        <f t="shared" si="0"/>
        <v>0</v>
      </c>
      <c r="T8" s="463" t="s">
        <v>20</v>
      </c>
      <c r="U8" s="1758">
        <f t="shared" si="1"/>
        <v>0</v>
      </c>
      <c r="V8" s="463" t="s">
        <v>20</v>
      </c>
      <c r="W8" s="1758">
        <f t="shared" si="2"/>
        <v>0</v>
      </c>
      <c r="X8" s="1759"/>
      <c r="Y8" s="3209" t="s">
        <v>1911</v>
      </c>
      <c r="Z8" s="3210"/>
      <c r="AA8" s="469" t="e">
        <f t="shared" ref="AA8:AA19" si="3">D8/F8</f>
        <v>#DIV/0!</v>
      </c>
      <c r="AB8" s="469" t="e">
        <f t="shared" ref="AB8:AB19" si="4">D8/H8</f>
        <v>#DIV/0!</v>
      </c>
      <c r="AC8" s="469" t="e">
        <f t="shared" ref="AC8:AC19" si="5">D8/J8</f>
        <v>#DIV/0!</v>
      </c>
    </row>
    <row r="9" spans="1:29" s="1760" customFormat="1" ht="14.4">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23" t="s">
        <v>1914</v>
      </c>
      <c r="Q9" s="1769" t="str">
        <f t="shared" ref="Q9:Q15" si="6">B9</f>
        <v>用途</v>
      </c>
      <c r="R9" s="463" t="s">
        <v>14</v>
      </c>
      <c r="S9" s="1758">
        <f t="shared" si="0"/>
        <v>100</v>
      </c>
      <c r="T9" s="463" t="s">
        <v>14</v>
      </c>
      <c r="U9" s="1758">
        <f t="shared" si="1"/>
        <v>100</v>
      </c>
      <c r="V9" s="463" t="s">
        <v>14</v>
      </c>
      <c r="W9" s="1758">
        <f t="shared" si="2"/>
        <v>100</v>
      </c>
      <c r="X9" s="1759"/>
      <c r="Y9" s="3153"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23"/>
      <c r="Q10" s="1769" t="str">
        <f t="shared" si="6"/>
        <v>土地使用年限（年）</v>
      </c>
      <c r="R10" s="463" t="s">
        <v>14</v>
      </c>
      <c r="S10" s="1758">
        <f t="shared" si="0"/>
        <v>100</v>
      </c>
      <c r="T10" s="463" t="s">
        <v>14</v>
      </c>
      <c r="U10" s="1758">
        <f t="shared" si="1"/>
        <v>100</v>
      </c>
      <c r="V10" s="463" t="s">
        <v>14</v>
      </c>
      <c r="W10" s="1758">
        <f t="shared" si="2"/>
        <v>100</v>
      </c>
      <c r="X10" s="1759"/>
      <c r="Y10" s="315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23"/>
      <c r="Q11" s="1769" t="str">
        <f t="shared" si="6"/>
        <v>容积率</v>
      </c>
      <c r="R11" s="463" t="s">
        <v>18</v>
      </c>
      <c r="S11" s="1758" t="e">
        <f t="shared" si="0"/>
        <v>#N/A</v>
      </c>
      <c r="T11" s="463" t="s">
        <v>18</v>
      </c>
      <c r="U11" s="1758" t="e">
        <f t="shared" si="1"/>
        <v>#N/A</v>
      </c>
      <c r="V11" s="463" t="s">
        <v>18</v>
      </c>
      <c r="W11" s="1758" t="e">
        <f t="shared" si="2"/>
        <v>#N/A</v>
      </c>
      <c r="X11" s="1759"/>
      <c r="Y11" s="315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23"/>
      <c r="Q12" s="1769">
        <f t="shared" si="6"/>
        <v>111</v>
      </c>
      <c r="R12" s="463" t="s">
        <v>18</v>
      </c>
      <c r="S12" s="1758">
        <f t="shared" si="0"/>
        <v>100</v>
      </c>
      <c r="T12" s="463" t="s">
        <v>18</v>
      </c>
      <c r="U12" s="1758">
        <f t="shared" si="1"/>
        <v>100</v>
      </c>
      <c r="V12" s="463" t="s">
        <v>18</v>
      </c>
      <c r="W12" s="1758">
        <f t="shared" si="2"/>
        <v>100</v>
      </c>
      <c r="X12" s="1759"/>
      <c r="Y12" s="315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23"/>
      <c r="Q13" s="1769">
        <f t="shared" si="6"/>
        <v>111</v>
      </c>
      <c r="R13" s="463" t="s">
        <v>18</v>
      </c>
      <c r="S13" s="1758">
        <f t="shared" si="0"/>
        <v>100</v>
      </c>
      <c r="T13" s="463" t="s">
        <v>18</v>
      </c>
      <c r="U13" s="1758">
        <f t="shared" si="1"/>
        <v>100</v>
      </c>
      <c r="V13" s="463" t="s">
        <v>18</v>
      </c>
      <c r="W13" s="1758">
        <f t="shared" si="2"/>
        <v>100</v>
      </c>
      <c r="X13" s="1759"/>
      <c r="Y13" s="3153"/>
      <c r="Z13" s="469">
        <f t="shared" si="7"/>
        <v>111</v>
      </c>
      <c r="AA13" s="469">
        <f t="shared" si="3"/>
        <v>1</v>
      </c>
      <c r="AB13" s="469">
        <f t="shared" si="4"/>
        <v>1</v>
      </c>
      <c r="AC13" s="469">
        <f t="shared" si="5"/>
        <v>1</v>
      </c>
    </row>
    <row r="14" spans="1:29" ht="15.6"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23"/>
      <c r="Q14" s="1769">
        <f t="shared" si="6"/>
        <v>111</v>
      </c>
      <c r="R14" s="463" t="s">
        <v>18</v>
      </c>
      <c r="S14" s="1758">
        <f t="shared" si="0"/>
        <v>100</v>
      </c>
      <c r="T14" s="463" t="s">
        <v>18</v>
      </c>
      <c r="U14" s="1758">
        <f t="shared" si="1"/>
        <v>100</v>
      </c>
      <c r="V14" s="463" t="s">
        <v>18</v>
      </c>
      <c r="W14" s="1758">
        <f t="shared" si="2"/>
        <v>100</v>
      </c>
      <c r="X14" s="1759"/>
      <c r="Y14" s="3153"/>
      <c r="Z14" s="469">
        <f t="shared" si="7"/>
        <v>111</v>
      </c>
      <c r="AA14" s="469">
        <f t="shared" si="3"/>
        <v>1</v>
      </c>
      <c r="AB14" s="469">
        <f t="shared" si="4"/>
        <v>1</v>
      </c>
      <c r="AC14" s="469">
        <f t="shared" si="5"/>
        <v>1</v>
      </c>
    </row>
    <row r="15" spans="1:29" ht="96.6">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49" t="s">
        <v>1919</v>
      </c>
      <c r="Q15" s="1803" t="str">
        <f t="shared" si="6"/>
        <v>居住社区成熟度</v>
      </c>
      <c r="R15" s="1804" t="s">
        <v>18</v>
      </c>
      <c r="S15" s="1805">
        <f t="shared" si="0"/>
        <v>100</v>
      </c>
      <c r="T15" s="1804" t="s">
        <v>18</v>
      </c>
      <c r="U15" s="1805">
        <f t="shared" si="1"/>
        <v>100</v>
      </c>
      <c r="V15" s="1804" t="s">
        <v>18</v>
      </c>
      <c r="W15" s="1805">
        <f t="shared" si="2"/>
        <v>100</v>
      </c>
      <c r="X15" s="1743"/>
      <c r="Y15" s="324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50"/>
      <c r="Q16" s="1803"/>
      <c r="R16" s="1804"/>
      <c r="S16" s="1805"/>
      <c r="T16" s="1804"/>
      <c r="U16" s="1805"/>
      <c r="V16" s="1804"/>
      <c r="W16" s="1805"/>
      <c r="X16" s="1743"/>
      <c r="Y16" s="3243"/>
      <c r="Z16" s="1806"/>
      <c r="AA16" s="1806">
        <v>1</v>
      </c>
      <c r="AB16" s="1806">
        <v>1</v>
      </c>
      <c r="AC16" s="1806">
        <v>1</v>
      </c>
    </row>
    <row r="17" spans="1:29" ht="82.8">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50"/>
      <c r="Q17" s="1803" t="str">
        <f>B17</f>
        <v>交通便捷度</v>
      </c>
      <c r="R17" s="1804" t="s">
        <v>18</v>
      </c>
      <c r="S17" s="1805">
        <f>F17</f>
        <v>100</v>
      </c>
      <c r="T17" s="1804" t="s">
        <v>18</v>
      </c>
      <c r="U17" s="1805">
        <f>H17</f>
        <v>100</v>
      </c>
      <c r="V17" s="1804" t="s">
        <v>18</v>
      </c>
      <c r="W17" s="1805">
        <f>J17</f>
        <v>100</v>
      </c>
      <c r="X17" s="1743"/>
      <c r="Y17" s="324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50"/>
      <c r="Q18" s="1803"/>
      <c r="R18" s="1804"/>
      <c r="S18" s="1805"/>
      <c r="T18" s="1804"/>
      <c r="U18" s="1805"/>
      <c r="V18" s="1804"/>
      <c r="W18" s="1805"/>
      <c r="X18" s="1743"/>
      <c r="Y18" s="3243"/>
      <c r="Z18" s="1806"/>
      <c r="AA18" s="1806">
        <v>1</v>
      </c>
      <c r="AB18" s="1806">
        <v>1</v>
      </c>
      <c r="AC18" s="1806">
        <v>1</v>
      </c>
    </row>
    <row r="19" spans="1:29" ht="41.4">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50"/>
      <c r="Q19" s="1803" t="str">
        <f>B19</f>
        <v>公共配套设施</v>
      </c>
      <c r="R19" s="1804" t="s">
        <v>18</v>
      </c>
      <c r="S19" s="1805">
        <f>F19</f>
        <v>100</v>
      </c>
      <c r="T19" s="1804" t="s">
        <v>18</v>
      </c>
      <c r="U19" s="1805">
        <f>H19</f>
        <v>100</v>
      </c>
      <c r="V19" s="1804" t="s">
        <v>18</v>
      </c>
      <c r="W19" s="1805">
        <f>J19</f>
        <v>100</v>
      </c>
      <c r="X19" s="1743"/>
      <c r="Y19" s="324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50"/>
      <c r="Q20" s="1803"/>
      <c r="R20" s="1804"/>
      <c r="S20" s="1805"/>
      <c r="T20" s="1804"/>
      <c r="U20" s="1805"/>
      <c r="V20" s="1804"/>
      <c r="W20" s="1805"/>
      <c r="X20" s="1743"/>
      <c r="Y20" s="3243"/>
      <c r="Z20" s="1806"/>
      <c r="AA20" s="1806">
        <v>1</v>
      </c>
      <c r="AB20" s="1806">
        <v>1</v>
      </c>
      <c r="AC20" s="1806">
        <v>1</v>
      </c>
    </row>
    <row r="21" spans="1:29" ht="27.6">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50"/>
      <c r="Q21" s="1803" t="str">
        <f>B21</f>
        <v>基础设施水平</v>
      </c>
      <c r="R21" s="1804" t="s">
        <v>14</v>
      </c>
      <c r="S21" s="1805">
        <f>F21</f>
        <v>100</v>
      </c>
      <c r="T21" s="1804" t="s">
        <v>14</v>
      </c>
      <c r="U21" s="1805">
        <f>H21</f>
        <v>100</v>
      </c>
      <c r="V21" s="1804" t="s">
        <v>14</v>
      </c>
      <c r="W21" s="1805">
        <f>J21</f>
        <v>100</v>
      </c>
      <c r="X21" s="1743"/>
      <c r="Y21" s="324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50"/>
      <c r="Q22" s="1803"/>
      <c r="R22" s="1804"/>
      <c r="S22" s="1805"/>
      <c r="T22" s="1804"/>
      <c r="U22" s="1805"/>
      <c r="V22" s="1804"/>
      <c r="W22" s="1805"/>
      <c r="X22" s="1743"/>
      <c r="Y22" s="3243"/>
      <c r="Z22" s="1806"/>
      <c r="AA22" s="1806">
        <v>1</v>
      </c>
      <c r="AB22" s="1806">
        <v>1</v>
      </c>
      <c r="AC22" s="1806">
        <v>1</v>
      </c>
    </row>
    <row r="23" spans="1:29" ht="55.2">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50"/>
      <c r="Q23" s="1803" t="str">
        <f>B23</f>
        <v>自然及人文环境</v>
      </c>
      <c r="R23" s="1804" t="s">
        <v>18</v>
      </c>
      <c r="S23" s="1805">
        <f>F23</f>
        <v>100</v>
      </c>
      <c r="T23" s="1804" t="s">
        <v>18</v>
      </c>
      <c r="U23" s="1805">
        <f>H23</f>
        <v>100</v>
      </c>
      <c r="V23" s="1804" t="s">
        <v>18</v>
      </c>
      <c r="W23" s="1805">
        <f>J23</f>
        <v>100</v>
      </c>
      <c r="X23" s="1743"/>
      <c r="Y23" s="324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50"/>
      <c r="Q24" s="1803"/>
      <c r="R24" s="1804"/>
      <c r="S24" s="1805"/>
      <c r="T24" s="1804"/>
      <c r="U24" s="1805"/>
      <c r="V24" s="1804"/>
      <c r="W24" s="1805"/>
      <c r="X24" s="1743"/>
      <c r="Y24" s="324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5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4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50"/>
      <c r="Q26" s="1803" t="str">
        <f t="shared" si="11"/>
        <v>朝向</v>
      </c>
      <c r="R26" s="1804" t="s">
        <v>18</v>
      </c>
      <c r="S26" s="1805">
        <f t="shared" si="12"/>
        <v>100</v>
      </c>
      <c r="T26" s="1804" t="s">
        <v>18</v>
      </c>
      <c r="U26" s="1805">
        <f t="shared" si="13"/>
        <v>100</v>
      </c>
      <c r="V26" s="1804" t="s">
        <v>18</v>
      </c>
      <c r="W26" s="1805">
        <f t="shared" si="14"/>
        <v>100</v>
      </c>
      <c r="X26" s="1743"/>
      <c r="Y26" s="324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50"/>
      <c r="Q27" s="1769">
        <f t="shared" si="11"/>
        <v>111</v>
      </c>
      <c r="R27" s="463" t="s">
        <v>18</v>
      </c>
      <c r="S27" s="1758">
        <f t="shared" si="12"/>
        <v>100</v>
      </c>
      <c r="T27" s="463" t="s">
        <v>18</v>
      </c>
      <c r="U27" s="1758">
        <f t="shared" si="13"/>
        <v>100</v>
      </c>
      <c r="V27" s="463" t="s">
        <v>18</v>
      </c>
      <c r="W27" s="1758">
        <f t="shared" si="14"/>
        <v>100</v>
      </c>
      <c r="X27" s="1759"/>
      <c r="Y27" s="324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50"/>
      <c r="Q28" s="1803">
        <f t="shared" si="11"/>
        <v>111</v>
      </c>
      <c r="R28" s="1804" t="s">
        <v>18</v>
      </c>
      <c r="S28" s="1805">
        <f t="shared" si="12"/>
        <v>100</v>
      </c>
      <c r="T28" s="1804" t="s">
        <v>18</v>
      </c>
      <c r="U28" s="1805">
        <f t="shared" si="13"/>
        <v>100</v>
      </c>
      <c r="V28" s="1804" t="s">
        <v>18</v>
      </c>
      <c r="W28" s="1805">
        <f t="shared" si="14"/>
        <v>100</v>
      </c>
      <c r="X28" s="1743"/>
      <c r="Y28" s="324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50"/>
      <c r="Q29" s="1803">
        <f t="shared" si="11"/>
        <v>111</v>
      </c>
      <c r="R29" s="1804" t="s">
        <v>18</v>
      </c>
      <c r="S29" s="1805">
        <f t="shared" si="12"/>
        <v>100</v>
      </c>
      <c r="T29" s="1804" t="s">
        <v>18</v>
      </c>
      <c r="U29" s="1805">
        <f t="shared" si="13"/>
        <v>100</v>
      </c>
      <c r="V29" s="1804" t="s">
        <v>18</v>
      </c>
      <c r="W29" s="1805">
        <f t="shared" si="14"/>
        <v>100</v>
      </c>
      <c r="X29" s="1743"/>
      <c r="Y29" s="324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50"/>
      <c r="Q30" s="1803">
        <f t="shared" si="11"/>
        <v>111</v>
      </c>
      <c r="R30" s="1804" t="s">
        <v>18</v>
      </c>
      <c r="S30" s="1805">
        <f t="shared" si="12"/>
        <v>100</v>
      </c>
      <c r="T30" s="1804" t="s">
        <v>18</v>
      </c>
      <c r="U30" s="1805">
        <f t="shared" si="13"/>
        <v>100</v>
      </c>
      <c r="V30" s="1804" t="s">
        <v>18</v>
      </c>
      <c r="W30" s="1805">
        <f t="shared" si="14"/>
        <v>100</v>
      </c>
      <c r="X30" s="1743"/>
      <c r="Y30" s="3243"/>
      <c r="Z30" s="1806">
        <f t="shared" si="18"/>
        <v>111</v>
      </c>
      <c r="AA30" s="1806">
        <f t="shared" si="15"/>
        <v>1</v>
      </c>
      <c r="AB30" s="1806">
        <f t="shared" si="16"/>
        <v>1</v>
      </c>
      <c r="AC30" s="1806">
        <f t="shared" si="17"/>
        <v>1</v>
      </c>
    </row>
    <row r="31" spans="1:29" ht="15.6"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50"/>
      <c r="Q31" s="1803">
        <f t="shared" si="11"/>
        <v>111</v>
      </c>
      <c r="R31" s="1804" t="s">
        <v>18</v>
      </c>
      <c r="S31" s="1805">
        <f t="shared" si="12"/>
        <v>100</v>
      </c>
      <c r="T31" s="1804" t="s">
        <v>18</v>
      </c>
      <c r="U31" s="1805">
        <f t="shared" si="13"/>
        <v>100</v>
      </c>
      <c r="V31" s="1804" t="s">
        <v>18</v>
      </c>
      <c r="W31" s="1805">
        <f t="shared" si="14"/>
        <v>100</v>
      </c>
      <c r="X31" s="1743"/>
      <c r="Y31" s="324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44" t="s">
        <v>1924</v>
      </c>
      <c r="Q32" s="1803" t="str">
        <f t="shared" si="11"/>
        <v>建筑类型</v>
      </c>
      <c r="R32" s="1804" t="s">
        <v>18</v>
      </c>
      <c r="S32" s="1805">
        <f t="shared" si="12"/>
        <v>100</v>
      </c>
      <c r="T32" s="1804" t="s">
        <v>18</v>
      </c>
      <c r="U32" s="1805">
        <f t="shared" si="13"/>
        <v>100</v>
      </c>
      <c r="V32" s="1804" t="s">
        <v>18</v>
      </c>
      <c r="W32" s="1805">
        <f t="shared" si="14"/>
        <v>100</v>
      </c>
      <c r="X32" s="1743"/>
      <c r="Y32" s="324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45"/>
      <c r="Q33" s="1839" t="str">
        <f t="shared" si="11"/>
        <v>项目建筑规模</v>
      </c>
      <c r="R33" s="1840" t="s">
        <v>18</v>
      </c>
      <c r="S33" s="1841" t="e">
        <f t="shared" si="12"/>
        <v>#N/A</v>
      </c>
      <c r="T33" s="1840" t="s">
        <v>18</v>
      </c>
      <c r="U33" s="1841" t="e">
        <f t="shared" si="13"/>
        <v>#N/A</v>
      </c>
      <c r="V33" s="1840" t="s">
        <v>18</v>
      </c>
      <c r="W33" s="1841" t="e">
        <f t="shared" si="14"/>
        <v>#N/A</v>
      </c>
      <c r="X33" s="1842"/>
      <c r="Y33" s="324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45"/>
      <c r="Q34" s="1803" t="str">
        <f t="shared" si="11"/>
        <v>建筑结构</v>
      </c>
      <c r="R34" s="1804" t="s">
        <v>18</v>
      </c>
      <c r="S34" s="1805">
        <f t="shared" si="12"/>
        <v>100</v>
      </c>
      <c r="T34" s="1804" t="s">
        <v>18</v>
      </c>
      <c r="U34" s="1805">
        <f t="shared" si="13"/>
        <v>100</v>
      </c>
      <c r="V34" s="1804" t="s">
        <v>18</v>
      </c>
      <c r="W34" s="1805">
        <f t="shared" si="14"/>
        <v>100</v>
      </c>
      <c r="X34" s="1743"/>
      <c r="Y34" s="324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45"/>
      <c r="Q35" s="1803" t="str">
        <f t="shared" si="11"/>
        <v>建筑品质</v>
      </c>
      <c r="R35" s="1804" t="s">
        <v>18</v>
      </c>
      <c r="S35" s="1805">
        <f t="shared" si="12"/>
        <v>100</v>
      </c>
      <c r="T35" s="1804" t="s">
        <v>18</v>
      </c>
      <c r="U35" s="1805">
        <f t="shared" si="13"/>
        <v>100</v>
      </c>
      <c r="V35" s="1804" t="s">
        <v>18</v>
      </c>
      <c r="W35" s="1805">
        <f t="shared" si="14"/>
        <v>100</v>
      </c>
      <c r="X35" s="1743"/>
      <c r="Y35" s="324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45"/>
      <c r="Q36" s="1803" t="str">
        <f t="shared" si="11"/>
        <v>公共部分装修</v>
      </c>
      <c r="R36" s="1804" t="s">
        <v>18</v>
      </c>
      <c r="S36" s="1805">
        <f t="shared" si="12"/>
        <v>100</v>
      </c>
      <c r="T36" s="1804" t="s">
        <v>18</v>
      </c>
      <c r="U36" s="1805">
        <f t="shared" si="13"/>
        <v>100</v>
      </c>
      <c r="V36" s="1804" t="s">
        <v>18</v>
      </c>
      <c r="W36" s="1805">
        <f t="shared" si="14"/>
        <v>100</v>
      </c>
      <c r="X36" s="1743"/>
      <c r="Y36" s="324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45"/>
      <c r="Q37" s="1769" t="str">
        <f t="shared" si="11"/>
        <v>成新度</v>
      </c>
      <c r="R37" s="463" t="s">
        <v>18</v>
      </c>
      <c r="S37" s="1758" t="e">
        <f t="shared" si="12"/>
        <v>#N/A</v>
      </c>
      <c r="T37" s="463" t="s">
        <v>18</v>
      </c>
      <c r="U37" s="1758" t="e">
        <f t="shared" si="13"/>
        <v>#N/A</v>
      </c>
      <c r="V37" s="463" t="s">
        <v>18</v>
      </c>
      <c r="W37" s="1758" t="e">
        <f t="shared" si="14"/>
        <v>#N/A</v>
      </c>
      <c r="X37" s="1759"/>
      <c r="Y37" s="324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45" t="s">
        <v>1924</v>
      </c>
      <c r="Q38" s="1803" t="str">
        <f t="shared" si="11"/>
        <v>物业管理</v>
      </c>
      <c r="R38" s="1804" t="s">
        <v>18</v>
      </c>
      <c r="S38" s="1805">
        <f t="shared" si="12"/>
        <v>100</v>
      </c>
      <c r="T38" s="1804" t="s">
        <v>18</v>
      </c>
      <c r="U38" s="1805">
        <f t="shared" si="13"/>
        <v>100</v>
      </c>
      <c r="V38" s="1804" t="s">
        <v>18</v>
      </c>
      <c r="W38" s="1805">
        <f t="shared" si="14"/>
        <v>100</v>
      </c>
      <c r="X38" s="1743"/>
      <c r="Y38" s="324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45"/>
      <c r="Q39" s="1803" t="str">
        <f t="shared" si="11"/>
        <v>市政基础设施</v>
      </c>
      <c r="R39" s="1804" t="s">
        <v>18</v>
      </c>
      <c r="S39" s="1805">
        <f t="shared" si="12"/>
        <v>100</v>
      </c>
      <c r="T39" s="1804" t="s">
        <v>18</v>
      </c>
      <c r="U39" s="1805">
        <f t="shared" si="13"/>
        <v>100</v>
      </c>
      <c r="V39" s="1804" t="s">
        <v>18</v>
      </c>
      <c r="W39" s="1805">
        <f t="shared" si="14"/>
        <v>100</v>
      </c>
      <c r="X39" s="1743"/>
      <c r="Y39" s="324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45"/>
      <c r="Q40" s="1803" t="str">
        <f t="shared" si="11"/>
        <v>房型</v>
      </c>
      <c r="R40" s="1804" t="s">
        <v>18</v>
      </c>
      <c r="S40" s="1805">
        <f t="shared" si="12"/>
        <v>100</v>
      </c>
      <c r="T40" s="1804" t="s">
        <v>18</v>
      </c>
      <c r="U40" s="1805">
        <f t="shared" si="13"/>
        <v>100</v>
      </c>
      <c r="V40" s="1804" t="s">
        <v>18</v>
      </c>
      <c r="W40" s="1805">
        <f t="shared" si="14"/>
        <v>100</v>
      </c>
      <c r="X40" s="1743"/>
      <c r="Y40" s="3247"/>
      <c r="Z40" s="1806" t="str">
        <f t="shared" si="18"/>
        <v>房型</v>
      </c>
      <c r="AA40" s="1806">
        <f t="shared" si="15"/>
        <v>1</v>
      </c>
      <c r="AB40" s="1806">
        <f t="shared" si="16"/>
        <v>1</v>
      </c>
      <c r="AC40" s="1806">
        <f t="shared" si="17"/>
        <v>1</v>
      </c>
    </row>
    <row r="41" spans="1:29" s="1844" customFormat="1" ht="28.8">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45"/>
      <c r="Q41" s="1839" t="str">
        <f t="shared" si="11"/>
        <v>单套/主力户型建筑面积</v>
      </c>
      <c r="R41" s="1840" t="s">
        <v>18</v>
      </c>
      <c r="S41" s="1841">
        <f t="shared" si="12"/>
        <v>100</v>
      </c>
      <c r="T41" s="1840" t="s">
        <v>18</v>
      </c>
      <c r="U41" s="1841">
        <f t="shared" si="13"/>
        <v>100</v>
      </c>
      <c r="V41" s="1840" t="s">
        <v>18</v>
      </c>
      <c r="W41" s="1841">
        <f t="shared" si="14"/>
        <v>100</v>
      </c>
      <c r="X41" s="1842"/>
      <c r="Y41" s="324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45"/>
      <c r="Q42" s="1803" t="str">
        <f t="shared" si="11"/>
        <v>内部装修</v>
      </c>
      <c r="R42" s="1804" t="s">
        <v>18</v>
      </c>
      <c r="S42" s="1805">
        <f t="shared" si="12"/>
        <v>100</v>
      </c>
      <c r="T42" s="1804" t="s">
        <v>18</v>
      </c>
      <c r="U42" s="1805">
        <f t="shared" si="13"/>
        <v>100</v>
      </c>
      <c r="V42" s="1804" t="s">
        <v>18</v>
      </c>
      <c r="W42" s="1805">
        <f t="shared" si="14"/>
        <v>100</v>
      </c>
      <c r="X42" s="1743"/>
      <c r="Y42" s="3247"/>
      <c r="Z42" s="1806" t="str">
        <f t="shared" si="18"/>
        <v>内部装修</v>
      </c>
      <c r="AA42" s="1806">
        <f t="shared" si="15"/>
        <v>1</v>
      </c>
      <c r="AB42" s="1806">
        <f t="shared" si="16"/>
        <v>1</v>
      </c>
      <c r="AC42" s="1806">
        <f t="shared" si="17"/>
        <v>1</v>
      </c>
    </row>
    <row r="43" spans="1:29" ht="28.8">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45"/>
      <c r="Q43" s="1803" t="str">
        <f t="shared" si="11"/>
        <v>内部装修维护情况</v>
      </c>
      <c r="R43" s="1804" t="s">
        <v>18</v>
      </c>
      <c r="S43" s="1805">
        <f t="shared" si="12"/>
        <v>100</v>
      </c>
      <c r="T43" s="1804" t="s">
        <v>18</v>
      </c>
      <c r="U43" s="1805">
        <f t="shared" si="13"/>
        <v>100</v>
      </c>
      <c r="V43" s="1804" t="s">
        <v>18</v>
      </c>
      <c r="W43" s="1805">
        <f t="shared" si="14"/>
        <v>100</v>
      </c>
      <c r="X43" s="1743"/>
      <c r="Y43" s="324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45"/>
      <c r="Q44" s="1769">
        <f t="shared" si="11"/>
        <v>111</v>
      </c>
      <c r="R44" s="463" t="s">
        <v>18</v>
      </c>
      <c r="S44" s="1758">
        <f t="shared" si="12"/>
        <v>100</v>
      </c>
      <c r="T44" s="463" t="s">
        <v>18</v>
      </c>
      <c r="U44" s="1758">
        <f t="shared" si="13"/>
        <v>100</v>
      </c>
      <c r="V44" s="463" t="s">
        <v>18</v>
      </c>
      <c r="W44" s="1758">
        <f t="shared" si="14"/>
        <v>100</v>
      </c>
      <c r="X44" s="1759"/>
      <c r="Y44" s="324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45"/>
      <c r="Q45" s="1803">
        <f t="shared" si="11"/>
        <v>111</v>
      </c>
      <c r="R45" s="1804" t="s">
        <v>18</v>
      </c>
      <c r="S45" s="1805">
        <f t="shared" si="12"/>
        <v>100</v>
      </c>
      <c r="T45" s="1804" t="s">
        <v>18</v>
      </c>
      <c r="U45" s="1805">
        <f t="shared" si="13"/>
        <v>100</v>
      </c>
      <c r="V45" s="1804" t="s">
        <v>18</v>
      </c>
      <c r="W45" s="1805">
        <f t="shared" si="14"/>
        <v>100</v>
      </c>
      <c r="X45" s="1743"/>
      <c r="Y45" s="3247"/>
      <c r="Z45" s="1806">
        <f t="shared" si="18"/>
        <v>111</v>
      </c>
      <c r="AA45" s="1806">
        <f t="shared" si="15"/>
        <v>1</v>
      </c>
      <c r="AB45" s="1806">
        <f t="shared" si="16"/>
        <v>1</v>
      </c>
      <c r="AC45" s="1806">
        <f t="shared" si="17"/>
        <v>1</v>
      </c>
    </row>
    <row r="46" spans="1:29" ht="15.6"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46"/>
      <c r="Q46" s="1803">
        <f t="shared" si="11"/>
        <v>111</v>
      </c>
      <c r="R46" s="1804" t="s">
        <v>17</v>
      </c>
      <c r="S46" s="1805">
        <f t="shared" si="12"/>
        <v>100</v>
      </c>
      <c r="T46" s="1804" t="s">
        <v>17</v>
      </c>
      <c r="U46" s="1805">
        <f t="shared" si="13"/>
        <v>100</v>
      </c>
      <c r="V46" s="1804" t="s">
        <v>17</v>
      </c>
      <c r="W46" s="1805">
        <f t="shared" si="14"/>
        <v>100</v>
      </c>
      <c r="X46" s="1743"/>
      <c r="Y46" s="3248"/>
      <c r="Z46" s="1806">
        <f t="shared" si="18"/>
        <v>111</v>
      </c>
      <c r="AA46" s="1806">
        <f t="shared" si="15"/>
        <v>1</v>
      </c>
      <c r="AB46" s="1806">
        <f t="shared" si="16"/>
        <v>1</v>
      </c>
      <c r="AC46" s="1806">
        <f t="shared" si="17"/>
        <v>1</v>
      </c>
    </row>
    <row r="47" spans="1:29" ht="14.4">
      <c r="A47" s="1849" t="s">
        <v>1936</v>
      </c>
      <c r="B47" s="1850"/>
      <c r="C47" s="1851" t="s">
        <v>16</v>
      </c>
      <c r="D47" s="1852"/>
      <c r="E47" s="1853"/>
      <c r="F47" s="1854"/>
      <c r="G47" s="1855"/>
      <c r="H47" s="1856"/>
      <c r="I47" s="1853"/>
      <c r="J47" s="1856"/>
      <c r="K47" s="1857"/>
      <c r="L47" s="1858"/>
      <c r="M47" s="1859"/>
      <c r="N47" s="1742"/>
      <c r="O47" s="1859"/>
      <c r="P47" s="3241" t="str">
        <f>A47</f>
        <v>成交单价（元/平方米）</v>
      </c>
      <c r="Q47" s="3241"/>
      <c r="R47" s="3236">
        <f>E47</f>
        <v>0</v>
      </c>
      <c r="S47" s="3236"/>
      <c r="T47" s="3236">
        <f>G47</f>
        <v>0</v>
      </c>
      <c r="U47" s="3236"/>
      <c r="V47" s="3236">
        <f>I47</f>
        <v>0</v>
      </c>
      <c r="W47" s="3236"/>
      <c r="X47" s="1860"/>
      <c r="Y47" s="1861"/>
      <c r="Z47" s="1860"/>
      <c r="AA47" s="1860"/>
      <c r="AB47" s="1860"/>
      <c r="AC47" s="1860"/>
    </row>
    <row r="48" spans="1:29" ht="1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41" t="str">
        <f>A48</f>
        <v>比较价值（元/平方米）</v>
      </c>
      <c r="Q48" s="3241"/>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1860"/>
      <c r="Y48" s="1860"/>
      <c r="Z48" s="1860"/>
      <c r="AA48" s="1860"/>
      <c r="AB48" s="1860"/>
      <c r="AC48" s="1860"/>
    </row>
    <row r="49" spans="1:29" ht="15" thickBot="1">
      <c r="A49" s="1869" t="s">
        <v>1938</v>
      </c>
      <c r="B49" s="1870"/>
      <c r="C49" s="1871" t="e">
        <f>R49</f>
        <v>#DIV/0!</v>
      </c>
      <c r="D49" s="1749"/>
      <c r="E49" s="1749"/>
      <c r="F49" s="1749"/>
      <c r="G49" s="1749"/>
      <c r="H49" s="1749"/>
      <c r="I49" s="1749"/>
      <c r="J49" s="1749"/>
      <c r="K49" s="1794"/>
      <c r="L49" s="1858"/>
      <c r="M49" s="1859"/>
      <c r="N49" s="1859"/>
      <c r="O49" s="1859"/>
      <c r="P49" s="3238" t="str">
        <f>A49</f>
        <v>估价对象XX用房的比较价值（楼面单价，元/平方米）</v>
      </c>
      <c r="Q49" s="3239"/>
      <c r="R49" s="3240" t="e">
        <f>IF(F1="售价",ROUND(IF(D48="简单平均",AVERAGE(R48:V48),R48*F48+T48*H48+V48*J48),0),ROUND(IF(D48="简单平均",AVERAGE(R48:V48),R48*F48+T48*H48+V48*J48),1))</f>
        <v>#DIV/0!</v>
      </c>
      <c r="S49" s="3240"/>
      <c r="T49" s="3240"/>
      <c r="U49" s="3240"/>
      <c r="V49" s="3240"/>
      <c r="W49" s="324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2.2"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4.4">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c r="A59" s="1892"/>
      <c r="B59" s="1893"/>
      <c r="C59" s="1894">
        <v>100</v>
      </c>
      <c r="D59" s="1895"/>
      <c r="E59" s="1896"/>
      <c r="F59" s="1896"/>
      <c r="G59" s="1896"/>
      <c r="H59" s="1896"/>
      <c r="I59" s="1896"/>
      <c r="J59" s="1896"/>
      <c r="K59" s="1896"/>
      <c r="L59" s="1896"/>
      <c r="M59" s="1784"/>
      <c r="N59" s="1896"/>
      <c r="O59" s="1784"/>
      <c r="P59" s="1897"/>
    </row>
    <row r="60" spans="1:29" s="1760" customFormat="1" ht="1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4.4">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4.4" thickBot="1">
      <c r="A62" s="1902"/>
      <c r="B62" s="1903"/>
      <c r="C62" s="1895">
        <v>100</v>
      </c>
      <c r="D62" s="1896"/>
      <c r="E62" s="1896"/>
      <c r="F62" s="1896"/>
      <c r="G62" s="1896"/>
      <c r="H62" s="1896"/>
      <c r="I62" s="1896"/>
      <c r="J62" s="1896"/>
      <c r="K62" s="1896"/>
      <c r="L62" s="1896"/>
      <c r="M62" s="1910"/>
      <c r="N62" s="1908"/>
      <c r="O62" s="1908"/>
      <c r="P62" s="1897"/>
      <c r="Q62" s="1886"/>
    </row>
    <row r="63" spans="1:29" ht="14.4">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4.4" thickBot="1">
      <c r="A64" s="1779"/>
      <c r="B64" s="1918"/>
      <c r="C64" s="1919">
        <v>100</v>
      </c>
      <c r="D64" s="1919"/>
      <c r="E64" s="1919"/>
      <c r="F64" s="1919"/>
      <c r="G64" s="1919"/>
      <c r="H64" s="1919"/>
      <c r="I64" s="1919"/>
      <c r="J64" s="1919"/>
      <c r="K64" s="1919"/>
      <c r="L64" s="1919"/>
      <c r="M64" s="1920"/>
      <c r="N64" s="1921"/>
      <c r="O64" s="1921"/>
      <c r="P64" s="1897"/>
      <c r="Q64" s="1886"/>
    </row>
    <row r="65" spans="1:17" ht="29.4"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4.4"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c r="A68" s="1779"/>
      <c r="B68" s="1932"/>
      <c r="C68" s="1933"/>
      <c r="D68" s="1933"/>
      <c r="E68" s="1933"/>
      <c r="F68" s="1933"/>
      <c r="G68" s="1933"/>
      <c r="H68" s="1933"/>
      <c r="I68" s="1933"/>
      <c r="J68" s="1933"/>
      <c r="K68" s="1934"/>
      <c r="L68" s="1935"/>
      <c r="M68" s="1936"/>
      <c r="N68" s="1917"/>
      <c r="O68" s="1917"/>
      <c r="P68" s="1897"/>
      <c r="Q68" s="1886"/>
    </row>
    <row r="69" spans="1:17" ht="14.4"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4.4"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4.4" thickBot="1">
      <c r="A71" s="1937"/>
      <c r="B71" s="1927"/>
      <c r="C71" s="1945"/>
      <c r="D71" s="1919"/>
      <c r="E71" s="1919"/>
      <c r="F71" s="1919"/>
      <c r="G71" s="1919"/>
      <c r="H71" s="1919"/>
      <c r="I71" s="1919"/>
      <c r="J71" s="1919"/>
      <c r="K71" s="1919"/>
      <c r="L71" s="1919"/>
      <c r="M71" s="1920"/>
      <c r="N71" s="1921"/>
      <c r="O71" s="1921"/>
      <c r="P71" s="1943"/>
      <c r="Q71" s="1944"/>
    </row>
    <row r="72" spans="1:17" s="1844" customFormat="1" ht="14.4"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4.4" thickBot="1">
      <c r="A73" s="1937"/>
      <c r="B73" s="1927"/>
      <c r="C73" s="1945"/>
      <c r="D73" s="1945"/>
      <c r="E73" s="1945"/>
      <c r="F73" s="1945"/>
      <c r="G73" s="1945"/>
      <c r="H73" s="1948"/>
      <c r="I73" s="1948"/>
      <c r="J73" s="1948"/>
      <c r="K73" s="1948"/>
      <c r="L73" s="1948"/>
      <c r="M73" s="1949"/>
      <c r="N73" s="1942"/>
      <c r="O73" s="1942"/>
      <c r="P73" s="1943"/>
      <c r="Q73" s="1944"/>
    </row>
    <row r="74" spans="1:17" s="1844" customFormat="1" ht="14.4"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4.4" thickBot="1">
      <c r="A75" s="1954"/>
      <c r="B75" s="1955"/>
      <c r="C75" s="1956"/>
      <c r="D75" s="1956"/>
      <c r="E75" s="1956"/>
      <c r="F75" s="1956"/>
      <c r="G75" s="1956"/>
      <c r="H75" s="1957"/>
      <c r="I75" s="1957"/>
      <c r="J75" s="1957"/>
      <c r="K75" s="1957"/>
      <c r="L75" s="1957"/>
      <c r="M75" s="1958"/>
      <c r="N75" s="1942"/>
      <c r="O75" s="1942"/>
      <c r="P75" s="1943"/>
      <c r="Q75" s="1944"/>
    </row>
    <row r="76" spans="1:17" ht="14.4">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4.4"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4.4"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4.4"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4.4"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4.4"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4.4"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4.4"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4.4"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4.4" thickBot="1">
      <c r="A91" s="1937"/>
      <c r="B91" s="1927"/>
      <c r="C91" s="1945"/>
      <c r="D91" s="1945"/>
      <c r="E91" s="1945"/>
      <c r="F91" s="1945"/>
      <c r="G91" s="1945"/>
      <c r="H91" s="1948"/>
      <c r="I91" s="1948"/>
      <c r="J91" s="1948"/>
      <c r="K91" s="1948"/>
      <c r="L91" s="1948"/>
      <c r="M91" s="1949"/>
      <c r="N91" s="1942"/>
      <c r="O91" s="1942"/>
      <c r="P91" s="1943"/>
      <c r="Q91" s="1944"/>
    </row>
    <row r="92" spans="1:17" ht="14.4" thickTop="1">
      <c r="A92" s="1779"/>
      <c r="B92" s="1922">
        <f>B28</f>
        <v>111</v>
      </c>
      <c r="C92" s="1938"/>
      <c r="D92" s="1938"/>
      <c r="E92" s="1938"/>
      <c r="F92" s="1938"/>
      <c r="G92" s="1970"/>
      <c r="H92" s="1970"/>
      <c r="I92" s="1970"/>
      <c r="J92" s="1970"/>
      <c r="K92" s="1971"/>
      <c r="L92" s="1972"/>
      <c r="M92" s="1973"/>
      <c r="N92" s="1917"/>
      <c r="O92" s="1917"/>
      <c r="P92" s="1897"/>
      <c r="Q92" s="1886"/>
    </row>
    <row r="93" spans="1:17" ht="14.4" thickBot="1">
      <c r="A93" s="1779"/>
      <c r="B93" s="1927"/>
      <c r="C93" s="1945"/>
      <c r="D93" s="1919"/>
      <c r="E93" s="1919"/>
      <c r="F93" s="1919"/>
      <c r="G93" s="1919"/>
      <c r="H93" s="1919"/>
      <c r="I93" s="1919"/>
      <c r="J93" s="1919"/>
      <c r="K93" s="1919"/>
      <c r="L93" s="1919"/>
      <c r="M93" s="1920"/>
      <c r="N93" s="1921"/>
      <c r="O93" s="1921"/>
      <c r="P93" s="1897"/>
      <c r="Q93" s="1886"/>
    </row>
    <row r="94" spans="1:17" ht="14.4" thickTop="1">
      <c r="A94" s="1779"/>
      <c r="B94" s="1922">
        <f>B29</f>
        <v>111</v>
      </c>
      <c r="C94" s="1938"/>
      <c r="D94" s="1938"/>
      <c r="E94" s="1938"/>
      <c r="F94" s="1938"/>
      <c r="G94" s="1970"/>
      <c r="H94" s="1970"/>
      <c r="I94" s="1970"/>
      <c r="J94" s="1970"/>
      <c r="K94" s="1971"/>
      <c r="L94" s="1972"/>
      <c r="M94" s="1973"/>
      <c r="N94" s="1917"/>
      <c r="O94" s="1917"/>
      <c r="P94" s="1897"/>
      <c r="Q94" s="1886"/>
    </row>
    <row r="95" spans="1:17" ht="14.4" thickBot="1">
      <c r="A95" s="1779"/>
      <c r="B95" s="1927"/>
      <c r="C95" s="1945"/>
      <c r="D95" s="1945"/>
      <c r="E95" s="1945"/>
      <c r="F95" s="1945"/>
      <c r="G95" s="1919"/>
      <c r="H95" s="1919"/>
      <c r="I95" s="1919"/>
      <c r="J95" s="1919"/>
      <c r="K95" s="1919"/>
      <c r="L95" s="1919"/>
      <c r="M95" s="1920"/>
      <c r="N95" s="1921"/>
      <c r="O95" s="1921"/>
      <c r="P95" s="1897"/>
      <c r="Q95" s="1886"/>
    </row>
    <row r="96" spans="1:17" ht="14.4" thickTop="1">
      <c r="A96" s="1779"/>
      <c r="B96" s="1922">
        <f>B30</f>
        <v>111</v>
      </c>
      <c r="C96" s="1938"/>
      <c r="D96" s="1938"/>
      <c r="E96" s="1938"/>
      <c r="F96" s="1938"/>
      <c r="G96" s="1970"/>
      <c r="H96" s="1970"/>
      <c r="I96" s="1970"/>
      <c r="J96" s="1970"/>
      <c r="K96" s="1971"/>
      <c r="L96" s="1972"/>
      <c r="M96" s="1973"/>
      <c r="N96" s="1917"/>
      <c r="O96" s="1917"/>
      <c r="P96" s="1897"/>
      <c r="Q96" s="1886"/>
    </row>
    <row r="97" spans="1:17" ht="14.4" thickBot="1">
      <c r="A97" s="1779"/>
      <c r="B97" s="1927"/>
      <c r="C97" s="1956"/>
      <c r="D97" s="1956"/>
      <c r="E97" s="1956"/>
      <c r="F97" s="1956"/>
      <c r="G97" s="1919"/>
      <c r="H97" s="1919"/>
      <c r="I97" s="1919"/>
      <c r="J97" s="1919"/>
      <c r="K97" s="1919"/>
      <c r="L97" s="1919"/>
      <c r="M97" s="1920"/>
      <c r="N97" s="1921"/>
      <c r="O97" s="1921"/>
      <c r="P97" s="1897"/>
      <c r="Q97" s="1886"/>
    </row>
    <row r="98" spans="1:17" ht="14.4" thickTop="1">
      <c r="A98" s="1779"/>
      <c r="B98" s="1930">
        <f>B31</f>
        <v>111</v>
      </c>
      <c r="C98" s="1974"/>
      <c r="D98" s="1974"/>
      <c r="E98" s="1974"/>
      <c r="F98" s="1974"/>
      <c r="G98" s="1974"/>
      <c r="H98" s="1974"/>
      <c r="I98" s="1974"/>
      <c r="J98" s="1974"/>
      <c r="K98" s="1975"/>
      <c r="L98" s="1976"/>
      <c r="M98" s="1977"/>
      <c r="N98" s="1917"/>
      <c r="O98" s="1917"/>
      <c r="P98" s="1897"/>
      <c r="Q98" s="1886"/>
    </row>
    <row r="99" spans="1:17" ht="14.4" thickBot="1">
      <c r="A99" s="1791"/>
      <c r="B99" s="1955"/>
      <c r="C99" s="1978"/>
      <c r="D99" s="1978"/>
      <c r="E99" s="1978"/>
      <c r="F99" s="1978"/>
      <c r="G99" s="1978"/>
      <c r="H99" s="1978"/>
      <c r="I99" s="1978"/>
      <c r="J99" s="1978"/>
      <c r="K99" s="1978"/>
      <c r="L99" s="1978"/>
      <c r="M99" s="1979"/>
      <c r="N99" s="1921"/>
      <c r="O99" s="1921"/>
      <c r="P99" s="1897"/>
      <c r="Q99" s="1886"/>
    </row>
    <row r="100" spans="1:17" ht="14.4">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4.4"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4.4"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4.4"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4.4"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4.4"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4.4"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4.4"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4.4"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4.4"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9.4"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4.4"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4.4"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29.4"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4.4"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4.4"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4.4" thickBot="1">
      <c r="A127" s="1937"/>
      <c r="B127" s="1927"/>
      <c r="C127" s="1945"/>
      <c r="D127" s="1919"/>
      <c r="E127" s="1919"/>
      <c r="F127" s="1919"/>
      <c r="G127" s="1945"/>
      <c r="H127" s="1948"/>
      <c r="I127" s="1948"/>
      <c r="J127" s="1948"/>
      <c r="K127" s="1948"/>
      <c r="L127" s="1948"/>
      <c r="M127" s="1949"/>
      <c r="N127" s="1942"/>
      <c r="O127" s="1942"/>
      <c r="P127" s="1943"/>
      <c r="Q127" s="1944"/>
    </row>
    <row r="128" spans="1:17" ht="14.4"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4.4" thickBot="1">
      <c r="A129" s="1779"/>
      <c r="B129" s="1927"/>
      <c r="C129" s="1945"/>
      <c r="D129" s="1945"/>
      <c r="E129" s="1945"/>
      <c r="F129" s="1945"/>
      <c r="G129" s="1919"/>
      <c r="H129" s="1919"/>
      <c r="I129" s="1919"/>
      <c r="J129" s="1919"/>
      <c r="K129" s="1919"/>
      <c r="L129" s="1919"/>
      <c r="M129" s="1920"/>
      <c r="N129" s="1921"/>
      <c r="O129" s="1921"/>
      <c r="P129" s="1897"/>
      <c r="Q129" s="1886"/>
    </row>
    <row r="130" spans="1:17" ht="14.4"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4.4"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6.2"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ht="14.4">
      <c r="B147" s="1992" t="s">
        <v>1999</v>
      </c>
    </row>
    <row r="148" spans="2:11" ht="14.4">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5.10937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872"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4.4">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11" t="s">
        <v>2006</v>
      </c>
      <c r="S4" s="3212"/>
      <c r="T4" s="3211" t="s">
        <v>2007</v>
      </c>
      <c r="U4" s="3212"/>
      <c r="V4" s="3236" t="s">
        <v>2008</v>
      </c>
      <c r="W4" s="3236"/>
      <c r="X4" s="1743"/>
      <c r="Y4" s="3211" t="s">
        <v>2010</v>
      </c>
      <c r="Z4" s="3212"/>
      <c r="AA4" s="3206" t="s">
        <v>2006</v>
      </c>
      <c r="AB4" s="3236" t="s">
        <v>2007</v>
      </c>
      <c r="AC4" s="3206" t="s">
        <v>2008</v>
      </c>
    </row>
    <row r="5" spans="1:29">
      <c r="A5" s="1745"/>
      <c r="B5" s="1746"/>
      <c r="C5" s="3217" t="s">
        <v>1901</v>
      </c>
      <c r="D5" s="3218"/>
      <c r="E5" s="3215" t="s">
        <v>1902</v>
      </c>
      <c r="F5" s="3216"/>
      <c r="G5" s="3217" t="s">
        <v>1903</v>
      </c>
      <c r="H5" s="3218"/>
      <c r="I5" s="3217" t="s">
        <v>1904</v>
      </c>
      <c r="J5" s="3218"/>
      <c r="K5" s="2042"/>
      <c r="L5" s="1741"/>
      <c r="M5" s="1742"/>
      <c r="N5" s="1742"/>
      <c r="O5" s="1742"/>
      <c r="P5" s="3230"/>
      <c r="Q5" s="3231"/>
      <c r="R5" s="3213"/>
      <c r="S5" s="3214"/>
      <c r="T5" s="3213"/>
      <c r="U5" s="3214"/>
      <c r="V5" s="3236"/>
      <c r="W5" s="3236"/>
      <c r="X5" s="1743"/>
      <c r="Y5" s="3213"/>
      <c r="Z5" s="3214"/>
      <c r="AA5" s="3207"/>
      <c r="AB5" s="3236"/>
      <c r="AC5" s="3207"/>
    </row>
    <row r="6" spans="1:29" ht="15" thickBot="1">
      <c r="A6" s="1748"/>
      <c r="B6" s="1749"/>
      <c r="C6" s="3219" t="s">
        <v>1905</v>
      </c>
      <c r="D6" s="3220"/>
      <c r="E6" s="3221" t="s">
        <v>1905</v>
      </c>
      <c r="F6" s="3222"/>
      <c r="G6" s="3219" t="s">
        <v>1905</v>
      </c>
      <c r="H6" s="3220"/>
      <c r="I6" s="3219" t="s">
        <v>1905</v>
      </c>
      <c r="J6" s="3220"/>
      <c r="K6" s="2042" t="s">
        <v>1906</v>
      </c>
      <c r="L6" s="1741"/>
      <c r="M6" s="1742"/>
      <c r="N6" s="1742"/>
      <c r="O6" s="1742"/>
      <c r="P6" s="3232"/>
      <c r="Q6" s="3233"/>
      <c r="R6" s="3213"/>
      <c r="S6" s="3214"/>
      <c r="T6" s="3234"/>
      <c r="U6" s="3235"/>
      <c r="V6" s="3236"/>
      <c r="W6" s="3236"/>
      <c r="X6" s="1743"/>
      <c r="Y6" s="3234"/>
      <c r="Z6" s="3235"/>
      <c r="AA6" s="3208"/>
      <c r="AB6" s="3236"/>
      <c r="AC6" s="3208"/>
    </row>
    <row r="7" spans="1:29" s="1760" customFormat="1" ht="15" thickBot="1">
      <c r="A7" s="1750" t="s">
        <v>1907</v>
      </c>
      <c r="B7" s="1751"/>
      <c r="C7" s="1752">
        <f>'数据-取费表'!B2</f>
        <v>44889</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09" t="s">
        <v>1908</v>
      </c>
      <c r="Q7" s="3237"/>
      <c r="R7" s="463" t="s">
        <v>14</v>
      </c>
      <c r="S7" s="1758">
        <f t="shared" ref="S7:S15" si="0">F7</f>
        <v>0</v>
      </c>
      <c r="T7" s="463" t="s">
        <v>14</v>
      </c>
      <c r="U7" s="1758">
        <f t="shared" ref="U7:U15" si="1">H7</f>
        <v>0</v>
      </c>
      <c r="V7" s="463" t="s">
        <v>14</v>
      </c>
      <c r="W7" s="1758">
        <f t="shared" ref="W7:W15" si="2">J7</f>
        <v>0</v>
      </c>
      <c r="X7" s="1759"/>
      <c r="Y7" s="3209" t="s">
        <v>1908</v>
      </c>
      <c r="Z7" s="3210"/>
      <c r="AA7" s="469" t="e">
        <f>D7/F7</f>
        <v>#DIV/0!</v>
      </c>
      <c r="AB7" s="469" t="e">
        <f>D7/H7</f>
        <v>#DIV/0!</v>
      </c>
      <c r="AC7" s="469" t="e">
        <f>D7/J7</f>
        <v>#DIV/0!</v>
      </c>
    </row>
    <row r="8" spans="1:29" s="1760" customFormat="1" ht="1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09" t="s">
        <v>1911</v>
      </c>
      <c r="Q8" s="3210"/>
      <c r="R8" s="463" t="s">
        <v>14</v>
      </c>
      <c r="S8" s="1758">
        <f t="shared" si="0"/>
        <v>0</v>
      </c>
      <c r="T8" s="463" t="s">
        <v>14</v>
      </c>
      <c r="U8" s="1758">
        <f t="shared" si="1"/>
        <v>0</v>
      </c>
      <c r="V8" s="463" t="s">
        <v>14</v>
      </c>
      <c r="W8" s="1758">
        <f t="shared" si="2"/>
        <v>0</v>
      </c>
      <c r="X8" s="1759"/>
      <c r="Y8" s="3209" t="s">
        <v>1911</v>
      </c>
      <c r="Z8" s="3210"/>
      <c r="AA8" s="469" t="e">
        <f t="shared" ref="AA8:AA46" si="3">D8/F8</f>
        <v>#DIV/0!</v>
      </c>
      <c r="AB8" s="469" t="e">
        <f t="shared" ref="AB8:AB46" si="4">D8/H8</f>
        <v>#DIV/0!</v>
      </c>
      <c r="AC8" s="469" t="e">
        <f t="shared" ref="AC8:AC46" si="5">D8/J8</f>
        <v>#DIV/0!</v>
      </c>
    </row>
    <row r="9" spans="1:29" s="1760" customFormat="1" ht="14.4">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23" t="s">
        <v>1914</v>
      </c>
      <c r="Q9" s="1769" t="str">
        <f t="shared" ref="Q9:Q15" si="6">B9</f>
        <v>用途</v>
      </c>
      <c r="R9" s="463" t="s">
        <v>14</v>
      </c>
      <c r="S9" s="1758">
        <f t="shared" si="0"/>
        <v>100</v>
      </c>
      <c r="T9" s="463" t="s">
        <v>14</v>
      </c>
      <c r="U9" s="1758">
        <f t="shared" si="1"/>
        <v>100</v>
      </c>
      <c r="V9" s="463" t="s">
        <v>14</v>
      </c>
      <c r="W9" s="1758">
        <f t="shared" si="2"/>
        <v>100</v>
      </c>
      <c r="X9" s="1759"/>
      <c r="Y9" s="3153"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23"/>
      <c r="Q10" s="1769" t="str">
        <f t="shared" si="6"/>
        <v>土地使用年限（年）</v>
      </c>
      <c r="R10" s="463" t="s">
        <v>14</v>
      </c>
      <c r="S10" s="1758">
        <f t="shared" si="0"/>
        <v>100</v>
      </c>
      <c r="T10" s="463" t="s">
        <v>14</v>
      </c>
      <c r="U10" s="1758">
        <f t="shared" si="1"/>
        <v>100</v>
      </c>
      <c r="V10" s="463" t="s">
        <v>14</v>
      </c>
      <c r="W10" s="1758">
        <f t="shared" si="2"/>
        <v>100</v>
      </c>
      <c r="X10" s="1759"/>
      <c r="Y10" s="315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23"/>
      <c r="Q11" s="1769" t="str">
        <f t="shared" si="6"/>
        <v>容积率</v>
      </c>
      <c r="R11" s="463" t="s">
        <v>14</v>
      </c>
      <c r="S11" s="1758" t="e">
        <f t="shared" si="0"/>
        <v>#N/A</v>
      </c>
      <c r="T11" s="463" t="s">
        <v>14</v>
      </c>
      <c r="U11" s="1758" t="e">
        <f t="shared" si="1"/>
        <v>#N/A</v>
      </c>
      <c r="V11" s="463" t="s">
        <v>14</v>
      </c>
      <c r="W11" s="1758" t="e">
        <f t="shared" si="2"/>
        <v>#N/A</v>
      </c>
      <c r="X11" s="1759"/>
      <c r="Y11" s="315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23"/>
      <c r="Q12" s="1769">
        <f t="shared" si="6"/>
        <v>111</v>
      </c>
      <c r="R12" s="463" t="s">
        <v>14</v>
      </c>
      <c r="S12" s="1758">
        <f t="shared" si="0"/>
        <v>100</v>
      </c>
      <c r="T12" s="463" t="s">
        <v>14</v>
      </c>
      <c r="U12" s="1758">
        <f t="shared" si="1"/>
        <v>100</v>
      </c>
      <c r="V12" s="463" t="s">
        <v>14</v>
      </c>
      <c r="W12" s="1758">
        <f t="shared" si="2"/>
        <v>100</v>
      </c>
      <c r="X12" s="1759"/>
      <c r="Y12" s="315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23"/>
      <c r="Q13" s="1769">
        <f t="shared" si="6"/>
        <v>111</v>
      </c>
      <c r="R13" s="463" t="s">
        <v>14</v>
      </c>
      <c r="S13" s="1758">
        <f t="shared" si="0"/>
        <v>100</v>
      </c>
      <c r="T13" s="463" t="s">
        <v>14</v>
      </c>
      <c r="U13" s="1758">
        <f t="shared" si="1"/>
        <v>100</v>
      </c>
      <c r="V13" s="463" t="s">
        <v>14</v>
      </c>
      <c r="W13" s="1758">
        <f t="shared" si="2"/>
        <v>100</v>
      </c>
      <c r="X13" s="1759"/>
      <c r="Y13" s="3153"/>
      <c r="Z13" s="469">
        <f t="shared" si="7"/>
        <v>111</v>
      </c>
      <c r="AA13" s="469">
        <f t="shared" si="3"/>
        <v>1</v>
      </c>
      <c r="AB13" s="469">
        <f t="shared" si="4"/>
        <v>1</v>
      </c>
      <c r="AC13" s="469">
        <f t="shared" si="5"/>
        <v>1</v>
      </c>
    </row>
    <row r="14" spans="1:29" ht="15.6"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23"/>
      <c r="Q14" s="1769">
        <f t="shared" si="6"/>
        <v>111</v>
      </c>
      <c r="R14" s="463" t="s">
        <v>14</v>
      </c>
      <c r="S14" s="1758">
        <f t="shared" si="0"/>
        <v>100</v>
      </c>
      <c r="T14" s="463" t="s">
        <v>14</v>
      </c>
      <c r="U14" s="1758">
        <f t="shared" si="1"/>
        <v>100</v>
      </c>
      <c r="V14" s="463" t="s">
        <v>14</v>
      </c>
      <c r="W14" s="1758">
        <f t="shared" si="2"/>
        <v>100</v>
      </c>
      <c r="X14" s="1759"/>
      <c r="Y14" s="3153"/>
      <c r="Z14" s="469">
        <f t="shared" si="7"/>
        <v>111</v>
      </c>
      <c r="AA14" s="469">
        <f t="shared" si="3"/>
        <v>1</v>
      </c>
      <c r="AB14" s="469">
        <f t="shared" si="4"/>
        <v>1</v>
      </c>
      <c r="AC14" s="469">
        <f t="shared" si="5"/>
        <v>1</v>
      </c>
    </row>
    <row r="15" spans="1:29" ht="69">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49" t="s">
        <v>1919</v>
      </c>
      <c r="Q15" s="1803" t="str">
        <f t="shared" si="6"/>
        <v>商业繁华度</v>
      </c>
      <c r="R15" s="1804" t="s">
        <v>14</v>
      </c>
      <c r="S15" s="1805">
        <f t="shared" si="0"/>
        <v>100</v>
      </c>
      <c r="T15" s="1804" t="s">
        <v>14</v>
      </c>
      <c r="U15" s="1805">
        <f t="shared" si="1"/>
        <v>100</v>
      </c>
      <c r="V15" s="1804" t="s">
        <v>14</v>
      </c>
      <c r="W15" s="1805">
        <f t="shared" si="2"/>
        <v>100</v>
      </c>
      <c r="X15" s="1743"/>
      <c r="Y15" s="324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50"/>
      <c r="Q16" s="1803"/>
      <c r="R16" s="1804"/>
      <c r="S16" s="1805"/>
      <c r="T16" s="1804"/>
      <c r="U16" s="1805"/>
      <c r="V16" s="1804"/>
      <c r="W16" s="1805"/>
      <c r="X16" s="1743"/>
      <c r="Y16" s="3243"/>
      <c r="Z16" s="1806"/>
      <c r="AA16" s="1806">
        <v>1</v>
      </c>
      <c r="AB16" s="1806">
        <v>1</v>
      </c>
      <c r="AC16" s="1806">
        <v>1</v>
      </c>
    </row>
    <row r="17" spans="1:29" ht="82.8">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50"/>
      <c r="Q17" s="1803" t="str">
        <f>B17</f>
        <v>交通便捷度</v>
      </c>
      <c r="R17" s="1804" t="s">
        <v>14</v>
      </c>
      <c r="S17" s="1805">
        <f>F17</f>
        <v>100</v>
      </c>
      <c r="T17" s="1804" t="s">
        <v>14</v>
      </c>
      <c r="U17" s="1805">
        <f>H17</f>
        <v>100</v>
      </c>
      <c r="V17" s="1804" t="s">
        <v>14</v>
      </c>
      <c r="W17" s="1805">
        <f>J17</f>
        <v>100</v>
      </c>
      <c r="X17" s="1743"/>
      <c r="Y17" s="324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50"/>
      <c r="Q18" s="1803"/>
      <c r="R18" s="1804"/>
      <c r="S18" s="1805"/>
      <c r="T18" s="1804"/>
      <c r="U18" s="1805"/>
      <c r="V18" s="1804"/>
      <c r="W18" s="1805"/>
      <c r="X18" s="1743"/>
      <c r="Y18" s="3243"/>
      <c r="Z18" s="1806"/>
      <c r="AA18" s="1806">
        <v>1</v>
      </c>
      <c r="AB18" s="1806">
        <v>1</v>
      </c>
      <c r="AC18" s="1806">
        <v>1</v>
      </c>
    </row>
    <row r="19" spans="1:29" ht="41.4">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50"/>
      <c r="Q19" s="1803" t="str">
        <f>B19</f>
        <v>公共配套设施</v>
      </c>
      <c r="R19" s="1804" t="s">
        <v>14</v>
      </c>
      <c r="S19" s="1805">
        <f>F19</f>
        <v>100</v>
      </c>
      <c r="T19" s="1804" t="s">
        <v>14</v>
      </c>
      <c r="U19" s="1805">
        <f>H19</f>
        <v>100</v>
      </c>
      <c r="V19" s="1804" t="s">
        <v>14</v>
      </c>
      <c r="W19" s="1805">
        <f>J19</f>
        <v>100</v>
      </c>
      <c r="X19" s="1743"/>
      <c r="Y19" s="324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50"/>
      <c r="Q20" s="1803"/>
      <c r="R20" s="1804"/>
      <c r="S20" s="1805"/>
      <c r="T20" s="1804"/>
      <c r="U20" s="1805"/>
      <c r="V20" s="1804"/>
      <c r="W20" s="1805"/>
      <c r="X20" s="1743"/>
      <c r="Y20" s="3243"/>
      <c r="Z20" s="1806"/>
      <c r="AA20" s="1806">
        <v>1</v>
      </c>
      <c r="AB20" s="1806">
        <v>1</v>
      </c>
      <c r="AC20" s="1806">
        <v>1</v>
      </c>
    </row>
    <row r="21" spans="1:29" ht="27.6">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50"/>
      <c r="Q21" s="1803" t="str">
        <f>B21</f>
        <v>基础设施水平</v>
      </c>
      <c r="R21" s="1804" t="s">
        <v>14</v>
      </c>
      <c r="S21" s="1805">
        <f>F21</f>
        <v>100</v>
      </c>
      <c r="T21" s="1804" t="s">
        <v>14</v>
      </c>
      <c r="U21" s="1805">
        <f>H21</f>
        <v>100</v>
      </c>
      <c r="V21" s="1804" t="s">
        <v>14</v>
      </c>
      <c r="W21" s="1805">
        <f>J21</f>
        <v>100</v>
      </c>
      <c r="X21" s="1743"/>
      <c r="Y21" s="324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50"/>
      <c r="Q22" s="1803"/>
      <c r="R22" s="1804"/>
      <c r="S22" s="1805"/>
      <c r="T22" s="1804"/>
      <c r="U22" s="1805"/>
      <c r="V22" s="1804"/>
      <c r="W22" s="1805"/>
      <c r="X22" s="1743"/>
      <c r="Y22" s="3243"/>
      <c r="Z22" s="1806"/>
      <c r="AA22" s="1806">
        <v>1</v>
      </c>
      <c r="AB22" s="1806">
        <v>1</v>
      </c>
      <c r="AC22" s="1806">
        <v>1</v>
      </c>
    </row>
    <row r="23" spans="1:29" ht="55.2">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50"/>
      <c r="Q23" s="1803" t="str">
        <f>B23</f>
        <v>自然及人文环境</v>
      </c>
      <c r="R23" s="1804" t="s">
        <v>14</v>
      </c>
      <c r="S23" s="1805">
        <f>F23</f>
        <v>100</v>
      </c>
      <c r="T23" s="1804" t="s">
        <v>14</v>
      </c>
      <c r="U23" s="1805">
        <f>H23</f>
        <v>100</v>
      </c>
      <c r="V23" s="1804" t="s">
        <v>14</v>
      </c>
      <c r="W23" s="1805">
        <f>J23</f>
        <v>100</v>
      </c>
      <c r="X23" s="1743"/>
      <c r="Y23" s="324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50"/>
      <c r="Q24" s="1803"/>
      <c r="R24" s="1804"/>
      <c r="S24" s="1805"/>
      <c r="T24" s="1804"/>
      <c r="U24" s="1805"/>
      <c r="V24" s="1804"/>
      <c r="W24" s="1805"/>
      <c r="X24" s="1743"/>
      <c r="Y24" s="324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50"/>
      <c r="Q25" s="1803" t="str">
        <f t="shared" ref="Q25:Q46" si="11">B25</f>
        <v>临街状况</v>
      </c>
      <c r="R25" s="1804" t="s">
        <v>14</v>
      </c>
      <c r="S25" s="1805">
        <f>F25</f>
        <v>100</v>
      </c>
      <c r="T25" s="1804" t="s">
        <v>14</v>
      </c>
      <c r="U25" s="1805">
        <f>H25</f>
        <v>100</v>
      </c>
      <c r="V25" s="1804" t="s">
        <v>14</v>
      </c>
      <c r="W25" s="1805">
        <f>J25</f>
        <v>100</v>
      </c>
      <c r="X25" s="1743"/>
      <c r="Y25" s="324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50"/>
      <c r="Q26" s="1803" t="str">
        <f t="shared" si="11"/>
        <v>平面位置/可视性</v>
      </c>
      <c r="R26" s="1804" t="s">
        <v>14</v>
      </c>
      <c r="S26" s="1805">
        <f>F26</f>
        <v>100</v>
      </c>
      <c r="T26" s="1804" t="s">
        <v>14</v>
      </c>
      <c r="U26" s="1805">
        <f>H26</f>
        <v>100</v>
      </c>
      <c r="V26" s="1804" t="s">
        <v>14</v>
      </c>
      <c r="W26" s="1805">
        <f>J26</f>
        <v>100</v>
      </c>
      <c r="X26" s="1743"/>
      <c r="Y26" s="324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50"/>
      <c r="Q27" s="1769" t="str">
        <f t="shared" si="11"/>
        <v>人流量</v>
      </c>
      <c r="R27" s="463" t="s">
        <v>14</v>
      </c>
      <c r="S27" s="1758">
        <f>F27</f>
        <v>100</v>
      </c>
      <c r="T27" s="463" t="s">
        <v>14</v>
      </c>
      <c r="U27" s="1758">
        <f>H27</f>
        <v>100</v>
      </c>
      <c r="V27" s="463" t="s">
        <v>14</v>
      </c>
      <c r="W27" s="1758">
        <f>J27</f>
        <v>100</v>
      </c>
      <c r="X27" s="1759"/>
      <c r="Y27" s="324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5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4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50"/>
      <c r="Q29" s="1803">
        <f t="shared" si="11"/>
        <v>111</v>
      </c>
      <c r="R29" s="1804" t="s">
        <v>14</v>
      </c>
      <c r="S29" s="1805">
        <f t="shared" si="12"/>
        <v>100</v>
      </c>
      <c r="T29" s="1804" t="s">
        <v>14</v>
      </c>
      <c r="U29" s="1805">
        <f t="shared" si="13"/>
        <v>100</v>
      </c>
      <c r="V29" s="1804" t="s">
        <v>14</v>
      </c>
      <c r="W29" s="1805">
        <f t="shared" si="14"/>
        <v>100</v>
      </c>
      <c r="X29" s="1743"/>
      <c r="Y29" s="324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50"/>
      <c r="Q30" s="1803">
        <f t="shared" si="11"/>
        <v>111</v>
      </c>
      <c r="R30" s="1804" t="s">
        <v>14</v>
      </c>
      <c r="S30" s="1805">
        <f t="shared" si="12"/>
        <v>100</v>
      </c>
      <c r="T30" s="1804" t="s">
        <v>14</v>
      </c>
      <c r="U30" s="1805">
        <f t="shared" si="13"/>
        <v>100</v>
      </c>
      <c r="V30" s="1804" t="s">
        <v>14</v>
      </c>
      <c r="W30" s="1805">
        <f t="shared" si="14"/>
        <v>100</v>
      </c>
      <c r="X30" s="1743"/>
      <c r="Y30" s="3243"/>
      <c r="Z30" s="1806">
        <f t="shared" si="15"/>
        <v>111</v>
      </c>
      <c r="AA30" s="1806">
        <f t="shared" si="3"/>
        <v>1</v>
      </c>
      <c r="AB30" s="1806">
        <f t="shared" si="4"/>
        <v>1</v>
      </c>
      <c r="AC30" s="1806">
        <f t="shared" si="5"/>
        <v>1</v>
      </c>
    </row>
    <row r="31" spans="1:29" ht="15.6"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50"/>
      <c r="Q31" s="1803">
        <f t="shared" si="11"/>
        <v>111</v>
      </c>
      <c r="R31" s="1804" t="s">
        <v>14</v>
      </c>
      <c r="S31" s="1805">
        <f t="shared" si="12"/>
        <v>100</v>
      </c>
      <c r="T31" s="1804" t="s">
        <v>14</v>
      </c>
      <c r="U31" s="1805">
        <f t="shared" si="13"/>
        <v>100</v>
      </c>
      <c r="V31" s="1804" t="s">
        <v>14</v>
      </c>
      <c r="W31" s="1805">
        <f t="shared" si="14"/>
        <v>100</v>
      </c>
      <c r="X31" s="1743"/>
      <c r="Y31" s="324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44" t="s">
        <v>1924</v>
      </c>
      <c r="Q32" s="1803" t="str">
        <f t="shared" si="11"/>
        <v>商业类型</v>
      </c>
      <c r="R32" s="1804" t="s">
        <v>14</v>
      </c>
      <c r="S32" s="1805">
        <f t="shared" si="12"/>
        <v>100</v>
      </c>
      <c r="T32" s="1804" t="s">
        <v>14</v>
      </c>
      <c r="U32" s="1805">
        <f t="shared" si="13"/>
        <v>100</v>
      </c>
      <c r="V32" s="1804" t="s">
        <v>14</v>
      </c>
      <c r="W32" s="1805">
        <f t="shared" si="14"/>
        <v>100</v>
      </c>
      <c r="X32" s="1743"/>
      <c r="Y32" s="324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45"/>
      <c r="Q33" s="1839" t="str">
        <f t="shared" si="11"/>
        <v>项目建筑规模</v>
      </c>
      <c r="R33" s="1840" t="s">
        <v>14</v>
      </c>
      <c r="S33" s="1841" t="e">
        <f t="shared" si="12"/>
        <v>#N/A</v>
      </c>
      <c r="T33" s="1840" t="s">
        <v>14</v>
      </c>
      <c r="U33" s="1841" t="e">
        <f t="shared" si="13"/>
        <v>#N/A</v>
      </c>
      <c r="V33" s="1840" t="s">
        <v>14</v>
      </c>
      <c r="W33" s="1841" t="e">
        <f t="shared" si="14"/>
        <v>#N/A</v>
      </c>
      <c r="X33" s="1842"/>
      <c r="Y33" s="324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45"/>
      <c r="Q34" s="1803" t="str">
        <f t="shared" si="11"/>
        <v>建筑结构</v>
      </c>
      <c r="R34" s="1804" t="s">
        <v>14</v>
      </c>
      <c r="S34" s="1805">
        <f t="shared" si="12"/>
        <v>100</v>
      </c>
      <c r="T34" s="1804" t="s">
        <v>14</v>
      </c>
      <c r="U34" s="1805">
        <f t="shared" si="13"/>
        <v>100</v>
      </c>
      <c r="V34" s="1804" t="s">
        <v>14</v>
      </c>
      <c r="W34" s="1805">
        <f t="shared" si="14"/>
        <v>100</v>
      </c>
      <c r="X34" s="1743"/>
      <c r="Y34" s="324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45"/>
      <c r="Q35" s="1803" t="str">
        <f t="shared" si="11"/>
        <v>公共部分装修</v>
      </c>
      <c r="R35" s="1804" t="s">
        <v>14</v>
      </c>
      <c r="S35" s="1805">
        <f t="shared" si="12"/>
        <v>100</v>
      </c>
      <c r="T35" s="1804" t="s">
        <v>14</v>
      </c>
      <c r="U35" s="1805">
        <f t="shared" si="13"/>
        <v>100</v>
      </c>
      <c r="V35" s="1804" t="s">
        <v>14</v>
      </c>
      <c r="W35" s="1805">
        <f t="shared" si="14"/>
        <v>100</v>
      </c>
      <c r="X35" s="1743"/>
      <c r="Y35" s="324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45"/>
      <c r="Q36" s="1803" t="str">
        <f t="shared" si="11"/>
        <v>成新度</v>
      </c>
      <c r="R36" s="1804" t="s">
        <v>14</v>
      </c>
      <c r="S36" s="1805" t="e">
        <f t="shared" si="12"/>
        <v>#N/A</v>
      </c>
      <c r="T36" s="1804" t="s">
        <v>14</v>
      </c>
      <c r="U36" s="1805" t="e">
        <f t="shared" si="13"/>
        <v>#N/A</v>
      </c>
      <c r="V36" s="1804" t="s">
        <v>14</v>
      </c>
      <c r="W36" s="1805" t="e">
        <f t="shared" si="14"/>
        <v>#N/A</v>
      </c>
      <c r="X36" s="1743"/>
      <c r="Y36" s="324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45"/>
      <c r="Q37" s="1769" t="str">
        <f t="shared" si="11"/>
        <v>市政基础设施</v>
      </c>
      <c r="R37" s="463" t="s">
        <v>14</v>
      </c>
      <c r="S37" s="1758">
        <f t="shared" si="12"/>
        <v>100</v>
      </c>
      <c r="T37" s="463" t="s">
        <v>14</v>
      </c>
      <c r="U37" s="1758">
        <f t="shared" si="13"/>
        <v>100</v>
      </c>
      <c r="V37" s="463" t="s">
        <v>14</v>
      </c>
      <c r="W37" s="1758">
        <f t="shared" si="14"/>
        <v>100</v>
      </c>
      <c r="X37" s="1759"/>
      <c r="Y37" s="324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45" t="s">
        <v>1924</v>
      </c>
      <c r="Q38" s="1803" t="str">
        <f t="shared" si="11"/>
        <v>业态</v>
      </c>
      <c r="R38" s="1804" t="s">
        <v>14</v>
      </c>
      <c r="S38" s="1805">
        <f t="shared" si="12"/>
        <v>100</v>
      </c>
      <c r="T38" s="1804" t="s">
        <v>14</v>
      </c>
      <c r="U38" s="1805">
        <f t="shared" si="13"/>
        <v>100</v>
      </c>
      <c r="V38" s="1804" t="s">
        <v>14</v>
      </c>
      <c r="W38" s="1805">
        <f t="shared" si="14"/>
        <v>100</v>
      </c>
      <c r="X38" s="1743"/>
      <c r="Y38" s="324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45"/>
      <c r="Q39" s="1803" t="str">
        <f t="shared" si="11"/>
        <v>层高</v>
      </c>
      <c r="R39" s="1804" t="s">
        <v>14</v>
      </c>
      <c r="S39" s="1805">
        <f t="shared" si="12"/>
        <v>100</v>
      </c>
      <c r="T39" s="1804" t="s">
        <v>14</v>
      </c>
      <c r="U39" s="1805">
        <f t="shared" si="13"/>
        <v>100</v>
      </c>
      <c r="V39" s="1804" t="s">
        <v>14</v>
      </c>
      <c r="W39" s="1805">
        <f t="shared" si="14"/>
        <v>100</v>
      </c>
      <c r="X39" s="1743"/>
      <c r="Y39" s="324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45"/>
      <c r="Q40" s="1803" t="str">
        <f t="shared" si="11"/>
        <v>单套建筑面积</v>
      </c>
      <c r="R40" s="1804" t="s">
        <v>14</v>
      </c>
      <c r="S40" s="1805">
        <f t="shared" si="12"/>
        <v>100</v>
      </c>
      <c r="T40" s="1804" t="s">
        <v>14</v>
      </c>
      <c r="U40" s="1805">
        <f t="shared" si="13"/>
        <v>100</v>
      </c>
      <c r="V40" s="1804" t="s">
        <v>14</v>
      </c>
      <c r="W40" s="1805">
        <f t="shared" si="14"/>
        <v>100</v>
      </c>
      <c r="X40" s="1743"/>
      <c r="Y40" s="324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45"/>
      <c r="Q41" s="1839" t="str">
        <f t="shared" si="11"/>
        <v>进深比</v>
      </c>
      <c r="R41" s="1840" t="s">
        <v>14</v>
      </c>
      <c r="S41" s="1841">
        <f t="shared" si="12"/>
        <v>100</v>
      </c>
      <c r="T41" s="1840" t="s">
        <v>14</v>
      </c>
      <c r="U41" s="1841">
        <f t="shared" si="13"/>
        <v>100</v>
      </c>
      <c r="V41" s="1840" t="s">
        <v>14</v>
      </c>
      <c r="W41" s="1841">
        <f t="shared" si="14"/>
        <v>100</v>
      </c>
      <c r="X41" s="1842"/>
      <c r="Y41" s="324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45"/>
      <c r="Q42" s="1803" t="str">
        <f t="shared" si="11"/>
        <v>内部装修</v>
      </c>
      <c r="R42" s="1804" t="s">
        <v>14</v>
      </c>
      <c r="S42" s="1805">
        <f t="shared" si="12"/>
        <v>100</v>
      </c>
      <c r="T42" s="1804" t="s">
        <v>14</v>
      </c>
      <c r="U42" s="1805">
        <f t="shared" si="13"/>
        <v>100</v>
      </c>
      <c r="V42" s="1804" t="s">
        <v>14</v>
      </c>
      <c r="W42" s="1805">
        <f t="shared" si="14"/>
        <v>100</v>
      </c>
      <c r="X42" s="1743"/>
      <c r="Y42" s="3247"/>
      <c r="Z42" s="1806" t="str">
        <f t="shared" si="15"/>
        <v>内部装修</v>
      </c>
      <c r="AA42" s="1806">
        <f t="shared" si="3"/>
        <v>1</v>
      </c>
      <c r="AB42" s="1806">
        <f t="shared" si="4"/>
        <v>1</v>
      </c>
      <c r="AC42" s="1806">
        <f t="shared" si="5"/>
        <v>1</v>
      </c>
    </row>
    <row r="43" spans="1:29" ht="28.8">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45"/>
      <c r="Q43" s="1803" t="str">
        <f t="shared" si="11"/>
        <v>内部装修维护情况</v>
      </c>
      <c r="R43" s="1804" t="s">
        <v>14</v>
      </c>
      <c r="S43" s="1805">
        <f t="shared" si="12"/>
        <v>100</v>
      </c>
      <c r="T43" s="1804" t="s">
        <v>14</v>
      </c>
      <c r="U43" s="1805">
        <f t="shared" si="13"/>
        <v>100</v>
      </c>
      <c r="V43" s="1804" t="s">
        <v>14</v>
      </c>
      <c r="W43" s="1805">
        <f t="shared" si="14"/>
        <v>100</v>
      </c>
      <c r="X43" s="1743"/>
      <c r="Y43" s="324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45"/>
      <c r="Q44" s="1769">
        <f t="shared" si="11"/>
        <v>111</v>
      </c>
      <c r="R44" s="463" t="s">
        <v>14</v>
      </c>
      <c r="S44" s="1758">
        <f t="shared" si="12"/>
        <v>100</v>
      </c>
      <c r="T44" s="463" t="s">
        <v>14</v>
      </c>
      <c r="U44" s="1758">
        <f t="shared" si="13"/>
        <v>100</v>
      </c>
      <c r="V44" s="463" t="s">
        <v>14</v>
      </c>
      <c r="W44" s="1758">
        <f t="shared" si="14"/>
        <v>100</v>
      </c>
      <c r="X44" s="1759"/>
      <c r="Y44" s="324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45"/>
      <c r="Q45" s="1803">
        <f t="shared" si="11"/>
        <v>111</v>
      </c>
      <c r="R45" s="1804" t="s">
        <v>14</v>
      </c>
      <c r="S45" s="1805">
        <f t="shared" si="12"/>
        <v>100</v>
      </c>
      <c r="T45" s="1804" t="s">
        <v>14</v>
      </c>
      <c r="U45" s="1805">
        <f t="shared" si="13"/>
        <v>100</v>
      </c>
      <c r="V45" s="1804" t="s">
        <v>14</v>
      </c>
      <c r="W45" s="1805">
        <f t="shared" si="14"/>
        <v>100</v>
      </c>
      <c r="X45" s="1743"/>
      <c r="Y45" s="3247"/>
      <c r="Z45" s="1806">
        <f t="shared" si="15"/>
        <v>111</v>
      </c>
      <c r="AA45" s="1806">
        <f t="shared" si="3"/>
        <v>1</v>
      </c>
      <c r="AB45" s="1806">
        <f t="shared" si="4"/>
        <v>1</v>
      </c>
      <c r="AC45" s="1806">
        <f t="shared" si="5"/>
        <v>1</v>
      </c>
    </row>
    <row r="46" spans="1:29" ht="15.6"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46"/>
      <c r="Q46" s="1803">
        <f t="shared" si="11"/>
        <v>111</v>
      </c>
      <c r="R46" s="1804" t="s">
        <v>14</v>
      </c>
      <c r="S46" s="1805">
        <f t="shared" si="12"/>
        <v>100</v>
      </c>
      <c r="T46" s="1804" t="s">
        <v>14</v>
      </c>
      <c r="U46" s="1805">
        <f t="shared" si="13"/>
        <v>100</v>
      </c>
      <c r="V46" s="1804" t="s">
        <v>14</v>
      </c>
      <c r="W46" s="1805">
        <f t="shared" si="14"/>
        <v>100</v>
      </c>
      <c r="X46" s="1743"/>
      <c r="Y46" s="3248"/>
      <c r="Z46" s="1806">
        <f t="shared" si="15"/>
        <v>111</v>
      </c>
      <c r="AA46" s="1806">
        <f t="shared" si="3"/>
        <v>1</v>
      </c>
      <c r="AB46" s="1806">
        <f t="shared" si="4"/>
        <v>1</v>
      </c>
      <c r="AC46" s="1806">
        <f t="shared" si="5"/>
        <v>1</v>
      </c>
    </row>
    <row r="47" spans="1:29" ht="14.4">
      <c r="A47" s="1849" t="s">
        <v>1936</v>
      </c>
      <c r="B47" s="1850"/>
      <c r="C47" s="1851" t="s">
        <v>0</v>
      </c>
      <c r="D47" s="1852"/>
      <c r="E47" s="1853"/>
      <c r="F47" s="1854"/>
      <c r="G47" s="1855"/>
      <c r="H47" s="1856"/>
      <c r="I47" s="1853"/>
      <c r="J47" s="1856"/>
      <c r="K47" s="1805"/>
      <c r="L47" s="1858"/>
      <c r="M47" s="1859"/>
      <c r="N47" s="1742"/>
      <c r="O47" s="1859"/>
      <c r="P47" s="3241" t="str">
        <f>A47</f>
        <v>成交单价（元/平方米）</v>
      </c>
      <c r="Q47" s="3241"/>
      <c r="R47" s="3236">
        <f>E47</f>
        <v>0</v>
      </c>
      <c r="S47" s="3236"/>
      <c r="T47" s="3236">
        <f>G47</f>
        <v>0</v>
      </c>
      <c r="U47" s="3236"/>
      <c r="V47" s="3236">
        <f>I47</f>
        <v>0</v>
      </c>
      <c r="W47" s="3236"/>
      <c r="X47" s="1860"/>
      <c r="Y47" s="1861"/>
      <c r="Z47" s="1860"/>
      <c r="AA47" s="1860"/>
      <c r="AB47" s="1860"/>
      <c r="AC47" s="1860"/>
    </row>
    <row r="48" spans="1:29" ht="1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41" t="str">
        <f>A48</f>
        <v>比较价值（元/平方米）</v>
      </c>
      <c r="Q48" s="3241"/>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1860"/>
      <c r="Y48" s="1860"/>
      <c r="Z48" s="1860"/>
      <c r="AA48" s="1860"/>
      <c r="AB48" s="1860"/>
      <c r="AC48" s="1860"/>
    </row>
    <row r="49" spans="1:29" ht="15" thickBot="1">
      <c r="A49" s="1869" t="s">
        <v>2029</v>
      </c>
      <c r="B49" s="1870"/>
      <c r="C49" s="1749" t="e">
        <f>R49</f>
        <v>#DIV/0!</v>
      </c>
      <c r="D49" s="1749"/>
      <c r="E49" s="1749"/>
      <c r="F49" s="1749"/>
      <c r="G49" s="1749"/>
      <c r="H49" s="1749"/>
      <c r="I49" s="1749"/>
      <c r="J49" s="1749"/>
      <c r="K49" s="1803"/>
      <c r="L49" s="1858"/>
      <c r="M49" s="1859"/>
      <c r="N49" s="1742"/>
      <c r="O49" s="1859"/>
      <c r="P49" s="3238" t="str">
        <f>A49</f>
        <v>估价对象XX用房的比较价值（楼面单价，元/平方米）</v>
      </c>
      <c r="Q49" s="3239"/>
      <c r="R49" s="3240" t="e">
        <f>IF(F1="售价",ROUND(IF(D48="简单平均",AVERAGE(R48:V48),R48*F48+T48*H48+V48*J48),0),ROUND(IF(D48="简单平均",AVERAGE(R48:V48),R48*F48+T48*H48+V48*J48),1))</f>
        <v>#DIV/0!</v>
      </c>
      <c r="S49" s="3240"/>
      <c r="T49" s="3240"/>
      <c r="U49" s="3240"/>
      <c r="V49" s="3240"/>
      <c r="W49" s="324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2.2"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4.4">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4.4">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4.4"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ht="14.4">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4.4"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9.4"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4.4"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4.4"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4.4"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4.4"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4.4"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4.4"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4.4"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4.4"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ht="14.4">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4.4"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4.4"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4.4"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4.4"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4.4"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4.4"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4.4"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4.4"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4.4"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4.4"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4.4"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4.4"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4.4"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4.4"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4.4"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4.4"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4.4"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4.4"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ht="14.4">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4.4"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4.4"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4.4"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4.4"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4.4"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4.4"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4.4"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4.4"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4.4"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4.4"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4.4"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29.4"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4.4"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4.4"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4.4"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4.4"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4.4"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4.4"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4.4"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5.66406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2106"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4.4">
      <c r="A4" s="1738" t="s">
        <v>2004</v>
      </c>
      <c r="B4" s="1739"/>
      <c r="C4" s="3224" t="s">
        <v>2005</v>
      </c>
      <c r="D4" s="3225"/>
      <c r="E4" s="3226" t="s">
        <v>2006</v>
      </c>
      <c r="F4" s="3227"/>
      <c r="G4" s="3224" t="s">
        <v>2007</v>
      </c>
      <c r="H4" s="3225"/>
      <c r="I4" s="3224" t="s">
        <v>2008</v>
      </c>
      <c r="J4" s="3225"/>
      <c r="K4" s="2042" t="s">
        <v>2009</v>
      </c>
      <c r="L4" s="1741"/>
      <c r="M4" s="1742"/>
      <c r="N4" s="1742"/>
      <c r="O4" s="1742"/>
      <c r="P4" s="3257" t="s">
        <v>2010</v>
      </c>
      <c r="Q4" s="3258"/>
      <c r="R4" s="3252" t="s">
        <v>2006</v>
      </c>
      <c r="S4" s="3253"/>
      <c r="T4" s="3252" t="s">
        <v>2007</v>
      </c>
      <c r="U4" s="3253"/>
      <c r="V4" s="3261" t="s">
        <v>2008</v>
      </c>
      <c r="W4" s="3261"/>
      <c r="X4" s="2078"/>
      <c r="Y4" s="3252" t="s">
        <v>2010</v>
      </c>
      <c r="Z4" s="3253"/>
      <c r="AA4" s="3251" t="s">
        <v>2006</v>
      </c>
      <c r="AB4" s="3251" t="s">
        <v>2007</v>
      </c>
      <c r="AC4" s="3254" t="s">
        <v>2008</v>
      </c>
    </row>
    <row r="5" spans="1:29">
      <c r="A5" s="1745"/>
      <c r="B5" s="1746"/>
      <c r="C5" s="3217" t="s">
        <v>1901</v>
      </c>
      <c r="D5" s="3218"/>
      <c r="E5" s="3215" t="s">
        <v>1902</v>
      </c>
      <c r="F5" s="3216"/>
      <c r="G5" s="3217" t="s">
        <v>1903</v>
      </c>
      <c r="H5" s="3218"/>
      <c r="I5" s="3217" t="s">
        <v>1904</v>
      </c>
      <c r="J5" s="3218"/>
      <c r="K5" s="2042"/>
      <c r="L5" s="1741"/>
      <c r="M5" s="1742"/>
      <c r="N5" s="1742"/>
      <c r="O5" s="1742"/>
      <c r="P5" s="3259"/>
      <c r="Q5" s="3231"/>
      <c r="R5" s="3213"/>
      <c r="S5" s="3214"/>
      <c r="T5" s="3213"/>
      <c r="U5" s="3214"/>
      <c r="V5" s="3236"/>
      <c r="W5" s="3236"/>
      <c r="X5" s="1743"/>
      <c r="Y5" s="3213"/>
      <c r="Z5" s="3214"/>
      <c r="AA5" s="3207"/>
      <c r="AB5" s="3207"/>
      <c r="AC5" s="3255"/>
    </row>
    <row r="6" spans="1:29" ht="15" thickBot="1">
      <c r="A6" s="1748"/>
      <c r="B6" s="1749"/>
      <c r="C6" s="3219" t="s">
        <v>1905</v>
      </c>
      <c r="D6" s="3220"/>
      <c r="E6" s="3221" t="s">
        <v>1905</v>
      </c>
      <c r="F6" s="3222"/>
      <c r="G6" s="3219" t="s">
        <v>1905</v>
      </c>
      <c r="H6" s="3220"/>
      <c r="I6" s="3219" t="s">
        <v>1905</v>
      </c>
      <c r="J6" s="3220"/>
      <c r="K6" s="2042" t="s">
        <v>1906</v>
      </c>
      <c r="L6" s="1741"/>
      <c r="M6" s="1742"/>
      <c r="N6" s="1742"/>
      <c r="O6" s="1742"/>
      <c r="P6" s="3260"/>
      <c r="Q6" s="3233"/>
      <c r="R6" s="3213"/>
      <c r="S6" s="3214"/>
      <c r="T6" s="3234"/>
      <c r="U6" s="3235"/>
      <c r="V6" s="3236"/>
      <c r="W6" s="3236"/>
      <c r="X6" s="1743"/>
      <c r="Y6" s="3234"/>
      <c r="Z6" s="3235"/>
      <c r="AA6" s="3208"/>
      <c r="AB6" s="3208"/>
      <c r="AC6" s="3256"/>
    </row>
    <row r="7" spans="1:29" s="1760" customFormat="1" ht="15" thickBot="1">
      <c r="A7" s="1750" t="s">
        <v>1907</v>
      </c>
      <c r="B7" s="1751"/>
      <c r="C7" s="1752">
        <f>'数据-取费表'!B2</f>
        <v>44889</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2" t="s">
        <v>1908</v>
      </c>
      <c r="Q7" s="3237"/>
      <c r="R7" s="463" t="s">
        <v>14</v>
      </c>
      <c r="S7" s="1758">
        <f t="shared" ref="S7:S15" si="0">F7</f>
        <v>0</v>
      </c>
      <c r="T7" s="463" t="s">
        <v>14</v>
      </c>
      <c r="U7" s="1758">
        <f t="shared" ref="U7:U15" si="1">H7</f>
        <v>0</v>
      </c>
      <c r="V7" s="463" t="s">
        <v>14</v>
      </c>
      <c r="W7" s="1758">
        <f t="shared" ref="W7:W15" si="2">J7</f>
        <v>0</v>
      </c>
      <c r="X7" s="1759"/>
      <c r="Y7" s="3209" t="s">
        <v>1908</v>
      </c>
      <c r="Z7" s="3210"/>
      <c r="AA7" s="469" t="e">
        <f>D7/F7</f>
        <v>#DIV/0!</v>
      </c>
      <c r="AB7" s="469" t="e">
        <f>D7/H7</f>
        <v>#DIV/0!</v>
      </c>
      <c r="AC7" s="714" t="e">
        <f>D7/J7</f>
        <v>#DIV/0!</v>
      </c>
    </row>
    <row r="8" spans="1:29" s="1760" customFormat="1" ht="1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2" t="s">
        <v>1911</v>
      </c>
      <c r="Q8" s="3210"/>
      <c r="R8" s="463" t="s">
        <v>14</v>
      </c>
      <c r="S8" s="1758">
        <f t="shared" si="0"/>
        <v>0</v>
      </c>
      <c r="T8" s="463" t="s">
        <v>14</v>
      </c>
      <c r="U8" s="1758">
        <f t="shared" si="1"/>
        <v>0</v>
      </c>
      <c r="V8" s="463" t="s">
        <v>14</v>
      </c>
      <c r="W8" s="1758">
        <f t="shared" si="2"/>
        <v>0</v>
      </c>
      <c r="X8" s="1759"/>
      <c r="Y8" s="3209" t="s">
        <v>1911</v>
      </c>
      <c r="Z8" s="3210"/>
      <c r="AA8" s="469" t="e">
        <f t="shared" ref="AA8:AA47" si="3">D8/F8</f>
        <v>#DIV/0!</v>
      </c>
      <c r="AB8" s="469" t="e">
        <f t="shared" ref="AB8:AB47" si="4">D8/H8</f>
        <v>#DIV/0!</v>
      </c>
      <c r="AC8" s="714" t="e">
        <f t="shared" ref="AC8:AC47" si="5">D8/J8</f>
        <v>#DIV/0!</v>
      </c>
    </row>
    <row r="9" spans="1:29" s="1760" customFormat="1" ht="14.4">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23" t="s">
        <v>1914</v>
      </c>
      <c r="Q9" s="1769" t="str">
        <f t="shared" ref="Q9:Q15" si="6">B9</f>
        <v>用途</v>
      </c>
      <c r="R9" s="463" t="s">
        <v>14</v>
      </c>
      <c r="S9" s="1758">
        <f t="shared" si="0"/>
        <v>100</v>
      </c>
      <c r="T9" s="463" t="s">
        <v>14</v>
      </c>
      <c r="U9" s="1758">
        <f t="shared" si="1"/>
        <v>100</v>
      </c>
      <c r="V9" s="463" t="s">
        <v>14</v>
      </c>
      <c r="W9" s="1758">
        <f t="shared" si="2"/>
        <v>100</v>
      </c>
      <c r="X9" s="1759"/>
      <c r="Y9" s="3153" t="s">
        <v>1915</v>
      </c>
      <c r="Z9" s="469" t="str">
        <f t="shared" ref="Z9:Z15" si="7">Q9</f>
        <v>用途</v>
      </c>
      <c r="AA9" s="469">
        <f t="shared" si="3"/>
        <v>1</v>
      </c>
      <c r="AB9" s="469">
        <f t="shared" si="4"/>
        <v>1</v>
      </c>
      <c r="AC9" s="714">
        <f t="shared" si="5"/>
        <v>1</v>
      </c>
    </row>
    <row r="10" spans="1:29" s="1778" customFormat="1" ht="28.8">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23"/>
      <c r="Q10" s="1769" t="str">
        <f t="shared" si="6"/>
        <v>土地使用年限（年）</v>
      </c>
      <c r="R10" s="463" t="s">
        <v>14</v>
      </c>
      <c r="S10" s="1758">
        <f t="shared" si="0"/>
        <v>100</v>
      </c>
      <c r="T10" s="463" t="s">
        <v>14</v>
      </c>
      <c r="U10" s="1758">
        <f t="shared" si="1"/>
        <v>100</v>
      </c>
      <c r="V10" s="463" t="s">
        <v>14</v>
      </c>
      <c r="W10" s="1758">
        <f t="shared" si="2"/>
        <v>100</v>
      </c>
      <c r="X10" s="1759"/>
      <c r="Y10" s="315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23"/>
      <c r="Q11" s="1769" t="str">
        <f t="shared" si="6"/>
        <v>容积率</v>
      </c>
      <c r="R11" s="463" t="s">
        <v>14</v>
      </c>
      <c r="S11" s="1758" t="e">
        <f t="shared" si="0"/>
        <v>#N/A</v>
      </c>
      <c r="T11" s="463" t="s">
        <v>14</v>
      </c>
      <c r="U11" s="1758" t="e">
        <f t="shared" si="1"/>
        <v>#N/A</v>
      </c>
      <c r="V11" s="463" t="s">
        <v>14</v>
      </c>
      <c r="W11" s="1758" t="e">
        <f t="shared" si="2"/>
        <v>#N/A</v>
      </c>
      <c r="X11" s="1759"/>
      <c r="Y11" s="315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23"/>
      <c r="Q12" s="1769">
        <f t="shared" si="6"/>
        <v>111</v>
      </c>
      <c r="R12" s="463" t="s">
        <v>14</v>
      </c>
      <c r="S12" s="1758">
        <f t="shared" si="0"/>
        <v>100</v>
      </c>
      <c r="T12" s="463" t="s">
        <v>14</v>
      </c>
      <c r="U12" s="1758">
        <f t="shared" si="1"/>
        <v>100</v>
      </c>
      <c r="V12" s="463" t="s">
        <v>14</v>
      </c>
      <c r="W12" s="1758">
        <f t="shared" si="2"/>
        <v>100</v>
      </c>
      <c r="X12" s="1759"/>
      <c r="Y12" s="315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23"/>
      <c r="Q13" s="1769">
        <f t="shared" si="6"/>
        <v>111</v>
      </c>
      <c r="R13" s="463" t="s">
        <v>14</v>
      </c>
      <c r="S13" s="1758">
        <f t="shared" si="0"/>
        <v>100</v>
      </c>
      <c r="T13" s="463" t="s">
        <v>14</v>
      </c>
      <c r="U13" s="1758">
        <f t="shared" si="1"/>
        <v>100</v>
      </c>
      <c r="V13" s="463" t="s">
        <v>14</v>
      </c>
      <c r="W13" s="1758">
        <f t="shared" si="2"/>
        <v>100</v>
      </c>
      <c r="X13" s="1759"/>
      <c r="Y13" s="3153"/>
      <c r="Z13" s="469">
        <f t="shared" si="7"/>
        <v>111</v>
      </c>
      <c r="AA13" s="469">
        <f t="shared" si="3"/>
        <v>1</v>
      </c>
      <c r="AB13" s="469">
        <f t="shared" si="4"/>
        <v>1</v>
      </c>
      <c r="AC13" s="714">
        <f t="shared" si="5"/>
        <v>1</v>
      </c>
    </row>
    <row r="14" spans="1:29" ht="15.6"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23"/>
      <c r="Q14" s="1769">
        <f t="shared" si="6"/>
        <v>111</v>
      </c>
      <c r="R14" s="463" t="s">
        <v>14</v>
      </c>
      <c r="S14" s="1758">
        <f t="shared" si="0"/>
        <v>100</v>
      </c>
      <c r="T14" s="463" t="s">
        <v>14</v>
      </c>
      <c r="U14" s="1758">
        <f t="shared" si="1"/>
        <v>100</v>
      </c>
      <c r="V14" s="463" t="s">
        <v>14</v>
      </c>
      <c r="W14" s="1758">
        <f t="shared" si="2"/>
        <v>100</v>
      </c>
      <c r="X14" s="1759"/>
      <c r="Y14" s="3153"/>
      <c r="Z14" s="469">
        <f t="shared" si="7"/>
        <v>111</v>
      </c>
      <c r="AA14" s="469">
        <f t="shared" si="3"/>
        <v>1</v>
      </c>
      <c r="AB14" s="469">
        <f t="shared" si="4"/>
        <v>1</v>
      </c>
      <c r="AC14" s="714">
        <f t="shared" si="5"/>
        <v>1</v>
      </c>
    </row>
    <row r="15" spans="1:29" ht="69">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49" t="s">
        <v>1919</v>
      </c>
      <c r="Q15" s="1803" t="str">
        <f t="shared" si="6"/>
        <v>办公集聚程度</v>
      </c>
      <c r="R15" s="1804" t="s">
        <v>14</v>
      </c>
      <c r="S15" s="1805">
        <f t="shared" si="0"/>
        <v>100</v>
      </c>
      <c r="T15" s="1804" t="s">
        <v>14</v>
      </c>
      <c r="U15" s="1805">
        <f t="shared" si="1"/>
        <v>100</v>
      </c>
      <c r="V15" s="1804" t="s">
        <v>14</v>
      </c>
      <c r="W15" s="1805">
        <f t="shared" si="2"/>
        <v>100</v>
      </c>
      <c r="X15" s="1743"/>
      <c r="Y15" s="324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50"/>
      <c r="Q16" s="1803"/>
      <c r="R16" s="1804"/>
      <c r="S16" s="1805"/>
      <c r="T16" s="1804"/>
      <c r="U16" s="1805"/>
      <c r="V16" s="1804"/>
      <c r="W16" s="1805"/>
      <c r="X16" s="1743"/>
      <c r="Y16" s="3243"/>
      <c r="Z16" s="1806"/>
      <c r="AA16" s="1806">
        <v>1</v>
      </c>
      <c r="AB16" s="1806">
        <v>1</v>
      </c>
      <c r="AC16" s="2082">
        <v>1</v>
      </c>
    </row>
    <row r="17" spans="1:29" ht="82.8">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50"/>
      <c r="Q17" s="1803" t="str">
        <f>B17</f>
        <v>交通便捷度</v>
      </c>
      <c r="R17" s="1804" t="s">
        <v>14</v>
      </c>
      <c r="S17" s="1805">
        <f>F17</f>
        <v>100</v>
      </c>
      <c r="T17" s="1804" t="s">
        <v>14</v>
      </c>
      <c r="U17" s="1805">
        <f>H17</f>
        <v>100</v>
      </c>
      <c r="V17" s="1804" t="s">
        <v>14</v>
      </c>
      <c r="W17" s="1805">
        <f>J17</f>
        <v>100</v>
      </c>
      <c r="X17" s="1743"/>
      <c r="Y17" s="324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50"/>
      <c r="Q18" s="1803"/>
      <c r="R18" s="1804"/>
      <c r="S18" s="1805"/>
      <c r="T18" s="1804"/>
      <c r="U18" s="1805"/>
      <c r="V18" s="1804"/>
      <c r="W18" s="1805"/>
      <c r="X18" s="1743"/>
      <c r="Y18" s="3243"/>
      <c r="Z18" s="1806"/>
      <c r="AA18" s="1806">
        <v>1</v>
      </c>
      <c r="AB18" s="1806">
        <v>1</v>
      </c>
      <c r="AC18" s="2082">
        <v>1</v>
      </c>
    </row>
    <row r="19" spans="1:29" ht="41.4">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50"/>
      <c r="Q19" s="1803" t="str">
        <f>B19</f>
        <v>公共配套设施</v>
      </c>
      <c r="R19" s="1804" t="s">
        <v>14</v>
      </c>
      <c r="S19" s="1805">
        <f>F19</f>
        <v>100</v>
      </c>
      <c r="T19" s="1804" t="s">
        <v>14</v>
      </c>
      <c r="U19" s="1805">
        <f>H19</f>
        <v>100</v>
      </c>
      <c r="V19" s="1804" t="s">
        <v>14</v>
      </c>
      <c r="W19" s="1805">
        <f>J19</f>
        <v>100</v>
      </c>
      <c r="X19" s="1743"/>
      <c r="Y19" s="324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50"/>
      <c r="Q20" s="1803"/>
      <c r="R20" s="1804"/>
      <c r="S20" s="1805"/>
      <c r="T20" s="1804"/>
      <c r="U20" s="1805"/>
      <c r="V20" s="1804"/>
      <c r="W20" s="1805"/>
      <c r="X20" s="1743"/>
      <c r="Y20" s="3243"/>
      <c r="Z20" s="1806"/>
      <c r="AA20" s="1806">
        <v>1</v>
      </c>
      <c r="AB20" s="1806">
        <v>1</v>
      </c>
      <c r="AC20" s="2082">
        <v>1</v>
      </c>
    </row>
    <row r="21" spans="1:29" ht="27.6">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50"/>
      <c r="Q21" s="1803" t="str">
        <f>B21</f>
        <v>基础设施水平</v>
      </c>
      <c r="R21" s="1804" t="s">
        <v>14</v>
      </c>
      <c r="S21" s="1805">
        <f>F21</f>
        <v>100</v>
      </c>
      <c r="T21" s="1804" t="s">
        <v>14</v>
      </c>
      <c r="U21" s="1805">
        <f>H21</f>
        <v>100</v>
      </c>
      <c r="V21" s="1804" t="s">
        <v>14</v>
      </c>
      <c r="W21" s="1805">
        <f>J21</f>
        <v>100</v>
      </c>
      <c r="X21" s="1743"/>
      <c r="Y21" s="324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50"/>
      <c r="Q22" s="1803"/>
      <c r="R22" s="1804"/>
      <c r="S22" s="1805"/>
      <c r="T22" s="1804"/>
      <c r="U22" s="1805"/>
      <c r="V22" s="1804"/>
      <c r="W22" s="1805"/>
      <c r="X22" s="1743"/>
      <c r="Y22" s="3243"/>
      <c r="Z22" s="1806"/>
      <c r="AA22" s="1806">
        <v>1</v>
      </c>
      <c r="AB22" s="1806">
        <v>1</v>
      </c>
      <c r="AC22" s="2082">
        <v>1</v>
      </c>
    </row>
    <row r="23" spans="1:29" ht="55.2">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50"/>
      <c r="Q23" s="1803" t="str">
        <f>B23</f>
        <v>环境质量</v>
      </c>
      <c r="R23" s="1804" t="s">
        <v>14</v>
      </c>
      <c r="S23" s="1805">
        <f>F23</f>
        <v>100</v>
      </c>
      <c r="T23" s="1804" t="s">
        <v>14</v>
      </c>
      <c r="U23" s="1805">
        <f>H23</f>
        <v>100</v>
      </c>
      <c r="V23" s="1804" t="s">
        <v>14</v>
      </c>
      <c r="W23" s="1805">
        <f>J23</f>
        <v>100</v>
      </c>
      <c r="X23" s="1743"/>
      <c r="Y23" s="324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50"/>
      <c r="Q24" s="1803"/>
      <c r="R24" s="1804"/>
      <c r="S24" s="1805"/>
      <c r="T24" s="1804"/>
      <c r="U24" s="1805"/>
      <c r="V24" s="1804"/>
      <c r="W24" s="1805"/>
      <c r="X24" s="1743"/>
      <c r="Y24" s="3243"/>
      <c r="Z24" s="1806"/>
      <c r="AA24" s="1806">
        <v>1</v>
      </c>
      <c r="AB24" s="1806">
        <v>1</v>
      </c>
      <c r="AC24" s="2082">
        <v>1</v>
      </c>
    </row>
    <row r="25" spans="1:29" ht="28.8">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50"/>
      <c r="Q25" s="1803" t="str">
        <f>B25</f>
        <v>毗邻道路的类型与等级</v>
      </c>
      <c r="R25" s="1804" t="s">
        <v>14</v>
      </c>
      <c r="S25" s="1805">
        <f>F25</f>
        <v>100</v>
      </c>
      <c r="T25" s="1804" t="s">
        <v>14</v>
      </c>
      <c r="U25" s="1805">
        <f>H25</f>
        <v>100</v>
      </c>
      <c r="V25" s="1804" t="s">
        <v>14</v>
      </c>
      <c r="W25" s="1805">
        <f>J25</f>
        <v>100</v>
      </c>
      <c r="X25" s="1743"/>
      <c r="Y25" s="324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50"/>
      <c r="Q26" s="1803"/>
      <c r="R26" s="1804"/>
      <c r="S26" s="1805"/>
      <c r="T26" s="1804"/>
      <c r="U26" s="1805"/>
      <c r="V26" s="1804"/>
      <c r="W26" s="1805"/>
      <c r="X26" s="1743"/>
      <c r="Y26" s="324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50"/>
      <c r="Q27" s="1803" t="str">
        <f t="shared" ref="Q27:Q47" si="11">B27</f>
        <v>楼层</v>
      </c>
      <c r="R27" s="1804" t="s">
        <v>14</v>
      </c>
      <c r="S27" s="1805">
        <f>F27</f>
        <v>100</v>
      </c>
      <c r="T27" s="1804" t="s">
        <v>14</v>
      </c>
      <c r="U27" s="1805">
        <f>H27</f>
        <v>100</v>
      </c>
      <c r="V27" s="1804" t="s">
        <v>14</v>
      </c>
      <c r="W27" s="1805">
        <f>J27</f>
        <v>100</v>
      </c>
      <c r="X27" s="1743"/>
      <c r="Y27" s="324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50"/>
      <c r="Q28" s="1769" t="str">
        <f t="shared" si="11"/>
        <v>朝向</v>
      </c>
      <c r="R28" s="463" t="s">
        <v>14</v>
      </c>
      <c r="S28" s="1758">
        <f>F28</f>
        <v>100</v>
      </c>
      <c r="T28" s="463" t="s">
        <v>14</v>
      </c>
      <c r="U28" s="1758">
        <f>H28</f>
        <v>100</v>
      </c>
      <c r="V28" s="463" t="s">
        <v>14</v>
      </c>
      <c r="W28" s="1758">
        <f>J28</f>
        <v>100</v>
      </c>
      <c r="X28" s="1759"/>
      <c r="Y28" s="324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5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4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50"/>
      <c r="Q30" s="1803">
        <f t="shared" si="11"/>
        <v>111</v>
      </c>
      <c r="R30" s="1804" t="s">
        <v>14</v>
      </c>
      <c r="S30" s="1805">
        <f t="shared" si="12"/>
        <v>100</v>
      </c>
      <c r="T30" s="1804" t="s">
        <v>14</v>
      </c>
      <c r="U30" s="1805">
        <f t="shared" si="13"/>
        <v>100</v>
      </c>
      <c r="V30" s="1804" t="s">
        <v>14</v>
      </c>
      <c r="W30" s="1805">
        <f t="shared" si="14"/>
        <v>100</v>
      </c>
      <c r="X30" s="1743"/>
      <c r="Y30" s="324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50"/>
      <c r="Q31" s="1803">
        <f t="shared" si="11"/>
        <v>111</v>
      </c>
      <c r="R31" s="1804" t="s">
        <v>14</v>
      </c>
      <c r="S31" s="1805">
        <f t="shared" si="12"/>
        <v>100</v>
      </c>
      <c r="T31" s="1804" t="s">
        <v>14</v>
      </c>
      <c r="U31" s="1805">
        <f t="shared" si="13"/>
        <v>100</v>
      </c>
      <c r="V31" s="1804" t="s">
        <v>14</v>
      </c>
      <c r="W31" s="1805">
        <f t="shared" si="14"/>
        <v>100</v>
      </c>
      <c r="X31" s="1743"/>
      <c r="Y31" s="3243"/>
      <c r="Z31" s="1806">
        <f t="shared" si="15"/>
        <v>111</v>
      </c>
      <c r="AA31" s="1806">
        <f t="shared" si="3"/>
        <v>1</v>
      </c>
      <c r="AB31" s="1806">
        <f t="shared" si="4"/>
        <v>1</v>
      </c>
      <c r="AC31" s="2082">
        <f t="shared" si="5"/>
        <v>1</v>
      </c>
    </row>
    <row r="32" spans="1:29" ht="15.6"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50"/>
      <c r="Q32" s="1803">
        <f t="shared" si="11"/>
        <v>111</v>
      </c>
      <c r="R32" s="1804" t="s">
        <v>14</v>
      </c>
      <c r="S32" s="1805">
        <f t="shared" si="12"/>
        <v>100</v>
      </c>
      <c r="T32" s="1804" t="s">
        <v>14</v>
      </c>
      <c r="U32" s="1805">
        <f t="shared" si="13"/>
        <v>100</v>
      </c>
      <c r="V32" s="1804" t="s">
        <v>14</v>
      </c>
      <c r="W32" s="1805">
        <f t="shared" si="14"/>
        <v>100</v>
      </c>
      <c r="X32" s="1743"/>
      <c r="Y32" s="324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44" t="s">
        <v>1924</v>
      </c>
      <c r="Q33" s="1803" t="str">
        <f t="shared" si="11"/>
        <v>建筑类型</v>
      </c>
      <c r="R33" s="1804" t="s">
        <v>14</v>
      </c>
      <c r="S33" s="1805">
        <f t="shared" si="12"/>
        <v>100</v>
      </c>
      <c r="T33" s="1804" t="s">
        <v>14</v>
      </c>
      <c r="U33" s="1805">
        <f t="shared" si="13"/>
        <v>100</v>
      </c>
      <c r="V33" s="1804" t="s">
        <v>14</v>
      </c>
      <c r="W33" s="1805">
        <f t="shared" si="14"/>
        <v>100</v>
      </c>
      <c r="X33" s="1743"/>
      <c r="Y33" s="324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45"/>
      <c r="Q34" s="1839" t="str">
        <f t="shared" si="11"/>
        <v>项目建筑规模</v>
      </c>
      <c r="R34" s="1840" t="s">
        <v>14</v>
      </c>
      <c r="S34" s="1841" t="e">
        <f t="shared" si="12"/>
        <v>#N/A</v>
      </c>
      <c r="T34" s="1840" t="s">
        <v>14</v>
      </c>
      <c r="U34" s="1841" t="e">
        <f t="shared" si="13"/>
        <v>#N/A</v>
      </c>
      <c r="V34" s="1840" t="s">
        <v>14</v>
      </c>
      <c r="W34" s="1841" t="e">
        <f t="shared" si="14"/>
        <v>#N/A</v>
      </c>
      <c r="X34" s="1842"/>
      <c r="Y34" s="324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45"/>
      <c r="Q35" s="1803" t="str">
        <f t="shared" si="11"/>
        <v>建筑结构</v>
      </c>
      <c r="R35" s="1804" t="s">
        <v>14</v>
      </c>
      <c r="S35" s="1805">
        <f t="shared" si="12"/>
        <v>100</v>
      </c>
      <c r="T35" s="1804" t="s">
        <v>14</v>
      </c>
      <c r="U35" s="1805">
        <f t="shared" si="13"/>
        <v>100</v>
      </c>
      <c r="V35" s="1804" t="s">
        <v>14</v>
      </c>
      <c r="W35" s="1805">
        <f t="shared" si="14"/>
        <v>100</v>
      </c>
      <c r="X35" s="1743"/>
      <c r="Y35" s="324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45"/>
      <c r="Q36" s="1803" t="str">
        <f t="shared" si="11"/>
        <v>公共部分装修</v>
      </c>
      <c r="R36" s="1804" t="s">
        <v>14</v>
      </c>
      <c r="S36" s="1805">
        <f t="shared" si="12"/>
        <v>100</v>
      </c>
      <c r="T36" s="1804" t="s">
        <v>14</v>
      </c>
      <c r="U36" s="1805">
        <f t="shared" si="13"/>
        <v>100</v>
      </c>
      <c r="V36" s="1804" t="s">
        <v>14</v>
      </c>
      <c r="W36" s="1805">
        <f t="shared" si="14"/>
        <v>100</v>
      </c>
      <c r="X36" s="1743"/>
      <c r="Y36" s="324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45"/>
      <c r="Q37" s="1803" t="str">
        <f t="shared" si="11"/>
        <v>成新度</v>
      </c>
      <c r="R37" s="1804" t="s">
        <v>14</v>
      </c>
      <c r="S37" s="1805" t="e">
        <f t="shared" si="12"/>
        <v>#N/A</v>
      </c>
      <c r="T37" s="1804" t="s">
        <v>14</v>
      </c>
      <c r="U37" s="1805" t="e">
        <f t="shared" si="13"/>
        <v>#N/A</v>
      </c>
      <c r="V37" s="1804" t="s">
        <v>14</v>
      </c>
      <c r="W37" s="1805" t="e">
        <f t="shared" si="14"/>
        <v>#N/A</v>
      </c>
      <c r="X37" s="1743"/>
      <c r="Y37" s="324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45"/>
      <c r="Q38" s="1769" t="str">
        <f t="shared" si="11"/>
        <v>写字楼等级</v>
      </c>
      <c r="R38" s="463" t="s">
        <v>14</v>
      </c>
      <c r="S38" s="1758">
        <f t="shared" si="12"/>
        <v>100</v>
      </c>
      <c r="T38" s="463" t="s">
        <v>14</v>
      </c>
      <c r="U38" s="1758">
        <f t="shared" si="13"/>
        <v>100</v>
      </c>
      <c r="V38" s="463" t="s">
        <v>14</v>
      </c>
      <c r="W38" s="1758">
        <f t="shared" si="14"/>
        <v>100</v>
      </c>
      <c r="X38" s="1759"/>
      <c r="Y38" s="324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45" t="s">
        <v>1924</v>
      </c>
      <c r="Q39" s="1803" t="str">
        <f t="shared" si="11"/>
        <v>物业管理</v>
      </c>
      <c r="R39" s="1804" t="s">
        <v>14</v>
      </c>
      <c r="S39" s="1805">
        <f t="shared" si="12"/>
        <v>100</v>
      </c>
      <c r="T39" s="1804" t="s">
        <v>14</v>
      </c>
      <c r="U39" s="1805">
        <f t="shared" si="13"/>
        <v>100</v>
      </c>
      <c r="V39" s="1804" t="s">
        <v>14</v>
      </c>
      <c r="W39" s="1805">
        <f t="shared" si="14"/>
        <v>100</v>
      </c>
      <c r="X39" s="1743"/>
      <c r="Y39" s="324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45"/>
      <c r="Q40" s="1803" t="str">
        <f t="shared" si="11"/>
        <v>市政基础设施</v>
      </c>
      <c r="R40" s="1804" t="s">
        <v>14</v>
      </c>
      <c r="S40" s="1805">
        <f t="shared" si="12"/>
        <v>100</v>
      </c>
      <c r="T40" s="1804" t="s">
        <v>14</v>
      </c>
      <c r="U40" s="1805">
        <f t="shared" si="13"/>
        <v>100</v>
      </c>
      <c r="V40" s="1804" t="s">
        <v>14</v>
      </c>
      <c r="W40" s="1805">
        <f t="shared" si="14"/>
        <v>100</v>
      </c>
      <c r="X40" s="1743"/>
      <c r="Y40" s="324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45"/>
      <c r="Q41" s="1803" t="str">
        <f t="shared" si="11"/>
        <v>层高</v>
      </c>
      <c r="R41" s="1804" t="s">
        <v>14</v>
      </c>
      <c r="S41" s="1805">
        <f t="shared" si="12"/>
        <v>100</v>
      </c>
      <c r="T41" s="1804" t="s">
        <v>14</v>
      </c>
      <c r="U41" s="1805">
        <f t="shared" si="13"/>
        <v>100</v>
      </c>
      <c r="V41" s="1804" t="s">
        <v>14</v>
      </c>
      <c r="W41" s="1805">
        <f t="shared" si="14"/>
        <v>100</v>
      </c>
      <c r="X41" s="1743"/>
      <c r="Y41" s="324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45"/>
      <c r="Q42" s="1839" t="str">
        <f t="shared" si="11"/>
        <v>单套建筑面积</v>
      </c>
      <c r="R42" s="1840" t="s">
        <v>14</v>
      </c>
      <c r="S42" s="1841">
        <f t="shared" si="12"/>
        <v>100</v>
      </c>
      <c r="T42" s="1840" t="s">
        <v>14</v>
      </c>
      <c r="U42" s="1841">
        <f t="shared" si="13"/>
        <v>100</v>
      </c>
      <c r="V42" s="1840" t="s">
        <v>14</v>
      </c>
      <c r="W42" s="1841">
        <f t="shared" si="14"/>
        <v>100</v>
      </c>
      <c r="X42" s="1842"/>
      <c r="Y42" s="324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45"/>
      <c r="Q43" s="1803" t="str">
        <f t="shared" si="11"/>
        <v>内部装修</v>
      </c>
      <c r="R43" s="1804" t="s">
        <v>14</v>
      </c>
      <c r="S43" s="1805">
        <f t="shared" si="12"/>
        <v>100</v>
      </c>
      <c r="T43" s="1804" t="s">
        <v>14</v>
      </c>
      <c r="U43" s="1805">
        <f t="shared" si="13"/>
        <v>100</v>
      </c>
      <c r="V43" s="1804" t="s">
        <v>14</v>
      </c>
      <c r="W43" s="1805">
        <f t="shared" si="14"/>
        <v>100</v>
      </c>
      <c r="X43" s="1743"/>
      <c r="Y43" s="3247"/>
      <c r="Z43" s="1806" t="str">
        <f t="shared" si="15"/>
        <v>内部装修</v>
      </c>
      <c r="AA43" s="1806">
        <f t="shared" si="3"/>
        <v>1</v>
      </c>
      <c r="AB43" s="1806">
        <f t="shared" si="4"/>
        <v>1</v>
      </c>
      <c r="AC43" s="2082">
        <f t="shared" si="5"/>
        <v>1</v>
      </c>
    </row>
    <row r="44" spans="1:29" ht="28.8">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45"/>
      <c r="Q44" s="1803" t="str">
        <f t="shared" si="11"/>
        <v>内部装修维护情况</v>
      </c>
      <c r="R44" s="1804" t="s">
        <v>14</v>
      </c>
      <c r="S44" s="1805">
        <f t="shared" si="12"/>
        <v>100</v>
      </c>
      <c r="T44" s="1804" t="s">
        <v>14</v>
      </c>
      <c r="U44" s="1805">
        <f t="shared" si="13"/>
        <v>100</v>
      </c>
      <c r="V44" s="1804" t="s">
        <v>14</v>
      </c>
      <c r="W44" s="1805">
        <f t="shared" si="14"/>
        <v>100</v>
      </c>
      <c r="X44" s="1743"/>
      <c r="Y44" s="324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45"/>
      <c r="Q45" s="1769">
        <f t="shared" si="11"/>
        <v>111</v>
      </c>
      <c r="R45" s="463" t="s">
        <v>14</v>
      </c>
      <c r="S45" s="1758">
        <f t="shared" si="12"/>
        <v>100</v>
      </c>
      <c r="T45" s="463" t="s">
        <v>14</v>
      </c>
      <c r="U45" s="1758">
        <f t="shared" si="13"/>
        <v>100</v>
      </c>
      <c r="V45" s="463" t="s">
        <v>14</v>
      </c>
      <c r="W45" s="1758">
        <f t="shared" si="14"/>
        <v>100</v>
      </c>
      <c r="X45" s="1759"/>
      <c r="Y45" s="324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45"/>
      <c r="Q46" s="1803">
        <f t="shared" si="11"/>
        <v>111</v>
      </c>
      <c r="R46" s="1804" t="s">
        <v>14</v>
      </c>
      <c r="S46" s="1805">
        <f t="shared" si="12"/>
        <v>100</v>
      </c>
      <c r="T46" s="1804" t="s">
        <v>14</v>
      </c>
      <c r="U46" s="1805">
        <f t="shared" si="13"/>
        <v>100</v>
      </c>
      <c r="V46" s="1804" t="s">
        <v>14</v>
      </c>
      <c r="W46" s="1805">
        <f t="shared" si="14"/>
        <v>100</v>
      </c>
      <c r="X46" s="1743"/>
      <c r="Y46" s="3247"/>
      <c r="Z46" s="1806">
        <f t="shared" si="15"/>
        <v>111</v>
      </c>
      <c r="AA46" s="1806">
        <f t="shared" si="3"/>
        <v>1</v>
      </c>
      <c r="AB46" s="1806">
        <f t="shared" si="4"/>
        <v>1</v>
      </c>
      <c r="AC46" s="2082">
        <f t="shared" si="5"/>
        <v>1</v>
      </c>
    </row>
    <row r="47" spans="1:29" ht="15.6"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46"/>
      <c r="Q47" s="1803">
        <f t="shared" si="11"/>
        <v>111</v>
      </c>
      <c r="R47" s="1804" t="s">
        <v>14</v>
      </c>
      <c r="S47" s="1805">
        <f t="shared" si="12"/>
        <v>100</v>
      </c>
      <c r="T47" s="1804" t="s">
        <v>14</v>
      </c>
      <c r="U47" s="1805">
        <f t="shared" si="13"/>
        <v>100</v>
      </c>
      <c r="V47" s="1804" t="s">
        <v>14</v>
      </c>
      <c r="W47" s="1805">
        <f t="shared" si="14"/>
        <v>100</v>
      </c>
      <c r="X47" s="1743"/>
      <c r="Y47" s="3248"/>
      <c r="Z47" s="1806">
        <f t="shared" si="15"/>
        <v>111</v>
      </c>
      <c r="AA47" s="1806">
        <f t="shared" si="3"/>
        <v>1</v>
      </c>
      <c r="AB47" s="1806">
        <f t="shared" si="4"/>
        <v>1</v>
      </c>
      <c r="AC47" s="2082">
        <f t="shared" si="5"/>
        <v>1</v>
      </c>
    </row>
    <row r="48" spans="1:29" ht="14.4">
      <c r="A48" s="1849" t="s">
        <v>1936</v>
      </c>
      <c r="B48" s="1850"/>
      <c r="C48" s="1851" t="s">
        <v>0</v>
      </c>
      <c r="D48" s="1852"/>
      <c r="E48" s="1853"/>
      <c r="F48" s="1854"/>
      <c r="G48" s="1855"/>
      <c r="H48" s="1856"/>
      <c r="I48" s="1853"/>
      <c r="J48" s="1856"/>
      <c r="K48" s="1805"/>
      <c r="L48" s="1858"/>
      <c r="M48" s="1742"/>
      <c r="N48" s="1742"/>
      <c r="O48" s="1742"/>
      <c r="P48" s="3223" t="str">
        <f>A48</f>
        <v>成交单价（元/平方米）</v>
      </c>
      <c r="Q48" s="3241"/>
      <c r="R48" s="3236">
        <f>E48</f>
        <v>0</v>
      </c>
      <c r="S48" s="3236"/>
      <c r="T48" s="3236">
        <f>G48</f>
        <v>0</v>
      </c>
      <c r="U48" s="3236"/>
      <c r="V48" s="3236">
        <f>I48</f>
        <v>0</v>
      </c>
      <c r="W48" s="3236"/>
      <c r="X48" s="1807"/>
      <c r="Y48" s="1861"/>
      <c r="Z48" s="1807"/>
      <c r="AA48" s="1807"/>
      <c r="AB48" s="1807"/>
      <c r="AC48" s="2083"/>
    </row>
    <row r="49" spans="1:29" ht="1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23" t="str">
        <f>A49</f>
        <v>比较价值（元/平方米）</v>
      </c>
      <c r="Q49" s="3241"/>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1807"/>
      <c r="Y49" s="1807"/>
      <c r="Z49" s="1807"/>
      <c r="AA49" s="1807"/>
      <c r="AB49" s="1807"/>
      <c r="AC49" s="2083"/>
    </row>
    <row r="50" spans="1:29" ht="15" thickBot="1">
      <c r="A50" s="1869" t="s">
        <v>2029</v>
      </c>
      <c r="B50" s="1870"/>
      <c r="C50" s="1749" t="e">
        <f>R50</f>
        <v>#DIV/0!</v>
      </c>
      <c r="D50" s="1749"/>
      <c r="E50" s="1749"/>
      <c r="F50" s="1749"/>
      <c r="G50" s="1749"/>
      <c r="H50" s="1749"/>
      <c r="I50" s="1749"/>
      <c r="J50" s="1749"/>
      <c r="K50" s="1803"/>
      <c r="L50" s="1858"/>
      <c r="M50" s="1742"/>
      <c r="N50" s="1742"/>
      <c r="O50" s="1742"/>
      <c r="P50" s="3263" t="str">
        <f>A50</f>
        <v>估价对象XX用房的比较价值（楼面单价，元/平方米）</v>
      </c>
      <c r="Q50" s="3264"/>
      <c r="R50" s="3265" t="e">
        <f>IF(F1="售价",ROUND(IF(D49="简单平均",AVERAGE(R49:V49),R49*F49+T49*H49+V49*J49),0),ROUND(IF(D49="简单平均",AVERAGE(R49:V49),R49*F49+T49*H49+V49*J49),1))</f>
        <v>#DIV/0!</v>
      </c>
      <c r="S50" s="3265"/>
      <c r="T50" s="3265"/>
      <c r="U50" s="3265"/>
      <c r="V50" s="3265"/>
      <c r="W50" s="326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2.2"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4.4">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4.4">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4.4"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ht="14.4">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4.4"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9.4"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4.4"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4.4"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4.4"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4.4"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4.4"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4.4"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4.4"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4.4"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ht="14.4">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4.4"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4.4"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4.4"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4.4"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4.4"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9.4"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4.4"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4.4"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4.4"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4.4"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4.4"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4.4"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4.4"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4.4"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4.4"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4.4"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4.4"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4.4"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4.4"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ht="14.4">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4.4"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4.4"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4.4"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4.4"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4.4"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4.4"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4.4"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4.4"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4.4"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4.4"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4.4"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29.4"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4.4"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4.4"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4.4"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4.4"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4.4"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4.4"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4.4"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4.4">
      <c r="A4" s="1738" t="s">
        <v>2004</v>
      </c>
      <c r="B4" s="1739"/>
      <c r="C4" s="3224" t="s">
        <v>2005</v>
      </c>
      <c r="D4" s="3225"/>
      <c r="E4" s="3226" t="s">
        <v>2006</v>
      </c>
      <c r="F4" s="3227"/>
      <c r="G4" s="3224" t="s">
        <v>2007</v>
      </c>
      <c r="H4" s="3225"/>
      <c r="I4" s="3224" t="s">
        <v>2008</v>
      </c>
      <c r="J4" s="3225"/>
      <c r="K4" s="2042" t="s">
        <v>2009</v>
      </c>
      <c r="L4" s="2108"/>
      <c r="M4" s="2109"/>
      <c r="N4" s="2109"/>
      <c r="O4" s="2109"/>
      <c r="P4" s="3228" t="s">
        <v>2010</v>
      </c>
      <c r="Q4" s="3229"/>
      <c r="R4" s="3211" t="s">
        <v>2006</v>
      </c>
      <c r="S4" s="3212"/>
      <c r="T4" s="3211" t="s">
        <v>2007</v>
      </c>
      <c r="U4" s="3212"/>
      <c r="V4" s="3236" t="s">
        <v>2008</v>
      </c>
      <c r="W4" s="3236"/>
      <c r="X4" s="1743"/>
      <c r="Y4" s="3211" t="s">
        <v>2010</v>
      </c>
      <c r="Z4" s="3212"/>
      <c r="AA4" s="3206" t="s">
        <v>2006</v>
      </c>
      <c r="AB4" s="3207" t="s">
        <v>2007</v>
      </c>
      <c r="AC4" s="3206" t="s">
        <v>2008</v>
      </c>
    </row>
    <row r="5" spans="1:29">
      <c r="A5" s="1745"/>
      <c r="B5" s="1746"/>
      <c r="C5" s="3217" t="s">
        <v>1901</v>
      </c>
      <c r="D5" s="3218"/>
      <c r="E5" s="3215" t="s">
        <v>1902</v>
      </c>
      <c r="F5" s="3216"/>
      <c r="G5" s="3217" t="s">
        <v>1903</v>
      </c>
      <c r="H5" s="3218"/>
      <c r="I5" s="3217" t="s">
        <v>1904</v>
      </c>
      <c r="J5" s="3218"/>
      <c r="K5" s="2042"/>
      <c r="L5" s="2108"/>
      <c r="M5" s="2109"/>
      <c r="N5" s="2109"/>
      <c r="O5" s="2109"/>
      <c r="P5" s="3230"/>
      <c r="Q5" s="3231"/>
      <c r="R5" s="3213"/>
      <c r="S5" s="3214"/>
      <c r="T5" s="3213"/>
      <c r="U5" s="3214"/>
      <c r="V5" s="3236"/>
      <c r="W5" s="3236"/>
      <c r="X5" s="1743"/>
      <c r="Y5" s="3213"/>
      <c r="Z5" s="3214"/>
      <c r="AA5" s="3207"/>
      <c r="AB5" s="3207"/>
      <c r="AC5" s="3207"/>
    </row>
    <row r="6" spans="1:29" ht="15" thickBot="1">
      <c r="A6" s="1748"/>
      <c r="B6" s="1749"/>
      <c r="C6" s="3219" t="s">
        <v>1905</v>
      </c>
      <c r="D6" s="3220"/>
      <c r="E6" s="3221" t="s">
        <v>1905</v>
      </c>
      <c r="F6" s="3222"/>
      <c r="G6" s="3219" t="s">
        <v>1905</v>
      </c>
      <c r="H6" s="3220"/>
      <c r="I6" s="3219" t="s">
        <v>1905</v>
      </c>
      <c r="J6" s="3220"/>
      <c r="K6" s="2042" t="s">
        <v>1906</v>
      </c>
      <c r="L6" s="2108"/>
      <c r="M6" s="2109"/>
      <c r="N6" s="2109"/>
      <c r="O6" s="2109"/>
      <c r="P6" s="3232"/>
      <c r="Q6" s="3233"/>
      <c r="R6" s="3213"/>
      <c r="S6" s="3214"/>
      <c r="T6" s="3234"/>
      <c r="U6" s="3235"/>
      <c r="V6" s="3236"/>
      <c r="W6" s="3236"/>
      <c r="X6" s="1743"/>
      <c r="Y6" s="3234"/>
      <c r="Z6" s="3235"/>
      <c r="AA6" s="3208"/>
      <c r="AB6" s="3208"/>
      <c r="AC6" s="3208"/>
    </row>
    <row r="7" spans="1:29" s="1760" customFormat="1" ht="15" thickBot="1">
      <c r="A7" s="1750" t="s">
        <v>1907</v>
      </c>
      <c r="B7" s="1751"/>
      <c r="C7" s="1752">
        <f>'数据-取费表'!B2</f>
        <v>44889</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09" t="s">
        <v>1908</v>
      </c>
      <c r="Q7" s="3237"/>
      <c r="R7" s="463" t="s">
        <v>14</v>
      </c>
      <c r="S7" s="1758">
        <f t="shared" ref="S7:S15" si="0">F7</f>
        <v>0</v>
      </c>
      <c r="T7" s="463" t="s">
        <v>14</v>
      </c>
      <c r="U7" s="1758">
        <f t="shared" ref="U7:U15" si="1">H7</f>
        <v>0</v>
      </c>
      <c r="V7" s="463" t="s">
        <v>14</v>
      </c>
      <c r="W7" s="1758">
        <f t="shared" ref="W7:W15" si="2">J7</f>
        <v>0</v>
      </c>
      <c r="X7" s="1759"/>
      <c r="Y7" s="3209" t="s">
        <v>1908</v>
      </c>
      <c r="Z7" s="3210"/>
      <c r="AA7" s="469" t="e">
        <f>D7/F7</f>
        <v>#DIV/0!</v>
      </c>
      <c r="AB7" s="469" t="e">
        <f>D7/H7</f>
        <v>#DIV/0!</v>
      </c>
      <c r="AC7" s="469" t="e">
        <f>D7/J7</f>
        <v>#DIV/0!</v>
      </c>
    </row>
    <row r="8" spans="1:29" s="1760" customFormat="1" ht="1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09" t="s">
        <v>1911</v>
      </c>
      <c r="Q8" s="3210"/>
      <c r="R8" s="463" t="s">
        <v>14</v>
      </c>
      <c r="S8" s="1758">
        <f t="shared" si="0"/>
        <v>0</v>
      </c>
      <c r="T8" s="463" t="s">
        <v>14</v>
      </c>
      <c r="U8" s="1758">
        <f t="shared" si="1"/>
        <v>0</v>
      </c>
      <c r="V8" s="463" t="s">
        <v>14</v>
      </c>
      <c r="W8" s="1758">
        <f t="shared" si="2"/>
        <v>0</v>
      </c>
      <c r="X8" s="1759"/>
      <c r="Y8" s="3209" t="s">
        <v>1911</v>
      </c>
      <c r="Z8" s="3210"/>
      <c r="AA8" s="469" t="e">
        <f t="shared" ref="AA8:AA40" si="3">D8/F8</f>
        <v>#DIV/0!</v>
      </c>
      <c r="AB8" s="469" t="e">
        <f t="shared" ref="AB8:AB40" si="4">D8/H8</f>
        <v>#DIV/0!</v>
      </c>
      <c r="AC8" s="469" t="e">
        <f t="shared" ref="AC8:AC40" si="5">D8/J8</f>
        <v>#DIV/0!</v>
      </c>
    </row>
    <row r="9" spans="1:29" s="1760" customFormat="1" ht="14.4">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41" t="s">
        <v>1914</v>
      </c>
      <c r="Q9" s="1769" t="str">
        <f t="shared" ref="Q9:Q15" si="6">B9</f>
        <v>用途</v>
      </c>
      <c r="R9" s="463" t="s">
        <v>14</v>
      </c>
      <c r="S9" s="1758">
        <f t="shared" si="0"/>
        <v>100</v>
      </c>
      <c r="T9" s="463" t="s">
        <v>14</v>
      </c>
      <c r="U9" s="1758">
        <f t="shared" si="1"/>
        <v>100</v>
      </c>
      <c r="V9" s="463" t="s">
        <v>14</v>
      </c>
      <c r="W9" s="1758">
        <f t="shared" si="2"/>
        <v>100</v>
      </c>
      <c r="X9" s="1759"/>
      <c r="Y9" s="3153"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41"/>
      <c r="Q10" s="1769" t="str">
        <f t="shared" si="6"/>
        <v>土地使用年限（年）</v>
      </c>
      <c r="R10" s="463" t="s">
        <v>14</v>
      </c>
      <c r="S10" s="1758">
        <f t="shared" si="0"/>
        <v>100</v>
      </c>
      <c r="T10" s="463" t="s">
        <v>14</v>
      </c>
      <c r="U10" s="1758">
        <f t="shared" si="1"/>
        <v>100</v>
      </c>
      <c r="V10" s="463" t="s">
        <v>14</v>
      </c>
      <c r="W10" s="1758">
        <f t="shared" si="2"/>
        <v>100</v>
      </c>
      <c r="X10" s="1759"/>
      <c r="Y10" s="315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41"/>
      <c r="Q11" s="1769" t="str">
        <f t="shared" si="6"/>
        <v>容积率</v>
      </c>
      <c r="R11" s="463" t="s">
        <v>14</v>
      </c>
      <c r="S11" s="1758" t="e">
        <f t="shared" si="0"/>
        <v>#N/A</v>
      </c>
      <c r="T11" s="463" t="s">
        <v>14</v>
      </c>
      <c r="U11" s="1758" t="e">
        <f t="shared" si="1"/>
        <v>#N/A</v>
      </c>
      <c r="V11" s="463" t="s">
        <v>14</v>
      </c>
      <c r="W11" s="1758" t="e">
        <f t="shared" si="2"/>
        <v>#N/A</v>
      </c>
      <c r="X11" s="1759"/>
      <c r="Y11" s="315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41"/>
      <c r="Q12" s="1769">
        <f t="shared" si="6"/>
        <v>111</v>
      </c>
      <c r="R12" s="463" t="s">
        <v>14</v>
      </c>
      <c r="S12" s="1758">
        <f t="shared" si="0"/>
        <v>100</v>
      </c>
      <c r="T12" s="463" t="s">
        <v>14</v>
      </c>
      <c r="U12" s="1758">
        <f t="shared" si="1"/>
        <v>100</v>
      </c>
      <c r="V12" s="463" t="s">
        <v>14</v>
      </c>
      <c r="W12" s="1758">
        <f t="shared" si="2"/>
        <v>100</v>
      </c>
      <c r="X12" s="1759"/>
      <c r="Y12" s="315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41"/>
      <c r="Q13" s="1769">
        <f t="shared" si="6"/>
        <v>111</v>
      </c>
      <c r="R13" s="463" t="s">
        <v>14</v>
      </c>
      <c r="S13" s="1758">
        <f t="shared" si="0"/>
        <v>100</v>
      </c>
      <c r="T13" s="463" t="s">
        <v>14</v>
      </c>
      <c r="U13" s="1758">
        <f t="shared" si="1"/>
        <v>100</v>
      </c>
      <c r="V13" s="463" t="s">
        <v>14</v>
      </c>
      <c r="W13" s="1758">
        <f t="shared" si="2"/>
        <v>100</v>
      </c>
      <c r="X13" s="1759"/>
      <c r="Y13" s="3153"/>
      <c r="Z13" s="469">
        <f t="shared" si="7"/>
        <v>111</v>
      </c>
      <c r="AA13" s="469">
        <f t="shared" si="3"/>
        <v>1</v>
      </c>
      <c r="AB13" s="469">
        <f t="shared" si="4"/>
        <v>1</v>
      </c>
      <c r="AC13" s="469">
        <f t="shared" si="5"/>
        <v>1</v>
      </c>
    </row>
    <row r="14" spans="1:29" ht="15.6"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41"/>
      <c r="Q14" s="1769">
        <f t="shared" si="6"/>
        <v>111</v>
      </c>
      <c r="R14" s="463" t="s">
        <v>14</v>
      </c>
      <c r="S14" s="1758">
        <f t="shared" si="0"/>
        <v>100</v>
      </c>
      <c r="T14" s="463" t="s">
        <v>14</v>
      </c>
      <c r="U14" s="1758">
        <f t="shared" si="1"/>
        <v>100</v>
      </c>
      <c r="V14" s="463" t="s">
        <v>14</v>
      </c>
      <c r="W14" s="1758">
        <f t="shared" si="2"/>
        <v>100</v>
      </c>
      <c r="X14" s="1759"/>
      <c r="Y14" s="3153"/>
      <c r="Z14" s="469">
        <f t="shared" si="7"/>
        <v>111</v>
      </c>
      <c r="AA14" s="469">
        <f t="shared" si="3"/>
        <v>1</v>
      </c>
      <c r="AB14" s="469">
        <f t="shared" si="4"/>
        <v>1</v>
      </c>
      <c r="AC14" s="469">
        <f t="shared" si="5"/>
        <v>1</v>
      </c>
    </row>
    <row r="15" spans="1:29" ht="69">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42" t="s">
        <v>1919</v>
      </c>
      <c r="Q15" s="1803" t="str">
        <f t="shared" si="6"/>
        <v>产业集聚程度</v>
      </c>
      <c r="R15" s="1804" t="s">
        <v>14</v>
      </c>
      <c r="S15" s="1805">
        <f t="shared" si="0"/>
        <v>100</v>
      </c>
      <c r="T15" s="1804" t="s">
        <v>14</v>
      </c>
      <c r="U15" s="1805">
        <f t="shared" si="1"/>
        <v>100</v>
      </c>
      <c r="V15" s="1804" t="s">
        <v>14</v>
      </c>
      <c r="W15" s="1805">
        <f t="shared" si="2"/>
        <v>100</v>
      </c>
      <c r="X15" s="1743"/>
      <c r="Y15" s="324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43"/>
      <c r="Q16" s="1803"/>
      <c r="R16" s="1804"/>
      <c r="S16" s="1805"/>
      <c r="T16" s="1804"/>
      <c r="U16" s="1805"/>
      <c r="V16" s="1804"/>
      <c r="W16" s="1805"/>
      <c r="X16" s="1743"/>
      <c r="Y16" s="3243"/>
      <c r="Z16" s="1806"/>
      <c r="AA16" s="1806">
        <v>1</v>
      </c>
      <c r="AB16" s="1806">
        <v>1</v>
      </c>
      <c r="AC16" s="1806">
        <v>1</v>
      </c>
    </row>
    <row r="17" spans="1:29" ht="96.6">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43"/>
      <c r="Q17" s="1803" t="str">
        <f>B17</f>
        <v>交通便捷度</v>
      </c>
      <c r="R17" s="1804" t="s">
        <v>14</v>
      </c>
      <c r="S17" s="1805">
        <f>F17</f>
        <v>100</v>
      </c>
      <c r="T17" s="1804" t="s">
        <v>14</v>
      </c>
      <c r="U17" s="1805">
        <f>H17</f>
        <v>100</v>
      </c>
      <c r="V17" s="1804" t="s">
        <v>14</v>
      </c>
      <c r="W17" s="1805">
        <f>J17</f>
        <v>100</v>
      </c>
      <c r="X17" s="1743"/>
      <c r="Y17" s="324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43"/>
      <c r="Q18" s="1803"/>
      <c r="R18" s="1804"/>
      <c r="S18" s="1805"/>
      <c r="T18" s="1804"/>
      <c r="U18" s="1805"/>
      <c r="V18" s="1804"/>
      <c r="W18" s="1805"/>
      <c r="X18" s="1743"/>
      <c r="Y18" s="3243"/>
      <c r="Z18" s="1806"/>
      <c r="AA18" s="1806">
        <v>1</v>
      </c>
      <c r="AB18" s="1806">
        <v>1</v>
      </c>
      <c r="AC18" s="1806">
        <v>1</v>
      </c>
    </row>
    <row r="19" spans="1:29" ht="41.4">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43"/>
      <c r="Q19" s="1803" t="str">
        <f>B19</f>
        <v>公共配套设施</v>
      </c>
      <c r="R19" s="1804" t="s">
        <v>14</v>
      </c>
      <c r="S19" s="1805">
        <f>F19</f>
        <v>100</v>
      </c>
      <c r="T19" s="1804" t="s">
        <v>14</v>
      </c>
      <c r="U19" s="1805">
        <f>H19</f>
        <v>100</v>
      </c>
      <c r="V19" s="1804" t="s">
        <v>14</v>
      </c>
      <c r="W19" s="1805">
        <f>J19</f>
        <v>100</v>
      </c>
      <c r="X19" s="1743"/>
      <c r="Y19" s="324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43"/>
      <c r="Q20" s="1803"/>
      <c r="R20" s="1804"/>
      <c r="S20" s="1805"/>
      <c r="T20" s="1804"/>
      <c r="U20" s="1805"/>
      <c r="V20" s="1804"/>
      <c r="W20" s="1805"/>
      <c r="X20" s="1743"/>
      <c r="Y20" s="3243"/>
      <c r="Z20" s="1806"/>
      <c r="AA20" s="1806">
        <v>1</v>
      </c>
      <c r="AB20" s="1806">
        <v>1</v>
      </c>
      <c r="AC20" s="1806">
        <v>1</v>
      </c>
    </row>
    <row r="21" spans="1:29" ht="41.4">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43"/>
      <c r="Q21" s="1803" t="str">
        <f>B21</f>
        <v>基础设施水平</v>
      </c>
      <c r="R21" s="1804" t="s">
        <v>14</v>
      </c>
      <c r="S21" s="1805">
        <f>F21</f>
        <v>100</v>
      </c>
      <c r="T21" s="1804" t="s">
        <v>14</v>
      </c>
      <c r="U21" s="1805">
        <f>H21</f>
        <v>100</v>
      </c>
      <c r="V21" s="1804" t="s">
        <v>14</v>
      </c>
      <c r="W21" s="1805">
        <f>J21</f>
        <v>100</v>
      </c>
      <c r="X21" s="1743"/>
      <c r="Y21" s="324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43"/>
      <c r="Q22" s="1803"/>
      <c r="R22" s="1804"/>
      <c r="S22" s="1805"/>
      <c r="T22" s="1804"/>
      <c r="U22" s="1805"/>
      <c r="V22" s="1804"/>
      <c r="W22" s="1805"/>
      <c r="X22" s="1743"/>
      <c r="Y22" s="3243"/>
      <c r="Z22" s="1806"/>
      <c r="AA22" s="1806">
        <v>1</v>
      </c>
      <c r="AB22" s="1806">
        <v>1</v>
      </c>
      <c r="AC22" s="1806">
        <v>1</v>
      </c>
    </row>
    <row r="23" spans="1:29" ht="82.8">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43"/>
      <c r="Q23" s="1803" t="str">
        <f>B23</f>
        <v>环境质量</v>
      </c>
      <c r="R23" s="1804" t="s">
        <v>14</v>
      </c>
      <c r="S23" s="1805">
        <f>F23</f>
        <v>100</v>
      </c>
      <c r="T23" s="1804" t="s">
        <v>14</v>
      </c>
      <c r="U23" s="1805">
        <f>H23</f>
        <v>100</v>
      </c>
      <c r="V23" s="1804" t="s">
        <v>14</v>
      </c>
      <c r="W23" s="1805">
        <f>J23</f>
        <v>100</v>
      </c>
      <c r="X23" s="1743"/>
      <c r="Y23" s="324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43"/>
      <c r="Q24" s="1803"/>
      <c r="R24" s="1804"/>
      <c r="S24" s="1805"/>
      <c r="T24" s="1804"/>
      <c r="U24" s="1805"/>
      <c r="V24" s="1804"/>
      <c r="W24" s="1805"/>
      <c r="X24" s="1743"/>
      <c r="Y24" s="324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43"/>
      <c r="Q25" s="1803">
        <f>B25</f>
        <v>111</v>
      </c>
      <c r="R25" s="1804" t="s">
        <v>14</v>
      </c>
      <c r="S25" s="1805">
        <f>F25</f>
        <v>100</v>
      </c>
      <c r="T25" s="1804" t="s">
        <v>14</v>
      </c>
      <c r="U25" s="1805">
        <f>H25</f>
        <v>100</v>
      </c>
      <c r="V25" s="1804" t="s">
        <v>14</v>
      </c>
      <c r="W25" s="1805">
        <f>J25</f>
        <v>100</v>
      </c>
      <c r="X25" s="1743"/>
      <c r="Y25" s="324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43"/>
      <c r="Q26" s="1803">
        <f t="shared" ref="Q26:Q40" si="11">B26</f>
        <v>111</v>
      </c>
      <c r="R26" s="1804" t="s">
        <v>14</v>
      </c>
      <c r="S26" s="1805">
        <f>F26</f>
        <v>100</v>
      </c>
      <c r="T26" s="1804" t="s">
        <v>14</v>
      </c>
      <c r="U26" s="1805">
        <f>H26</f>
        <v>100</v>
      </c>
      <c r="V26" s="1804" t="s">
        <v>14</v>
      </c>
      <c r="W26" s="1805">
        <f>J26</f>
        <v>100</v>
      </c>
      <c r="X26" s="1743"/>
      <c r="Y26" s="324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43"/>
      <c r="Q27" s="1769">
        <f t="shared" si="11"/>
        <v>111</v>
      </c>
      <c r="R27" s="463" t="s">
        <v>14</v>
      </c>
      <c r="S27" s="1758">
        <f>F27</f>
        <v>100</v>
      </c>
      <c r="T27" s="463" t="s">
        <v>14</v>
      </c>
      <c r="U27" s="1758">
        <f>H27</f>
        <v>100</v>
      </c>
      <c r="V27" s="463" t="s">
        <v>14</v>
      </c>
      <c r="W27" s="1758">
        <f>J27</f>
        <v>100</v>
      </c>
      <c r="X27" s="1759"/>
      <c r="Y27" s="3243"/>
      <c r="Z27" s="469">
        <f>Q27</f>
        <v>111</v>
      </c>
      <c r="AA27" s="1806">
        <f>D27/F27</f>
        <v>1</v>
      </c>
      <c r="AB27" s="1806">
        <f>D27/H27</f>
        <v>1</v>
      </c>
      <c r="AC27" s="1806">
        <f>D27/J27</f>
        <v>1</v>
      </c>
    </row>
    <row r="28" spans="1:29" ht="15.6"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4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43"/>
      <c r="Z28" s="1806">
        <f t="shared" ref="Z28:Z40" si="15">Q28</f>
        <v>111</v>
      </c>
      <c r="AA28" s="1806">
        <f t="shared" si="3"/>
        <v>1</v>
      </c>
      <c r="AB28" s="1806">
        <f t="shared" si="4"/>
        <v>1</v>
      </c>
      <c r="AC28" s="1806">
        <f t="shared" si="5"/>
        <v>1</v>
      </c>
    </row>
    <row r="29" spans="1:29" ht="30">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6" t="s">
        <v>1924</v>
      </c>
      <c r="Q29" s="1803" t="str">
        <f t="shared" si="11"/>
        <v>建筑类型</v>
      </c>
      <c r="R29" s="1804" t="s">
        <v>14</v>
      </c>
      <c r="S29" s="1805">
        <f t="shared" si="12"/>
        <v>100</v>
      </c>
      <c r="T29" s="1804" t="s">
        <v>14</v>
      </c>
      <c r="U29" s="1805">
        <f t="shared" si="13"/>
        <v>100</v>
      </c>
      <c r="V29" s="1804" t="s">
        <v>14</v>
      </c>
      <c r="W29" s="1805">
        <f t="shared" si="14"/>
        <v>100</v>
      </c>
      <c r="X29" s="1743"/>
      <c r="Y29" s="324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47"/>
      <c r="Q30" s="1839" t="str">
        <f t="shared" si="11"/>
        <v>项目建筑规模</v>
      </c>
      <c r="R30" s="1840" t="s">
        <v>14</v>
      </c>
      <c r="S30" s="1841" t="e">
        <f t="shared" si="12"/>
        <v>#N/A</v>
      </c>
      <c r="T30" s="1840" t="s">
        <v>14</v>
      </c>
      <c r="U30" s="1841" t="e">
        <f t="shared" si="13"/>
        <v>#N/A</v>
      </c>
      <c r="V30" s="1840" t="s">
        <v>14</v>
      </c>
      <c r="W30" s="1841" t="e">
        <f t="shared" si="14"/>
        <v>#N/A</v>
      </c>
      <c r="X30" s="1842"/>
      <c r="Y30" s="324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47"/>
      <c r="Q31" s="1803" t="str">
        <f t="shared" si="11"/>
        <v>建筑结构</v>
      </c>
      <c r="R31" s="1804" t="s">
        <v>14</v>
      </c>
      <c r="S31" s="1805">
        <f t="shared" si="12"/>
        <v>100</v>
      </c>
      <c r="T31" s="1804" t="s">
        <v>14</v>
      </c>
      <c r="U31" s="1805">
        <f t="shared" si="13"/>
        <v>100</v>
      </c>
      <c r="V31" s="1804" t="s">
        <v>14</v>
      </c>
      <c r="W31" s="1805">
        <f t="shared" si="14"/>
        <v>100</v>
      </c>
      <c r="X31" s="1743"/>
      <c r="Y31" s="324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47"/>
      <c r="Q32" s="1803" t="str">
        <f t="shared" si="11"/>
        <v>公共部分装修</v>
      </c>
      <c r="R32" s="1804" t="s">
        <v>14</v>
      </c>
      <c r="S32" s="1805">
        <f t="shared" si="12"/>
        <v>100</v>
      </c>
      <c r="T32" s="1804" t="s">
        <v>14</v>
      </c>
      <c r="U32" s="1805">
        <f t="shared" si="13"/>
        <v>100</v>
      </c>
      <c r="V32" s="1804" t="s">
        <v>14</v>
      </c>
      <c r="W32" s="1805">
        <f t="shared" si="14"/>
        <v>100</v>
      </c>
      <c r="X32" s="1743"/>
      <c r="Y32" s="324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47"/>
      <c r="Q33" s="1803" t="str">
        <f t="shared" si="11"/>
        <v>成新度</v>
      </c>
      <c r="R33" s="1804" t="s">
        <v>14</v>
      </c>
      <c r="S33" s="1805" t="e">
        <f t="shared" si="12"/>
        <v>#N/A</v>
      </c>
      <c r="T33" s="1804" t="s">
        <v>14</v>
      </c>
      <c r="U33" s="1805" t="e">
        <f t="shared" si="13"/>
        <v>#N/A</v>
      </c>
      <c r="V33" s="1804" t="s">
        <v>14</v>
      </c>
      <c r="W33" s="1805" t="e">
        <f t="shared" si="14"/>
        <v>#N/A</v>
      </c>
      <c r="X33" s="1743"/>
      <c r="Y33" s="324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47"/>
      <c r="Q34" s="1769" t="str">
        <f t="shared" si="11"/>
        <v>物业管理</v>
      </c>
      <c r="R34" s="463" t="s">
        <v>14</v>
      </c>
      <c r="S34" s="1758">
        <f t="shared" si="12"/>
        <v>100</v>
      </c>
      <c r="T34" s="463" t="s">
        <v>14</v>
      </c>
      <c r="U34" s="1758">
        <f t="shared" si="13"/>
        <v>100</v>
      </c>
      <c r="V34" s="463" t="s">
        <v>14</v>
      </c>
      <c r="W34" s="1758">
        <f t="shared" si="14"/>
        <v>100</v>
      </c>
      <c r="X34" s="1759"/>
      <c r="Y34" s="324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47" t="s">
        <v>1924</v>
      </c>
      <c r="Q35" s="1803" t="str">
        <f t="shared" si="11"/>
        <v>市政基础设施</v>
      </c>
      <c r="R35" s="1804" t="s">
        <v>14</v>
      </c>
      <c r="S35" s="1805">
        <f t="shared" si="12"/>
        <v>100</v>
      </c>
      <c r="T35" s="1804" t="s">
        <v>14</v>
      </c>
      <c r="U35" s="1805">
        <f t="shared" si="13"/>
        <v>100</v>
      </c>
      <c r="V35" s="1804" t="s">
        <v>14</v>
      </c>
      <c r="W35" s="1805">
        <f t="shared" si="14"/>
        <v>100</v>
      </c>
      <c r="X35" s="1743"/>
      <c r="Y35" s="324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47"/>
      <c r="Q36" s="1803" t="str">
        <f t="shared" si="11"/>
        <v>内部装修</v>
      </c>
      <c r="R36" s="1804" t="s">
        <v>14</v>
      </c>
      <c r="S36" s="1805">
        <f t="shared" si="12"/>
        <v>100</v>
      </c>
      <c r="T36" s="1804" t="s">
        <v>14</v>
      </c>
      <c r="U36" s="1805">
        <f t="shared" si="13"/>
        <v>100</v>
      </c>
      <c r="V36" s="1804" t="s">
        <v>14</v>
      </c>
      <c r="W36" s="1805">
        <f t="shared" si="14"/>
        <v>100</v>
      </c>
      <c r="X36" s="1743"/>
      <c r="Y36" s="324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47"/>
      <c r="Q37" s="1803" t="str">
        <f t="shared" si="11"/>
        <v>内部装修状况</v>
      </c>
      <c r="R37" s="1804" t="s">
        <v>14</v>
      </c>
      <c r="S37" s="1805">
        <f t="shared" si="12"/>
        <v>100</v>
      </c>
      <c r="T37" s="1804" t="s">
        <v>14</v>
      </c>
      <c r="U37" s="1805">
        <f t="shared" si="13"/>
        <v>100</v>
      </c>
      <c r="V37" s="1804" t="s">
        <v>14</v>
      </c>
      <c r="W37" s="1805">
        <f t="shared" si="14"/>
        <v>100</v>
      </c>
      <c r="X37" s="1743"/>
      <c r="Y37" s="324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47"/>
      <c r="Q38" s="1839">
        <f t="shared" si="11"/>
        <v>111</v>
      </c>
      <c r="R38" s="1840" t="s">
        <v>14</v>
      </c>
      <c r="S38" s="1841">
        <f t="shared" si="12"/>
        <v>100</v>
      </c>
      <c r="T38" s="1840" t="s">
        <v>14</v>
      </c>
      <c r="U38" s="1841">
        <f t="shared" si="13"/>
        <v>100</v>
      </c>
      <c r="V38" s="1840" t="s">
        <v>14</v>
      </c>
      <c r="W38" s="1841">
        <f t="shared" si="14"/>
        <v>100</v>
      </c>
      <c r="X38" s="1842"/>
      <c r="Y38" s="324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47"/>
      <c r="Q39" s="1803">
        <f t="shared" si="11"/>
        <v>111</v>
      </c>
      <c r="R39" s="1804" t="s">
        <v>14</v>
      </c>
      <c r="S39" s="1805">
        <f t="shared" si="12"/>
        <v>100</v>
      </c>
      <c r="T39" s="1804" t="s">
        <v>14</v>
      </c>
      <c r="U39" s="1805">
        <f t="shared" si="13"/>
        <v>100</v>
      </c>
      <c r="V39" s="1804" t="s">
        <v>14</v>
      </c>
      <c r="W39" s="1805">
        <f t="shared" si="14"/>
        <v>100</v>
      </c>
      <c r="X39" s="1743"/>
      <c r="Y39" s="3247"/>
      <c r="Z39" s="1806">
        <f t="shared" si="15"/>
        <v>111</v>
      </c>
      <c r="AA39" s="1806">
        <f t="shared" si="3"/>
        <v>1</v>
      </c>
      <c r="AB39" s="1806">
        <f t="shared" si="4"/>
        <v>1</v>
      </c>
      <c r="AC39" s="1806">
        <f t="shared" si="5"/>
        <v>1</v>
      </c>
    </row>
    <row r="40" spans="1:29" ht="15.6"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48"/>
      <c r="Q40" s="1803">
        <f t="shared" si="11"/>
        <v>111</v>
      </c>
      <c r="R40" s="1804" t="s">
        <v>14</v>
      </c>
      <c r="S40" s="1805">
        <f t="shared" si="12"/>
        <v>100</v>
      </c>
      <c r="T40" s="1804" t="s">
        <v>14</v>
      </c>
      <c r="U40" s="1805">
        <f t="shared" si="13"/>
        <v>100</v>
      </c>
      <c r="V40" s="1804" t="s">
        <v>14</v>
      </c>
      <c r="W40" s="1805">
        <f t="shared" si="14"/>
        <v>100</v>
      </c>
      <c r="X40" s="1743"/>
      <c r="Y40" s="3248"/>
      <c r="Z40" s="1806">
        <f t="shared" si="15"/>
        <v>111</v>
      </c>
      <c r="AA40" s="1806">
        <f t="shared" si="3"/>
        <v>1</v>
      </c>
      <c r="AB40" s="1806">
        <f t="shared" si="4"/>
        <v>1</v>
      </c>
      <c r="AC40" s="1806">
        <f t="shared" si="5"/>
        <v>1</v>
      </c>
    </row>
    <row r="41" spans="1:29" ht="14.4">
      <c r="A41" s="1849" t="s">
        <v>1936</v>
      </c>
      <c r="B41" s="1850"/>
      <c r="C41" s="1851" t="s">
        <v>0</v>
      </c>
      <c r="D41" s="1852"/>
      <c r="E41" s="1853"/>
      <c r="F41" s="1854"/>
      <c r="G41" s="1855"/>
      <c r="H41" s="1856"/>
      <c r="I41" s="1853"/>
      <c r="J41" s="1856"/>
      <c r="K41" s="1805"/>
      <c r="L41" s="2120"/>
      <c r="M41" s="2121"/>
      <c r="N41" s="2109"/>
      <c r="O41" s="2121"/>
      <c r="P41" s="3241" t="str">
        <f>A41</f>
        <v>成交单价（元/平方米）</v>
      </c>
      <c r="Q41" s="3241"/>
      <c r="R41" s="3236">
        <f>E41</f>
        <v>0</v>
      </c>
      <c r="S41" s="3236"/>
      <c r="T41" s="3236">
        <f>G41</f>
        <v>0</v>
      </c>
      <c r="U41" s="3236"/>
      <c r="V41" s="3236">
        <f>I41</f>
        <v>0</v>
      </c>
      <c r="W41" s="3236"/>
      <c r="X41" s="1860"/>
      <c r="Y41" s="1861"/>
      <c r="Z41" s="1860"/>
      <c r="AA41" s="1860"/>
      <c r="AB41" s="1860"/>
      <c r="AC41" s="1860"/>
    </row>
    <row r="42" spans="1:29" ht="1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41" t="str">
        <f>A42</f>
        <v>比较价值（元/平方米）</v>
      </c>
      <c r="Q42" s="3241"/>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1860"/>
      <c r="Y42" s="1860"/>
      <c r="Z42" s="1860"/>
      <c r="AA42" s="1860"/>
      <c r="AB42" s="1860"/>
      <c r="AC42" s="1860"/>
    </row>
    <row r="43" spans="1:29" ht="15" thickBot="1">
      <c r="A43" s="1869" t="s">
        <v>2029</v>
      </c>
      <c r="B43" s="1870"/>
      <c r="C43" s="1749" t="e">
        <f>R43</f>
        <v>#DIV/0!</v>
      </c>
      <c r="D43" s="1749"/>
      <c r="E43" s="1749"/>
      <c r="F43" s="1749"/>
      <c r="G43" s="1749"/>
      <c r="H43" s="1749"/>
      <c r="I43" s="1749"/>
      <c r="J43" s="1749"/>
      <c r="K43" s="1803"/>
      <c r="L43" s="2120"/>
      <c r="M43" s="2121"/>
      <c r="N43" s="2121"/>
      <c r="O43" s="2121"/>
      <c r="P43" s="3238" t="str">
        <f>A43</f>
        <v>估价对象XX用房的比较价值（楼面单价，元/平方米）</v>
      </c>
      <c r="Q43" s="3239"/>
      <c r="R43" s="3240" t="e">
        <f>IF(F1="售价",ROUND(IF(D42="简单平均",AVERAGE(R42:V42),R42*F42+T42*H42+V42*J42),0),ROUND(IF(D42="简单平均",AVERAGE(R42:V42),R42*F42+T42*H42+V42*J42),1))</f>
        <v>#DIV/0!</v>
      </c>
      <c r="S43" s="3240"/>
      <c r="T43" s="3240"/>
      <c r="U43" s="3240"/>
      <c r="V43" s="3240"/>
      <c r="W43" s="324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2.2"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4.4">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c r="A53" s="1892"/>
      <c r="B53" s="1903"/>
      <c r="C53" s="1894">
        <v>100</v>
      </c>
      <c r="D53" s="1896"/>
      <c r="E53" s="1896"/>
      <c r="F53" s="1896"/>
      <c r="G53" s="1896"/>
      <c r="H53" s="1896"/>
      <c r="I53" s="1896"/>
      <c r="J53" s="1896"/>
      <c r="K53" s="1896"/>
      <c r="L53" s="1896"/>
      <c r="M53" s="1784"/>
      <c r="N53" s="1896"/>
      <c r="O53" s="1910"/>
      <c r="P53" s="1886"/>
    </row>
    <row r="54" spans="1:17" s="1760" customFormat="1" ht="1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4.4">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4.4" thickBot="1">
      <c r="A56" s="1902"/>
      <c r="B56" s="1903"/>
      <c r="C56" s="2128">
        <v>100</v>
      </c>
      <c r="D56" s="1896"/>
      <c r="E56" s="1896"/>
      <c r="F56" s="1896"/>
      <c r="G56" s="1896"/>
      <c r="H56" s="1896"/>
      <c r="I56" s="1896"/>
      <c r="J56" s="1896"/>
      <c r="K56" s="1896"/>
      <c r="L56" s="1896"/>
      <c r="M56" s="1910"/>
      <c r="N56" s="1908"/>
      <c r="O56" s="1908"/>
      <c r="P56" s="1886"/>
      <c r="Q56" s="1886"/>
    </row>
    <row r="57" spans="1:17" ht="14.4">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4.4" thickBot="1">
      <c r="A58" s="1779"/>
      <c r="B58" s="1918"/>
      <c r="C58" s="1919">
        <v>100</v>
      </c>
      <c r="D58" s="1919"/>
      <c r="E58" s="1919"/>
      <c r="F58" s="1919"/>
      <c r="G58" s="1919"/>
      <c r="H58" s="1919"/>
      <c r="I58" s="1919"/>
      <c r="J58" s="1919"/>
      <c r="K58" s="1919"/>
      <c r="L58" s="1919"/>
      <c r="M58" s="1920"/>
      <c r="N58" s="1921"/>
      <c r="O58" s="1921"/>
      <c r="P58" s="1886"/>
      <c r="Q58" s="1886"/>
    </row>
    <row r="59" spans="1:17" ht="29.4"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4.4"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c r="A62" s="1779"/>
      <c r="B62" s="1932"/>
      <c r="C62" s="1933"/>
      <c r="D62" s="1933"/>
      <c r="E62" s="1933"/>
      <c r="F62" s="1933"/>
      <c r="G62" s="1933"/>
      <c r="H62" s="1933"/>
      <c r="I62" s="1933"/>
      <c r="J62" s="1933"/>
      <c r="K62" s="1934"/>
      <c r="L62" s="1935"/>
      <c r="M62" s="1936"/>
      <c r="N62" s="1917"/>
      <c r="O62" s="1917"/>
      <c r="P62" s="1886"/>
      <c r="Q62" s="1886"/>
    </row>
    <row r="63" spans="1:17" ht="14.4"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4.4"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4.4" thickBot="1">
      <c r="A65" s="1937"/>
      <c r="B65" s="1927"/>
      <c r="C65" s="1945"/>
      <c r="D65" s="1919"/>
      <c r="E65" s="1919"/>
      <c r="F65" s="1919"/>
      <c r="G65" s="1919"/>
      <c r="H65" s="1919"/>
      <c r="I65" s="1919"/>
      <c r="J65" s="1919"/>
      <c r="K65" s="1919"/>
      <c r="L65" s="1919"/>
      <c r="M65" s="1920"/>
      <c r="N65" s="1921"/>
      <c r="O65" s="1921"/>
      <c r="P65" s="1944"/>
      <c r="Q65" s="1944"/>
    </row>
    <row r="66" spans="1:17" s="1844" customFormat="1" ht="14.4"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4.4" thickBot="1">
      <c r="A67" s="1937"/>
      <c r="B67" s="1927"/>
      <c r="C67" s="1945"/>
      <c r="D67" s="1919"/>
      <c r="E67" s="1919"/>
      <c r="F67" s="1919"/>
      <c r="G67" s="1945"/>
      <c r="H67" s="1948"/>
      <c r="I67" s="1948"/>
      <c r="J67" s="1948"/>
      <c r="K67" s="1948"/>
      <c r="L67" s="1948"/>
      <c r="M67" s="1949"/>
      <c r="N67" s="1942"/>
      <c r="O67" s="1942"/>
      <c r="P67" s="1944"/>
      <c r="Q67" s="1944"/>
    </row>
    <row r="68" spans="1:17" s="1844" customFormat="1" ht="14.4"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4.4" thickBot="1">
      <c r="A69" s="1954"/>
      <c r="B69" s="1955"/>
      <c r="C69" s="1956"/>
      <c r="D69" s="1956"/>
      <c r="E69" s="1956"/>
      <c r="F69" s="1956"/>
      <c r="G69" s="1956"/>
      <c r="H69" s="1957"/>
      <c r="I69" s="1957"/>
      <c r="J69" s="1957"/>
      <c r="K69" s="1957"/>
      <c r="L69" s="1957"/>
      <c r="M69" s="1958"/>
      <c r="N69" s="1942"/>
      <c r="O69" s="1942"/>
      <c r="P69" s="1944"/>
      <c r="Q69" s="1944"/>
    </row>
    <row r="70" spans="1:17" ht="14.4">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4.4"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4.4"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4.4"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4.4"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4.4"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4.4"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4.4" thickBot="1">
      <c r="A81" s="1783"/>
      <c r="B81" s="1927"/>
      <c r="C81" s="1945"/>
      <c r="D81" s="1919"/>
      <c r="E81" s="1919"/>
      <c r="F81" s="1919"/>
      <c r="G81" s="1919"/>
      <c r="H81" s="1919"/>
      <c r="I81" s="1919"/>
      <c r="J81" s="1919"/>
      <c r="K81" s="1919"/>
      <c r="L81" s="1919"/>
      <c r="M81" s="1920"/>
      <c r="N81" s="1921"/>
      <c r="O81" s="1921"/>
      <c r="P81" s="1886"/>
      <c r="Q81" s="1886"/>
    </row>
    <row r="82" spans="1:17" s="1760" customFormat="1" ht="14.4"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4.4" thickBot="1">
      <c r="A83" s="1783"/>
      <c r="B83" s="1927"/>
      <c r="C83" s="1945"/>
      <c r="D83" s="1919"/>
      <c r="E83" s="1919"/>
      <c r="F83" s="1919"/>
      <c r="G83" s="1919"/>
      <c r="H83" s="1919"/>
      <c r="I83" s="1919"/>
      <c r="J83" s="1919"/>
      <c r="K83" s="1919"/>
      <c r="L83" s="1919"/>
      <c r="M83" s="1920"/>
      <c r="N83" s="1921"/>
      <c r="O83" s="1921"/>
      <c r="P83" s="1886"/>
      <c r="Q83" s="1886"/>
    </row>
    <row r="84" spans="1:17" s="1844" customFormat="1" ht="14.4"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4.4" thickBot="1">
      <c r="A85" s="1937"/>
      <c r="B85" s="1927"/>
      <c r="C85" s="1945"/>
      <c r="D85" s="1919"/>
      <c r="E85" s="1919"/>
      <c r="F85" s="1919"/>
      <c r="G85" s="1919"/>
      <c r="H85" s="1919"/>
      <c r="I85" s="1919"/>
      <c r="J85" s="1919"/>
      <c r="K85" s="1919"/>
      <c r="L85" s="1919"/>
      <c r="M85" s="1920"/>
      <c r="N85" s="1942"/>
      <c r="O85" s="1942"/>
      <c r="P85" s="1944"/>
      <c r="Q85" s="1944"/>
    </row>
    <row r="86" spans="1:17" ht="14.4" thickTop="1">
      <c r="A86" s="1779"/>
      <c r="B86" s="1930">
        <f>B28</f>
        <v>111</v>
      </c>
      <c r="C86" s="1905"/>
      <c r="D86" s="1905"/>
      <c r="E86" s="1905"/>
      <c r="F86" s="1905"/>
      <c r="G86" s="1974"/>
      <c r="H86" s="1974"/>
      <c r="I86" s="1974"/>
      <c r="J86" s="1974"/>
      <c r="K86" s="1975"/>
      <c r="L86" s="1976"/>
      <c r="M86" s="1977"/>
      <c r="N86" s="1917"/>
      <c r="O86" s="1917"/>
      <c r="P86" s="1886"/>
      <c r="Q86" s="1886"/>
    </row>
    <row r="87" spans="1:17" ht="14.4" thickBot="1">
      <c r="A87" s="1791"/>
      <c r="B87" s="1955"/>
      <c r="C87" s="1956"/>
      <c r="D87" s="1956"/>
      <c r="E87" s="1956"/>
      <c r="F87" s="1956"/>
      <c r="G87" s="1978"/>
      <c r="H87" s="1978"/>
      <c r="I87" s="1978"/>
      <c r="J87" s="1978"/>
      <c r="K87" s="1978"/>
      <c r="L87" s="1978"/>
      <c r="M87" s="1979"/>
      <c r="N87" s="1921"/>
      <c r="O87" s="1921"/>
      <c r="P87" s="1886"/>
      <c r="Q87" s="1886"/>
    </row>
    <row r="88" spans="1:17" ht="14.4">
      <c r="A88" s="1796" t="s">
        <v>1922</v>
      </c>
      <c r="B88" s="1911" t="s">
        <v>1971</v>
      </c>
      <c r="C88" s="1913"/>
      <c r="D88" s="1913"/>
      <c r="E88" s="1913"/>
      <c r="F88" s="1913"/>
      <c r="G88" s="1913"/>
      <c r="H88" s="1913"/>
      <c r="I88" s="1913"/>
      <c r="J88" s="1913"/>
      <c r="K88" s="1914"/>
      <c r="L88" s="1915"/>
      <c r="M88" s="1916"/>
      <c r="N88" s="1917"/>
      <c r="O88" s="1917"/>
      <c r="P88" s="1886"/>
      <c r="Q88" s="1886"/>
    </row>
    <row r="89" spans="1:17" ht="14.4"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4.4"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4.4"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4.4"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4.4"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4.4"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4.4"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4.4"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29.4"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4.4"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4.4"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4.4" thickBot="1">
      <c r="A109" s="1937"/>
      <c r="B109" s="1918"/>
      <c r="C109" s="1945"/>
      <c r="D109" s="1919"/>
      <c r="E109" s="1919"/>
      <c r="F109" s="1919"/>
      <c r="G109" s="1945"/>
      <c r="H109" s="1948"/>
      <c r="I109" s="1948"/>
      <c r="J109" s="1948"/>
      <c r="K109" s="1948"/>
      <c r="L109" s="1948"/>
      <c r="M109" s="1949"/>
      <c r="N109" s="1942"/>
      <c r="O109" s="1942"/>
      <c r="P109" s="1944"/>
      <c r="Q109" s="1944"/>
    </row>
    <row r="110" spans="1:17" ht="14.4"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4.4" thickBot="1">
      <c r="A111" s="1779"/>
      <c r="B111" s="1927"/>
      <c r="C111" s="1945"/>
      <c r="D111" s="1919"/>
      <c r="E111" s="1919"/>
      <c r="F111" s="1919"/>
      <c r="G111" s="1945"/>
      <c r="H111" s="1948"/>
      <c r="I111" s="1948"/>
      <c r="J111" s="1948"/>
      <c r="K111" s="1948"/>
      <c r="L111" s="1948"/>
      <c r="M111" s="1949"/>
      <c r="N111" s="1921"/>
      <c r="O111" s="1921"/>
      <c r="P111" s="1886"/>
      <c r="Q111" s="1886"/>
    </row>
    <row r="112" spans="1:17" ht="14.4"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4.4"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5.44140625" style="1744" customWidth="1"/>
    <col min="10" max="15" width="12.21875" style="1744" customWidth="1"/>
    <col min="16" max="16" width="4.77734375" style="2106"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4.4">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11" t="s">
        <v>2006</v>
      </c>
      <c r="S4" s="3212"/>
      <c r="T4" s="3211" t="s">
        <v>2007</v>
      </c>
      <c r="U4" s="3212"/>
      <c r="V4" s="3236" t="s">
        <v>2008</v>
      </c>
      <c r="W4" s="3236"/>
      <c r="X4" s="1743"/>
      <c r="Y4" s="3211" t="s">
        <v>2010</v>
      </c>
      <c r="Z4" s="3212"/>
      <c r="AA4" s="3206" t="s">
        <v>2006</v>
      </c>
      <c r="AB4" s="3207" t="s">
        <v>2007</v>
      </c>
      <c r="AC4" s="3206" t="s">
        <v>2008</v>
      </c>
    </row>
    <row r="5" spans="1:29">
      <c r="A5" s="1745"/>
      <c r="B5" s="1746"/>
      <c r="C5" s="3217" t="s">
        <v>1901</v>
      </c>
      <c r="D5" s="3218"/>
      <c r="E5" s="3215" t="s">
        <v>1902</v>
      </c>
      <c r="F5" s="3216"/>
      <c r="G5" s="3217" t="s">
        <v>1903</v>
      </c>
      <c r="H5" s="3218"/>
      <c r="I5" s="3217" t="s">
        <v>1904</v>
      </c>
      <c r="J5" s="3218"/>
      <c r="K5" s="2042"/>
      <c r="L5" s="1741"/>
      <c r="M5" s="1742"/>
      <c r="N5" s="1742"/>
      <c r="O5" s="1742"/>
      <c r="P5" s="3230"/>
      <c r="Q5" s="3231"/>
      <c r="R5" s="3213"/>
      <c r="S5" s="3214"/>
      <c r="T5" s="3213"/>
      <c r="U5" s="3214"/>
      <c r="V5" s="3236"/>
      <c r="W5" s="3236"/>
      <c r="X5" s="1743"/>
      <c r="Y5" s="3213"/>
      <c r="Z5" s="3214"/>
      <c r="AA5" s="3207"/>
      <c r="AB5" s="3207"/>
      <c r="AC5" s="3207"/>
    </row>
    <row r="6" spans="1:29" ht="15" thickBot="1">
      <c r="A6" s="1748"/>
      <c r="B6" s="1749"/>
      <c r="C6" s="3219" t="s">
        <v>1905</v>
      </c>
      <c r="D6" s="3220"/>
      <c r="E6" s="3221" t="s">
        <v>1905</v>
      </c>
      <c r="F6" s="3222"/>
      <c r="G6" s="3219" t="s">
        <v>1905</v>
      </c>
      <c r="H6" s="3220"/>
      <c r="I6" s="3219" t="s">
        <v>1905</v>
      </c>
      <c r="J6" s="3220"/>
      <c r="K6" s="2042" t="s">
        <v>1906</v>
      </c>
      <c r="L6" s="1741"/>
      <c r="M6" s="1742"/>
      <c r="N6" s="1742"/>
      <c r="O6" s="1742"/>
      <c r="P6" s="3232"/>
      <c r="Q6" s="3233"/>
      <c r="R6" s="3213"/>
      <c r="S6" s="3214"/>
      <c r="T6" s="3234"/>
      <c r="U6" s="3235"/>
      <c r="V6" s="3236"/>
      <c r="W6" s="3236"/>
      <c r="X6" s="1743"/>
      <c r="Y6" s="3234"/>
      <c r="Z6" s="3235"/>
      <c r="AA6" s="3208"/>
      <c r="AB6" s="3208"/>
      <c r="AC6" s="3208"/>
    </row>
    <row r="7" spans="1:29" s="1760" customFormat="1" ht="15" thickBot="1">
      <c r="A7" s="1750" t="s">
        <v>1907</v>
      </c>
      <c r="B7" s="1751"/>
      <c r="C7" s="1752">
        <f>'数据-取费表'!B2</f>
        <v>44889</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09" t="s">
        <v>1908</v>
      </c>
      <c r="Q7" s="3237"/>
      <c r="R7" s="463" t="s">
        <v>14</v>
      </c>
      <c r="S7" s="1758">
        <f t="shared" ref="S7:S14" si="0">F7</f>
        <v>0</v>
      </c>
      <c r="T7" s="463" t="s">
        <v>14</v>
      </c>
      <c r="U7" s="1758">
        <f t="shared" ref="U7:U14" si="1">H7</f>
        <v>0</v>
      </c>
      <c r="V7" s="463" t="s">
        <v>14</v>
      </c>
      <c r="W7" s="1758">
        <f t="shared" ref="W7:W14" si="2">J7</f>
        <v>0</v>
      </c>
      <c r="X7" s="1759"/>
      <c r="Y7" s="3209" t="s">
        <v>1908</v>
      </c>
      <c r="Z7" s="3210"/>
      <c r="AA7" s="469" t="e">
        <f>D7/F7</f>
        <v>#DIV/0!</v>
      </c>
      <c r="AB7" s="469" t="e">
        <f>D7/H7</f>
        <v>#DIV/0!</v>
      </c>
      <c r="AC7" s="469" t="e">
        <f>D7/J7</f>
        <v>#DIV/0!</v>
      </c>
    </row>
    <row r="8" spans="1:29" s="1760" customFormat="1" ht="1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09" t="s">
        <v>1911</v>
      </c>
      <c r="Q8" s="3210"/>
      <c r="R8" s="463" t="s">
        <v>14</v>
      </c>
      <c r="S8" s="1758">
        <f t="shared" si="0"/>
        <v>0</v>
      </c>
      <c r="T8" s="463" t="s">
        <v>14</v>
      </c>
      <c r="U8" s="1758">
        <f t="shared" si="1"/>
        <v>0</v>
      </c>
      <c r="V8" s="463" t="s">
        <v>14</v>
      </c>
      <c r="W8" s="1758">
        <f t="shared" si="2"/>
        <v>0</v>
      </c>
      <c r="X8" s="1759"/>
      <c r="Y8" s="3209" t="s">
        <v>1911</v>
      </c>
      <c r="Z8" s="3210"/>
      <c r="AA8" s="469" t="e">
        <f t="shared" ref="AA8:AA36" si="3">D8/F8</f>
        <v>#DIV/0!</v>
      </c>
      <c r="AB8" s="469" t="e">
        <f t="shared" ref="AB8:AB36" si="4">D8/H8</f>
        <v>#DIV/0!</v>
      </c>
      <c r="AC8" s="469" t="e">
        <f t="shared" ref="AC8:AC36" si="5">D8/J8</f>
        <v>#DIV/0!</v>
      </c>
    </row>
    <row r="9" spans="1:29" s="1760" customFormat="1" ht="14.4">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41" t="s">
        <v>1914</v>
      </c>
      <c r="Q9" s="1769" t="str">
        <f t="shared" ref="Q9:Q14" si="6">B9</f>
        <v>用途</v>
      </c>
      <c r="R9" s="463" t="s">
        <v>14</v>
      </c>
      <c r="S9" s="1758">
        <f t="shared" si="0"/>
        <v>100</v>
      </c>
      <c r="T9" s="463" t="s">
        <v>14</v>
      </c>
      <c r="U9" s="1758">
        <f t="shared" si="1"/>
        <v>100</v>
      </c>
      <c r="V9" s="463" t="s">
        <v>14</v>
      </c>
      <c r="W9" s="1758">
        <f t="shared" si="2"/>
        <v>100</v>
      </c>
      <c r="X9" s="1759"/>
      <c r="Y9" s="3153" t="s">
        <v>1915</v>
      </c>
      <c r="Z9" s="469" t="str">
        <f t="shared" ref="Z9:Z14" si="7">Q9</f>
        <v>用途</v>
      </c>
      <c r="AA9" s="469">
        <f t="shared" si="3"/>
        <v>1</v>
      </c>
      <c r="AB9" s="469">
        <f t="shared" si="4"/>
        <v>1</v>
      </c>
      <c r="AC9" s="469">
        <f t="shared" si="5"/>
        <v>1</v>
      </c>
    </row>
    <row r="10" spans="1:29" s="1778" customFormat="1" ht="28.8">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41"/>
      <c r="Q10" s="1769" t="str">
        <f t="shared" si="6"/>
        <v>土地使用年限（年）</v>
      </c>
      <c r="R10" s="463" t="s">
        <v>14</v>
      </c>
      <c r="S10" s="1758">
        <f t="shared" si="0"/>
        <v>100</v>
      </c>
      <c r="T10" s="463" t="s">
        <v>14</v>
      </c>
      <c r="U10" s="1758">
        <f t="shared" si="1"/>
        <v>100</v>
      </c>
      <c r="V10" s="463" t="s">
        <v>14</v>
      </c>
      <c r="W10" s="1758">
        <f t="shared" si="2"/>
        <v>100</v>
      </c>
      <c r="X10" s="1759"/>
      <c r="Y10" s="315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41"/>
      <c r="Q11" s="1769">
        <f t="shared" si="6"/>
        <v>111</v>
      </c>
      <c r="R11" s="463" t="s">
        <v>14</v>
      </c>
      <c r="S11" s="1758">
        <f t="shared" si="0"/>
        <v>100</v>
      </c>
      <c r="T11" s="463" t="s">
        <v>14</v>
      </c>
      <c r="U11" s="1758">
        <f t="shared" si="1"/>
        <v>100</v>
      </c>
      <c r="V11" s="463" t="s">
        <v>14</v>
      </c>
      <c r="W11" s="1758">
        <f t="shared" si="2"/>
        <v>100</v>
      </c>
      <c r="X11" s="1759"/>
      <c r="Y11" s="315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41"/>
      <c r="Q12" s="1769">
        <f t="shared" si="6"/>
        <v>111</v>
      </c>
      <c r="R12" s="463" t="s">
        <v>14</v>
      </c>
      <c r="S12" s="1758">
        <f t="shared" si="0"/>
        <v>100</v>
      </c>
      <c r="T12" s="463" t="s">
        <v>14</v>
      </c>
      <c r="U12" s="1758">
        <f t="shared" si="1"/>
        <v>100</v>
      </c>
      <c r="V12" s="463" t="s">
        <v>14</v>
      </c>
      <c r="W12" s="1758">
        <f t="shared" si="2"/>
        <v>100</v>
      </c>
      <c r="X12" s="1759"/>
      <c r="Y12" s="3153"/>
      <c r="Z12" s="469">
        <f t="shared" si="7"/>
        <v>111</v>
      </c>
      <c r="AA12" s="469">
        <f>D12/F12</f>
        <v>1</v>
      </c>
      <c r="AB12" s="469">
        <f>D12/H12</f>
        <v>1</v>
      </c>
      <c r="AC12" s="469">
        <f>D12/J12</f>
        <v>1</v>
      </c>
    </row>
    <row r="13" spans="1:29" ht="15.6"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41"/>
      <c r="Q13" s="1769">
        <f t="shared" si="6"/>
        <v>111</v>
      </c>
      <c r="R13" s="463" t="s">
        <v>14</v>
      </c>
      <c r="S13" s="1758">
        <f t="shared" si="0"/>
        <v>100</v>
      </c>
      <c r="T13" s="463" t="s">
        <v>14</v>
      </c>
      <c r="U13" s="1758">
        <f t="shared" si="1"/>
        <v>100</v>
      </c>
      <c r="V13" s="463" t="s">
        <v>14</v>
      </c>
      <c r="W13" s="1758">
        <f t="shared" si="2"/>
        <v>100</v>
      </c>
      <c r="X13" s="1759"/>
      <c r="Y13" s="3153"/>
      <c r="Z13" s="469">
        <f t="shared" si="7"/>
        <v>111</v>
      </c>
      <c r="AA13" s="469">
        <f t="shared" si="3"/>
        <v>1</v>
      </c>
      <c r="AB13" s="469">
        <f t="shared" si="4"/>
        <v>1</v>
      </c>
      <c r="AC13" s="469">
        <f t="shared" si="5"/>
        <v>1</v>
      </c>
    </row>
    <row r="14" spans="1:29" ht="96.6">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42" t="s">
        <v>1919</v>
      </c>
      <c r="Q14" s="1803" t="str">
        <f t="shared" si="6"/>
        <v>交通便捷度</v>
      </c>
      <c r="R14" s="1804" t="s">
        <v>14</v>
      </c>
      <c r="S14" s="1805">
        <f t="shared" si="0"/>
        <v>100</v>
      </c>
      <c r="T14" s="1804" t="s">
        <v>14</v>
      </c>
      <c r="U14" s="1805">
        <f t="shared" si="1"/>
        <v>100</v>
      </c>
      <c r="V14" s="1804" t="s">
        <v>14</v>
      </c>
      <c r="W14" s="1805">
        <f t="shared" si="2"/>
        <v>100</v>
      </c>
      <c r="X14" s="1743"/>
      <c r="Y14" s="324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43"/>
      <c r="Q15" s="1803"/>
      <c r="R15" s="1804"/>
      <c r="S15" s="1805"/>
      <c r="T15" s="1804"/>
      <c r="U15" s="1805"/>
      <c r="V15" s="1804"/>
      <c r="W15" s="1805"/>
      <c r="X15" s="1743"/>
      <c r="Y15" s="3243"/>
      <c r="Z15" s="1806"/>
      <c r="AA15" s="1806">
        <v>1</v>
      </c>
      <c r="AB15" s="1806">
        <v>1</v>
      </c>
      <c r="AC15" s="1806">
        <v>1</v>
      </c>
    </row>
    <row r="16" spans="1:29" ht="41.4">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43"/>
      <c r="Q16" s="1803" t="str">
        <f>B16</f>
        <v>公共配套设施</v>
      </c>
      <c r="R16" s="1804" t="s">
        <v>14</v>
      </c>
      <c r="S16" s="1805">
        <f>F16</f>
        <v>100</v>
      </c>
      <c r="T16" s="1804" t="s">
        <v>14</v>
      </c>
      <c r="U16" s="1805">
        <f>H16</f>
        <v>100</v>
      </c>
      <c r="V16" s="1804" t="s">
        <v>14</v>
      </c>
      <c r="W16" s="1805">
        <f>J16</f>
        <v>100</v>
      </c>
      <c r="X16" s="1743"/>
      <c r="Y16" s="324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43"/>
      <c r="Q17" s="1803"/>
      <c r="R17" s="1804"/>
      <c r="S17" s="1805"/>
      <c r="T17" s="1804"/>
      <c r="U17" s="1805"/>
      <c r="V17" s="1804"/>
      <c r="W17" s="1805"/>
      <c r="X17" s="1743"/>
      <c r="Y17" s="3243"/>
      <c r="Z17" s="1806"/>
      <c r="AA17" s="1806">
        <v>1</v>
      </c>
      <c r="AB17" s="1806">
        <v>1</v>
      </c>
      <c r="AC17" s="1806">
        <v>1</v>
      </c>
    </row>
    <row r="18" spans="1:29" ht="41.4">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43"/>
      <c r="Q18" s="1803" t="str">
        <f>B18</f>
        <v>基础设施水平</v>
      </c>
      <c r="R18" s="1804" t="s">
        <v>14</v>
      </c>
      <c r="S18" s="1805">
        <f>F18</f>
        <v>100</v>
      </c>
      <c r="T18" s="1804" t="s">
        <v>14</v>
      </c>
      <c r="U18" s="1805">
        <f>H18</f>
        <v>100</v>
      </c>
      <c r="V18" s="1804" t="s">
        <v>14</v>
      </c>
      <c r="W18" s="1805">
        <f>J18</f>
        <v>100</v>
      </c>
      <c r="X18" s="1743"/>
      <c r="Y18" s="324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43"/>
      <c r="Q19" s="1803"/>
      <c r="R19" s="1804"/>
      <c r="S19" s="1805"/>
      <c r="T19" s="1804"/>
      <c r="U19" s="1805"/>
      <c r="V19" s="1804"/>
      <c r="W19" s="1805"/>
      <c r="X19" s="1743"/>
      <c r="Y19" s="3243"/>
      <c r="Z19" s="1806"/>
      <c r="AA19" s="1806">
        <v>1</v>
      </c>
      <c r="AB19" s="1806">
        <v>1</v>
      </c>
      <c r="AC19" s="1806">
        <v>1</v>
      </c>
    </row>
    <row r="20" spans="1:29" ht="55.2">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43"/>
      <c r="Q20" s="1803" t="str">
        <f>B20</f>
        <v>自然及人文环境</v>
      </c>
      <c r="R20" s="1804" t="s">
        <v>14</v>
      </c>
      <c r="S20" s="1805">
        <f>F20</f>
        <v>100</v>
      </c>
      <c r="T20" s="1804" t="s">
        <v>14</v>
      </c>
      <c r="U20" s="1805">
        <f>H20</f>
        <v>100</v>
      </c>
      <c r="V20" s="1804" t="s">
        <v>14</v>
      </c>
      <c r="W20" s="1805">
        <f>J20</f>
        <v>100</v>
      </c>
      <c r="X20" s="1743"/>
      <c r="Y20" s="324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43"/>
      <c r="Q21" s="1803"/>
      <c r="R21" s="1804"/>
      <c r="S21" s="1805"/>
      <c r="T21" s="1804"/>
      <c r="U21" s="1805"/>
      <c r="V21" s="1804"/>
      <c r="W21" s="1805"/>
      <c r="X21" s="1743"/>
      <c r="Y21" s="324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43"/>
      <c r="Q22" s="1803" t="str">
        <f>B22</f>
        <v>楼层</v>
      </c>
      <c r="R22" s="1804" t="s">
        <v>14</v>
      </c>
      <c r="S22" s="1805">
        <f>F22</f>
        <v>100</v>
      </c>
      <c r="T22" s="1804" t="s">
        <v>14</v>
      </c>
      <c r="U22" s="1805">
        <f>H22</f>
        <v>100</v>
      </c>
      <c r="V22" s="1804" t="s">
        <v>14</v>
      </c>
      <c r="W22" s="1805">
        <f>J22</f>
        <v>100</v>
      </c>
      <c r="X22" s="1743"/>
      <c r="Y22" s="324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43"/>
      <c r="Q23" s="1803">
        <f>B23</f>
        <v>111</v>
      </c>
      <c r="R23" s="1804" t="s">
        <v>14</v>
      </c>
      <c r="S23" s="1805">
        <f>F23</f>
        <v>100</v>
      </c>
      <c r="T23" s="1804" t="s">
        <v>14</v>
      </c>
      <c r="U23" s="1805">
        <f>H23</f>
        <v>100</v>
      </c>
      <c r="V23" s="1804" t="s">
        <v>14</v>
      </c>
      <c r="W23" s="1805">
        <f>J23</f>
        <v>100</v>
      </c>
      <c r="X23" s="1743"/>
      <c r="Y23" s="324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43"/>
      <c r="Q24" s="1803">
        <f t="shared" ref="Q24:Q36" si="11">B24</f>
        <v>111</v>
      </c>
      <c r="R24" s="1804" t="s">
        <v>14</v>
      </c>
      <c r="S24" s="1805">
        <f>F24</f>
        <v>100</v>
      </c>
      <c r="T24" s="1804" t="s">
        <v>14</v>
      </c>
      <c r="U24" s="1805">
        <f>H24</f>
        <v>100</v>
      </c>
      <c r="V24" s="1804" t="s">
        <v>14</v>
      </c>
      <c r="W24" s="1805">
        <f>J24</f>
        <v>100</v>
      </c>
      <c r="X24" s="1743"/>
      <c r="Y24" s="3243"/>
      <c r="Z24" s="1806">
        <f>Q24</f>
        <v>111</v>
      </c>
      <c r="AA24" s="1806">
        <f t="shared" si="3"/>
        <v>1</v>
      </c>
      <c r="AB24" s="1806">
        <f t="shared" si="4"/>
        <v>1</v>
      </c>
      <c r="AC24" s="1806">
        <f t="shared" si="5"/>
        <v>1</v>
      </c>
    </row>
    <row r="25" spans="1:29" s="1760" customFormat="1" ht="15.6"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43"/>
      <c r="Q25" s="1769">
        <f t="shared" si="11"/>
        <v>111</v>
      </c>
      <c r="R25" s="463" t="s">
        <v>14</v>
      </c>
      <c r="S25" s="1758">
        <f>F25</f>
        <v>100</v>
      </c>
      <c r="T25" s="463" t="s">
        <v>14</v>
      </c>
      <c r="U25" s="1758">
        <f>H25</f>
        <v>100</v>
      </c>
      <c r="V25" s="463" t="s">
        <v>14</v>
      </c>
      <c r="W25" s="1758">
        <f>J25</f>
        <v>100</v>
      </c>
      <c r="X25" s="1759"/>
      <c r="Y25" s="3243"/>
      <c r="Z25" s="469">
        <f>Q25</f>
        <v>111</v>
      </c>
      <c r="AA25" s="1806">
        <f>D25/F25</f>
        <v>1</v>
      </c>
      <c r="AB25" s="1806">
        <f>D25/H25</f>
        <v>1</v>
      </c>
      <c r="AC25" s="1806">
        <f>D25/J25</f>
        <v>1</v>
      </c>
    </row>
    <row r="26" spans="1:29" ht="30">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4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47"/>
      <c r="Q27" s="1839" t="str">
        <f t="shared" si="11"/>
        <v>项目停车位配比</v>
      </c>
      <c r="R27" s="1840" t="s">
        <v>14</v>
      </c>
      <c r="S27" s="1841">
        <f t="shared" si="12"/>
        <v>100</v>
      </c>
      <c r="T27" s="1840" t="s">
        <v>14</v>
      </c>
      <c r="U27" s="1841">
        <f t="shared" si="13"/>
        <v>100</v>
      </c>
      <c r="V27" s="1840" t="s">
        <v>14</v>
      </c>
      <c r="W27" s="1841">
        <f t="shared" si="14"/>
        <v>100</v>
      </c>
      <c r="X27" s="1842"/>
      <c r="Y27" s="324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47"/>
      <c r="Q28" s="1803" t="str">
        <f t="shared" si="11"/>
        <v>公共部分装修</v>
      </c>
      <c r="R28" s="1804" t="s">
        <v>14</v>
      </c>
      <c r="S28" s="1805">
        <f t="shared" si="12"/>
        <v>100</v>
      </c>
      <c r="T28" s="1804" t="s">
        <v>14</v>
      </c>
      <c r="U28" s="1805">
        <f t="shared" si="13"/>
        <v>100</v>
      </c>
      <c r="V28" s="1804" t="s">
        <v>14</v>
      </c>
      <c r="W28" s="1805">
        <f t="shared" si="14"/>
        <v>100</v>
      </c>
      <c r="X28" s="1743"/>
      <c r="Y28" s="324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47"/>
      <c r="Q29" s="1803" t="str">
        <f t="shared" si="11"/>
        <v>成新率</v>
      </c>
      <c r="R29" s="1804" t="s">
        <v>14</v>
      </c>
      <c r="S29" s="1805" t="e">
        <f t="shared" si="12"/>
        <v>#N/A</v>
      </c>
      <c r="T29" s="1804" t="s">
        <v>14</v>
      </c>
      <c r="U29" s="1805" t="e">
        <f t="shared" si="13"/>
        <v>#N/A</v>
      </c>
      <c r="V29" s="1804" t="s">
        <v>14</v>
      </c>
      <c r="W29" s="1805" t="e">
        <f t="shared" si="14"/>
        <v>#N/A</v>
      </c>
      <c r="X29" s="1743"/>
      <c r="Y29" s="324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47"/>
      <c r="Q30" s="1803" t="str">
        <f t="shared" si="11"/>
        <v>物业等级</v>
      </c>
      <c r="R30" s="1804" t="s">
        <v>14</v>
      </c>
      <c r="S30" s="1805">
        <f t="shared" si="12"/>
        <v>100</v>
      </c>
      <c r="T30" s="1804" t="s">
        <v>14</v>
      </c>
      <c r="U30" s="1805">
        <f t="shared" si="13"/>
        <v>100</v>
      </c>
      <c r="V30" s="1804" t="s">
        <v>14</v>
      </c>
      <c r="W30" s="1805">
        <f t="shared" si="14"/>
        <v>100</v>
      </c>
      <c r="X30" s="1743"/>
      <c r="Y30" s="324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47"/>
      <c r="Q31" s="1769" t="str">
        <f t="shared" si="11"/>
        <v>停车位面积</v>
      </c>
      <c r="R31" s="463" t="s">
        <v>14</v>
      </c>
      <c r="S31" s="1758" t="e">
        <f t="shared" si="12"/>
        <v>#N/A</v>
      </c>
      <c r="T31" s="463" t="s">
        <v>14</v>
      </c>
      <c r="U31" s="1758" t="e">
        <f t="shared" si="13"/>
        <v>#N/A</v>
      </c>
      <c r="V31" s="463" t="s">
        <v>14</v>
      </c>
      <c r="W31" s="1758" t="e">
        <f t="shared" si="14"/>
        <v>#N/A</v>
      </c>
      <c r="X31" s="1759"/>
      <c r="Y31" s="324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47" t="s">
        <v>1924</v>
      </c>
      <c r="Q32" s="1803" t="str">
        <f t="shared" si="11"/>
        <v>车位类型</v>
      </c>
      <c r="R32" s="1804" t="s">
        <v>14</v>
      </c>
      <c r="S32" s="1805">
        <f t="shared" si="12"/>
        <v>100</v>
      </c>
      <c r="T32" s="1804" t="s">
        <v>14</v>
      </c>
      <c r="U32" s="1805">
        <f t="shared" si="13"/>
        <v>100</v>
      </c>
      <c r="V32" s="1804" t="s">
        <v>14</v>
      </c>
      <c r="W32" s="1805">
        <f t="shared" si="14"/>
        <v>100</v>
      </c>
      <c r="X32" s="1743"/>
      <c r="Y32" s="324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47"/>
      <c r="Q33" s="1803" t="str">
        <f t="shared" si="11"/>
        <v>是否直接入户</v>
      </c>
      <c r="R33" s="1804" t="s">
        <v>14</v>
      </c>
      <c r="S33" s="1805">
        <f t="shared" si="12"/>
        <v>100</v>
      </c>
      <c r="T33" s="1804" t="s">
        <v>14</v>
      </c>
      <c r="U33" s="1805">
        <f t="shared" si="13"/>
        <v>100</v>
      </c>
      <c r="V33" s="1804" t="s">
        <v>14</v>
      </c>
      <c r="W33" s="1805">
        <f t="shared" si="14"/>
        <v>100</v>
      </c>
      <c r="X33" s="1743"/>
      <c r="Y33" s="324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47"/>
      <c r="Q34" s="1803">
        <f t="shared" si="11"/>
        <v>111</v>
      </c>
      <c r="R34" s="1804" t="s">
        <v>14</v>
      </c>
      <c r="S34" s="1805">
        <f t="shared" si="12"/>
        <v>100</v>
      </c>
      <c r="T34" s="1804" t="s">
        <v>14</v>
      </c>
      <c r="U34" s="1805">
        <f t="shared" si="13"/>
        <v>100</v>
      </c>
      <c r="V34" s="1804" t="s">
        <v>14</v>
      </c>
      <c r="W34" s="1805">
        <f t="shared" si="14"/>
        <v>100</v>
      </c>
      <c r="X34" s="1743"/>
      <c r="Y34" s="324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47"/>
      <c r="Q35" s="1839">
        <f t="shared" si="11"/>
        <v>111</v>
      </c>
      <c r="R35" s="1840" t="s">
        <v>14</v>
      </c>
      <c r="S35" s="1841">
        <f t="shared" si="12"/>
        <v>100</v>
      </c>
      <c r="T35" s="1840" t="s">
        <v>14</v>
      </c>
      <c r="U35" s="1841">
        <f t="shared" si="13"/>
        <v>100</v>
      </c>
      <c r="V35" s="1840" t="s">
        <v>14</v>
      </c>
      <c r="W35" s="1841">
        <f t="shared" si="14"/>
        <v>100</v>
      </c>
      <c r="X35" s="1842"/>
      <c r="Y35" s="3247"/>
      <c r="Z35" s="1843">
        <f t="shared" si="15"/>
        <v>111</v>
      </c>
      <c r="AA35" s="1806">
        <f t="shared" si="3"/>
        <v>1</v>
      </c>
      <c r="AB35" s="1806">
        <f t="shared" si="4"/>
        <v>1</v>
      </c>
      <c r="AC35" s="1806">
        <f t="shared" si="5"/>
        <v>1</v>
      </c>
    </row>
    <row r="36" spans="1:29" ht="15.6"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47"/>
      <c r="Q36" s="1803">
        <f t="shared" si="11"/>
        <v>111</v>
      </c>
      <c r="R36" s="1804" t="s">
        <v>14</v>
      </c>
      <c r="S36" s="1805">
        <f t="shared" si="12"/>
        <v>100</v>
      </c>
      <c r="T36" s="1804" t="s">
        <v>14</v>
      </c>
      <c r="U36" s="1805">
        <f t="shared" si="13"/>
        <v>100</v>
      </c>
      <c r="V36" s="1804" t="s">
        <v>14</v>
      </c>
      <c r="W36" s="1805">
        <f t="shared" si="14"/>
        <v>100</v>
      </c>
      <c r="X36" s="1743"/>
      <c r="Y36" s="3247"/>
      <c r="Z36" s="1806">
        <f t="shared" si="15"/>
        <v>111</v>
      </c>
      <c r="AA36" s="1806">
        <f t="shared" si="3"/>
        <v>1</v>
      </c>
      <c r="AB36" s="1806">
        <f t="shared" si="4"/>
        <v>1</v>
      </c>
      <c r="AC36" s="1806">
        <f t="shared" si="5"/>
        <v>1</v>
      </c>
    </row>
    <row r="37" spans="1:29" ht="14.4">
      <c r="A37" s="1849" t="s">
        <v>2079</v>
      </c>
      <c r="B37" s="2156" t="s">
        <v>2080</v>
      </c>
      <c r="C37" s="1851" t="s">
        <v>0</v>
      </c>
      <c r="D37" s="1852"/>
      <c r="E37" s="1853"/>
      <c r="F37" s="1854"/>
      <c r="G37" s="1855"/>
      <c r="H37" s="1856"/>
      <c r="I37" s="1853"/>
      <c r="J37" s="1856"/>
      <c r="K37" s="2157"/>
      <c r="L37" s="1858"/>
      <c r="M37" s="1859"/>
      <c r="N37" s="1742"/>
      <c r="O37" s="1859"/>
      <c r="P37" s="3241" t="str">
        <f>A37</f>
        <v>成交单价</v>
      </c>
      <c r="Q37" s="3241"/>
      <c r="R37" s="3236">
        <f>E37</f>
        <v>0</v>
      </c>
      <c r="S37" s="3236"/>
      <c r="T37" s="3236">
        <f>G37</f>
        <v>0</v>
      </c>
      <c r="U37" s="3236"/>
      <c r="V37" s="3236">
        <f>I37</f>
        <v>0</v>
      </c>
      <c r="W37" s="3236"/>
      <c r="X37" s="1860"/>
      <c r="Y37" s="1861"/>
      <c r="Z37" s="1860"/>
      <c r="AA37" s="1860"/>
      <c r="AB37" s="1860"/>
      <c r="AC37" s="1860"/>
    </row>
    <row r="38" spans="1:29" ht="1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41" t="str">
        <f>A38</f>
        <v>比较价值（元/平方米）</v>
      </c>
      <c r="Q38" s="3241"/>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1860"/>
      <c r="Y38" s="1860"/>
      <c r="Z38" s="1860"/>
      <c r="AA38" s="1860"/>
      <c r="AB38" s="1860"/>
      <c r="AC38" s="1860"/>
    </row>
    <row r="39" spans="1:29" ht="15" thickBot="1">
      <c r="A39" s="1869" t="s">
        <v>2082</v>
      </c>
      <c r="B39" s="1870"/>
      <c r="C39" s="1749" t="e">
        <f>R39</f>
        <v>#DIV/0!</v>
      </c>
      <c r="D39" s="1749"/>
      <c r="E39" s="1749"/>
      <c r="F39" s="1749"/>
      <c r="G39" s="1749"/>
      <c r="H39" s="1749"/>
      <c r="I39" s="1749"/>
      <c r="J39" s="1749"/>
      <c r="K39" s="2158"/>
      <c r="L39" s="1858"/>
      <c r="M39" s="1859"/>
      <c r="N39" s="1859"/>
      <c r="O39" s="1859"/>
      <c r="P39" s="3238" t="str">
        <f>A39</f>
        <v>估价对象XX用房的比较价值（楼面单价，元/平方米）</v>
      </c>
      <c r="Q39" s="3239"/>
      <c r="R39" s="3267" t="e">
        <f>IF(F1="售价",ROUND(IF(D38="简单平均",AVERAGE(R38:W38),R38*F38+T38*H38+V38*J38),0),ROUND(IF(D38="简单平均",AVERAGE(R38:V38),R38*F38+T38*H38+V38*J38),1))</f>
        <v>#DIV/0!</v>
      </c>
      <c r="S39" s="3267"/>
      <c r="T39" s="3267"/>
      <c r="U39" s="3267"/>
      <c r="V39" s="3267"/>
      <c r="W39" s="326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2.2"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4.4">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4.4">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4.4"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ht="14.4">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4.4"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9.4"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4.4"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4.4"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4.4"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4.4"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4.4"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4.4"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4.4"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4.4"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4.4"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4.4"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4.4"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4.4"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4.4"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4.4"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4.4"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4.4"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4.4"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4.4"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9.4"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4.4"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4.4"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4.4"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4.4"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4.4"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4.4"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4.4"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4.4"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4.4"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4.4"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4.4"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4.4"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4.4"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4.4"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4.4"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75" customWidth="1"/>
    <col min="2" max="16384" width="9" style="175"/>
  </cols>
  <sheetData>
    <row r="1" spans="1:1" ht="22.8">
      <c r="A1" s="174" t="s">
        <v>1115</v>
      </c>
    </row>
    <row r="2" spans="1:1">
      <c r="A2" s="176"/>
    </row>
    <row r="3" spans="1:1" ht="17.399999999999999">
      <c r="A3" s="177" t="str">
        <f>项目基本情况!B5&amp;"："</f>
        <v>：</v>
      </c>
    </row>
    <row r="4" spans="1:1" ht="17.399999999999999">
      <c r="A4" s="178" t="str">
        <f>"受贵公司委托，我公司对"&amp;项目基本情况!S1&amp;"进行了预评估。"</f>
        <v>受贵公司委托，我公司对进行了预评估。</v>
      </c>
    </row>
    <row r="5" spans="1:1" ht="17.399999999999999">
      <c r="A5" s="179" t="s">
        <v>1116</v>
      </c>
    </row>
    <row r="6" spans="1:1" ht="17.399999999999999">
      <c r="A6" s="180" t="s">
        <v>1117</v>
      </c>
    </row>
    <row r="7" spans="1:1" ht="17.399999999999999">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81" t="s">
        <v>1118</v>
      </c>
    </row>
    <row r="9" spans="1:1" ht="17.399999999999999">
      <c r="A9" s="180" t="s">
        <v>1119</v>
      </c>
    </row>
    <row r="10" spans="1:1" ht="17.399999999999999">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81" t="s">
        <v>1120</v>
      </c>
    </row>
    <row r="12" spans="1:1" ht="17.399999999999999">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7.399999999999999">
      <c r="A14" s="183" t="s">
        <v>1122</v>
      </c>
    </row>
    <row r="15" spans="1:1" ht="17.399999999999999">
      <c r="A15" s="184" t="str">
        <f>TEXT(项目基本情况!D3,"yyyy年m月d日;;")&amp;IF(项目基本情况!D3=项目基本情况!B3,"（评估专业人员实地查勘之日）","")</f>
        <v>2022年11月24日</v>
      </c>
    </row>
    <row r="16" spans="1:1" ht="17.399999999999999">
      <c r="A16" s="183" t="s">
        <v>1123</v>
      </c>
    </row>
    <row r="17" spans="1:1" ht="69.599999999999994">
      <c r="A17" s="178" t="s">
        <v>1124</v>
      </c>
    </row>
    <row r="18" spans="1:1" ht="69.59999999999999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83" t="s">
        <v>1113</v>
      </c>
    </row>
    <row r="24" spans="1:1" ht="17.399999999999999">
      <c r="A24" s="185" t="str">
        <f>"本次评估采用的主估价方法为"&amp;结果表!K4&amp;"和"&amp;结果表!L4&amp;"。"</f>
        <v>本次评估采用的主估价方法为基准地价系数修正法和基准地价系数修正法。</v>
      </c>
    </row>
    <row r="25" spans="1:1" ht="17.399999999999999">
      <c r="A25" s="185"/>
    </row>
    <row r="26" spans="1:1" ht="17.399999999999999">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4.4">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11" t="s">
        <v>2006</v>
      </c>
      <c r="S4" s="3212"/>
      <c r="T4" s="3211" t="s">
        <v>2007</v>
      </c>
      <c r="U4" s="3212"/>
      <c r="V4" s="3236" t="s">
        <v>2008</v>
      </c>
      <c r="W4" s="3236"/>
      <c r="X4" s="1743"/>
      <c r="Y4" s="3211" t="s">
        <v>2010</v>
      </c>
      <c r="Z4" s="3212"/>
      <c r="AA4" s="3206" t="s">
        <v>2006</v>
      </c>
      <c r="AB4" s="3207" t="s">
        <v>2007</v>
      </c>
      <c r="AC4" s="3206" t="s">
        <v>2008</v>
      </c>
    </row>
    <row r="5" spans="1:29">
      <c r="A5" s="1745"/>
      <c r="B5" s="1746"/>
      <c r="C5" s="3217" t="s">
        <v>1901</v>
      </c>
      <c r="D5" s="3218"/>
      <c r="E5" s="3215" t="s">
        <v>1902</v>
      </c>
      <c r="F5" s="3216"/>
      <c r="G5" s="3217" t="s">
        <v>1903</v>
      </c>
      <c r="H5" s="3218"/>
      <c r="I5" s="3217" t="s">
        <v>1904</v>
      </c>
      <c r="J5" s="3218"/>
      <c r="K5" s="2042"/>
      <c r="L5" s="1741"/>
      <c r="M5" s="1742"/>
      <c r="N5" s="1742"/>
      <c r="O5" s="1742"/>
      <c r="P5" s="3230"/>
      <c r="Q5" s="3231"/>
      <c r="R5" s="3213"/>
      <c r="S5" s="3214"/>
      <c r="T5" s="3213"/>
      <c r="U5" s="3214"/>
      <c r="V5" s="3236"/>
      <c r="W5" s="3236"/>
      <c r="X5" s="1743"/>
      <c r="Y5" s="3213"/>
      <c r="Z5" s="3214"/>
      <c r="AA5" s="3207"/>
      <c r="AB5" s="3207"/>
      <c r="AC5" s="3207"/>
    </row>
    <row r="6" spans="1:29" ht="15" thickBot="1">
      <c r="A6" s="1748"/>
      <c r="B6" s="1749"/>
      <c r="C6" s="3219" t="s">
        <v>1905</v>
      </c>
      <c r="D6" s="3220"/>
      <c r="E6" s="3221" t="s">
        <v>1905</v>
      </c>
      <c r="F6" s="3222"/>
      <c r="G6" s="3219" t="s">
        <v>1905</v>
      </c>
      <c r="H6" s="3220"/>
      <c r="I6" s="3219" t="s">
        <v>1905</v>
      </c>
      <c r="J6" s="3220"/>
      <c r="K6" s="2042" t="s">
        <v>1906</v>
      </c>
      <c r="L6" s="1741"/>
      <c r="M6" s="1742"/>
      <c r="N6" s="1742"/>
      <c r="O6" s="1742"/>
      <c r="P6" s="3232"/>
      <c r="Q6" s="3233"/>
      <c r="R6" s="3213"/>
      <c r="S6" s="3214"/>
      <c r="T6" s="3234"/>
      <c r="U6" s="3235"/>
      <c r="V6" s="3236"/>
      <c r="W6" s="3236"/>
      <c r="X6" s="1743"/>
      <c r="Y6" s="3234"/>
      <c r="Z6" s="3235"/>
      <c r="AA6" s="3208"/>
      <c r="AB6" s="3208"/>
      <c r="AC6" s="3208"/>
    </row>
    <row r="7" spans="1:29" s="1760" customFormat="1" ht="15" thickBot="1">
      <c r="A7" s="1750" t="s">
        <v>1907</v>
      </c>
      <c r="B7" s="1751"/>
      <c r="C7" s="1752">
        <f>'数据-取费表'!B2</f>
        <v>44889</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09" t="s">
        <v>1908</v>
      </c>
      <c r="Q7" s="3237"/>
      <c r="R7" s="463" t="s">
        <v>14</v>
      </c>
      <c r="S7" s="1758">
        <f t="shared" ref="S7:S14" si="0">F7</f>
        <v>0</v>
      </c>
      <c r="T7" s="463" t="s">
        <v>14</v>
      </c>
      <c r="U7" s="1758">
        <f t="shared" ref="U7:U14" si="1">H7</f>
        <v>0</v>
      </c>
      <c r="V7" s="463" t="s">
        <v>14</v>
      </c>
      <c r="W7" s="1758">
        <f t="shared" ref="W7:W14" si="2">J7</f>
        <v>0</v>
      </c>
      <c r="X7" s="1759"/>
      <c r="Y7" s="3209" t="s">
        <v>1908</v>
      </c>
      <c r="Z7" s="3210"/>
      <c r="AA7" s="469" t="e">
        <f>D7/F7</f>
        <v>#DIV/0!</v>
      </c>
      <c r="AB7" s="469" t="e">
        <f>D7/H7</f>
        <v>#DIV/0!</v>
      </c>
      <c r="AC7" s="469" t="e">
        <f>D7/J7</f>
        <v>#DIV/0!</v>
      </c>
    </row>
    <row r="8" spans="1:29" s="1760" customFormat="1" ht="1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09" t="s">
        <v>1911</v>
      </c>
      <c r="Q8" s="3210"/>
      <c r="R8" s="463" t="s">
        <v>14</v>
      </c>
      <c r="S8" s="1758">
        <f t="shared" si="0"/>
        <v>0</v>
      </c>
      <c r="T8" s="463" t="s">
        <v>14</v>
      </c>
      <c r="U8" s="1758">
        <f t="shared" si="1"/>
        <v>0</v>
      </c>
      <c r="V8" s="463" t="s">
        <v>14</v>
      </c>
      <c r="W8" s="1758">
        <f t="shared" si="2"/>
        <v>0</v>
      </c>
      <c r="X8" s="1759"/>
      <c r="Y8" s="3209" t="s">
        <v>1911</v>
      </c>
      <c r="Z8" s="3210"/>
      <c r="AA8" s="469" t="e">
        <f t="shared" ref="AA8:AA34" si="3">D8/F8</f>
        <v>#DIV/0!</v>
      </c>
      <c r="AB8" s="469" t="e">
        <f t="shared" ref="AB8:AB34" si="4">D8/H8</f>
        <v>#DIV/0!</v>
      </c>
      <c r="AC8" s="469" t="e">
        <f t="shared" ref="AC8:AC34" si="5">D8/J8</f>
        <v>#DIV/0!</v>
      </c>
    </row>
    <row r="9" spans="1:29" s="1760" customFormat="1" ht="14.4">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41" t="s">
        <v>1914</v>
      </c>
      <c r="Q9" s="1769" t="str">
        <f t="shared" ref="Q9:Q14" si="6">B9</f>
        <v>用途</v>
      </c>
      <c r="R9" s="463" t="s">
        <v>14</v>
      </c>
      <c r="S9" s="1758">
        <f t="shared" si="0"/>
        <v>100</v>
      </c>
      <c r="T9" s="463" t="s">
        <v>14</v>
      </c>
      <c r="U9" s="1758">
        <f t="shared" si="1"/>
        <v>100</v>
      </c>
      <c r="V9" s="463" t="s">
        <v>14</v>
      </c>
      <c r="W9" s="1758">
        <f t="shared" si="2"/>
        <v>100</v>
      </c>
      <c r="X9" s="1759"/>
      <c r="Y9" s="3153" t="s">
        <v>1915</v>
      </c>
      <c r="Z9" s="469" t="str">
        <f t="shared" ref="Z9:Z14" si="7">Q9</f>
        <v>用途</v>
      </c>
      <c r="AA9" s="469">
        <f t="shared" si="3"/>
        <v>1</v>
      </c>
      <c r="AB9" s="469">
        <f t="shared" si="4"/>
        <v>1</v>
      </c>
      <c r="AC9" s="469">
        <f t="shared" si="5"/>
        <v>1</v>
      </c>
    </row>
    <row r="10" spans="1:29" s="1778" customFormat="1" ht="28.8">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41"/>
      <c r="Q10" s="1769" t="str">
        <f t="shared" si="6"/>
        <v>土地使用年限（年）</v>
      </c>
      <c r="R10" s="463" t="s">
        <v>14</v>
      </c>
      <c r="S10" s="1758">
        <f t="shared" si="0"/>
        <v>100</v>
      </c>
      <c r="T10" s="463" t="s">
        <v>14</v>
      </c>
      <c r="U10" s="1758">
        <f t="shared" si="1"/>
        <v>100</v>
      </c>
      <c r="V10" s="463" t="s">
        <v>14</v>
      </c>
      <c r="W10" s="1758">
        <f t="shared" si="2"/>
        <v>100</v>
      </c>
      <c r="X10" s="1759"/>
      <c r="Y10" s="315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41"/>
      <c r="Q11" s="1769">
        <f t="shared" si="6"/>
        <v>111</v>
      </c>
      <c r="R11" s="463" t="s">
        <v>14</v>
      </c>
      <c r="S11" s="1758">
        <f t="shared" si="0"/>
        <v>100</v>
      </c>
      <c r="T11" s="463" t="s">
        <v>14</v>
      </c>
      <c r="U11" s="1758">
        <f t="shared" si="1"/>
        <v>100</v>
      </c>
      <c r="V11" s="463" t="s">
        <v>14</v>
      </c>
      <c r="W11" s="1758">
        <f t="shared" si="2"/>
        <v>100</v>
      </c>
      <c r="X11" s="1759"/>
      <c r="Y11" s="315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41"/>
      <c r="Q12" s="1769">
        <f t="shared" si="6"/>
        <v>111</v>
      </c>
      <c r="R12" s="463" t="s">
        <v>14</v>
      </c>
      <c r="S12" s="1758">
        <f t="shared" si="0"/>
        <v>100</v>
      </c>
      <c r="T12" s="463" t="s">
        <v>14</v>
      </c>
      <c r="U12" s="1758">
        <f t="shared" si="1"/>
        <v>100</v>
      </c>
      <c r="V12" s="463" t="s">
        <v>14</v>
      </c>
      <c r="W12" s="1758">
        <f t="shared" si="2"/>
        <v>100</v>
      </c>
      <c r="X12" s="1759"/>
      <c r="Y12" s="3153"/>
      <c r="Z12" s="469">
        <f t="shared" si="7"/>
        <v>111</v>
      </c>
      <c r="AA12" s="469">
        <f>D12/F12</f>
        <v>1</v>
      </c>
      <c r="AB12" s="469">
        <f>D12/H12</f>
        <v>1</v>
      </c>
      <c r="AC12" s="469">
        <f>D12/J12</f>
        <v>1</v>
      </c>
    </row>
    <row r="13" spans="1:29" ht="15.6"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41"/>
      <c r="Q13" s="1769">
        <f t="shared" si="6"/>
        <v>111</v>
      </c>
      <c r="R13" s="463" t="s">
        <v>14</v>
      </c>
      <c r="S13" s="1758">
        <f t="shared" si="0"/>
        <v>100</v>
      </c>
      <c r="T13" s="463" t="s">
        <v>14</v>
      </c>
      <c r="U13" s="1758">
        <f t="shared" si="1"/>
        <v>100</v>
      </c>
      <c r="V13" s="463" t="s">
        <v>14</v>
      </c>
      <c r="W13" s="1758">
        <f t="shared" si="2"/>
        <v>100</v>
      </c>
      <c r="X13" s="1759"/>
      <c r="Y13" s="3153"/>
      <c r="Z13" s="469">
        <f t="shared" si="7"/>
        <v>111</v>
      </c>
      <c r="AA13" s="469">
        <f t="shared" si="3"/>
        <v>1</v>
      </c>
      <c r="AB13" s="469">
        <f t="shared" si="4"/>
        <v>1</v>
      </c>
      <c r="AC13" s="469">
        <f t="shared" si="5"/>
        <v>1</v>
      </c>
    </row>
    <row r="14" spans="1:29" ht="96.6">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42" t="s">
        <v>1919</v>
      </c>
      <c r="Q14" s="1803" t="str">
        <f t="shared" si="6"/>
        <v>交通便捷度</v>
      </c>
      <c r="R14" s="1804" t="s">
        <v>14</v>
      </c>
      <c r="S14" s="1805">
        <f t="shared" si="0"/>
        <v>100</v>
      </c>
      <c r="T14" s="1804" t="s">
        <v>14</v>
      </c>
      <c r="U14" s="1805">
        <f t="shared" si="1"/>
        <v>100</v>
      </c>
      <c r="V14" s="1804" t="s">
        <v>14</v>
      </c>
      <c r="W14" s="1805">
        <f t="shared" si="2"/>
        <v>100</v>
      </c>
      <c r="X14" s="1743"/>
      <c r="Y14" s="324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43"/>
      <c r="Q15" s="1803"/>
      <c r="R15" s="1804"/>
      <c r="S15" s="1805"/>
      <c r="T15" s="1804"/>
      <c r="U15" s="1805"/>
      <c r="V15" s="1804"/>
      <c r="W15" s="1805"/>
      <c r="X15" s="1743"/>
      <c r="Y15" s="3243"/>
      <c r="Z15" s="1806"/>
      <c r="AA15" s="1806">
        <v>1</v>
      </c>
      <c r="AB15" s="1806">
        <v>1</v>
      </c>
      <c r="AC15" s="1806">
        <v>1</v>
      </c>
    </row>
    <row r="16" spans="1:29" ht="41.4">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43"/>
      <c r="Q16" s="1803" t="str">
        <f>B16</f>
        <v>公共配套设施</v>
      </c>
      <c r="R16" s="1804" t="s">
        <v>14</v>
      </c>
      <c r="S16" s="1805">
        <f>F16</f>
        <v>100</v>
      </c>
      <c r="T16" s="1804" t="s">
        <v>14</v>
      </c>
      <c r="U16" s="1805">
        <f>H16</f>
        <v>100</v>
      </c>
      <c r="V16" s="1804" t="s">
        <v>14</v>
      </c>
      <c r="W16" s="1805">
        <f>J16</f>
        <v>100</v>
      </c>
      <c r="X16" s="1743"/>
      <c r="Y16" s="324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43"/>
      <c r="Q17" s="1803"/>
      <c r="R17" s="1804"/>
      <c r="S17" s="1805"/>
      <c r="T17" s="1804"/>
      <c r="U17" s="1805"/>
      <c r="V17" s="1804"/>
      <c r="W17" s="1805"/>
      <c r="X17" s="1743"/>
      <c r="Y17" s="3243"/>
      <c r="Z17" s="1806"/>
      <c r="AA17" s="1806">
        <v>1</v>
      </c>
      <c r="AB17" s="1806">
        <v>1</v>
      </c>
      <c r="AC17" s="1806">
        <v>1</v>
      </c>
    </row>
    <row r="18" spans="1:29" ht="41.4">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43"/>
      <c r="Q18" s="1803" t="str">
        <f>B18</f>
        <v>基础设施水平</v>
      </c>
      <c r="R18" s="1804" t="s">
        <v>14</v>
      </c>
      <c r="S18" s="1805">
        <f>F18</f>
        <v>100</v>
      </c>
      <c r="T18" s="1804" t="s">
        <v>14</v>
      </c>
      <c r="U18" s="1805">
        <f>H18</f>
        <v>100</v>
      </c>
      <c r="V18" s="1804" t="s">
        <v>14</v>
      </c>
      <c r="W18" s="1805">
        <f>J18</f>
        <v>100</v>
      </c>
      <c r="X18" s="1743"/>
      <c r="Y18" s="324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43"/>
      <c r="Q19" s="1803"/>
      <c r="R19" s="1804"/>
      <c r="S19" s="1805"/>
      <c r="T19" s="1804"/>
      <c r="U19" s="1805"/>
      <c r="V19" s="1804"/>
      <c r="W19" s="1805"/>
      <c r="X19" s="1743"/>
      <c r="Y19" s="3243"/>
      <c r="Z19" s="1806"/>
      <c r="AA19" s="1806">
        <v>1</v>
      </c>
      <c r="AB19" s="1806">
        <v>1</v>
      </c>
      <c r="AC19" s="1806">
        <v>1</v>
      </c>
    </row>
    <row r="20" spans="1:29" ht="55.2">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43"/>
      <c r="Q20" s="1803" t="str">
        <f>B20</f>
        <v>自然及人文环境</v>
      </c>
      <c r="R20" s="1804" t="s">
        <v>14</v>
      </c>
      <c r="S20" s="1805">
        <f>F20</f>
        <v>100</v>
      </c>
      <c r="T20" s="1804" t="s">
        <v>14</v>
      </c>
      <c r="U20" s="1805">
        <f>H20</f>
        <v>100</v>
      </c>
      <c r="V20" s="1804" t="s">
        <v>14</v>
      </c>
      <c r="W20" s="1805">
        <f>J20</f>
        <v>100</v>
      </c>
      <c r="X20" s="1743"/>
      <c r="Y20" s="324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43"/>
      <c r="Q21" s="1803"/>
      <c r="R21" s="1804"/>
      <c r="S21" s="1805"/>
      <c r="T21" s="1804"/>
      <c r="U21" s="1805"/>
      <c r="V21" s="1804"/>
      <c r="W21" s="1805"/>
      <c r="X21" s="1743"/>
      <c r="Y21" s="324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43"/>
      <c r="Q22" s="1803" t="str">
        <f>B22</f>
        <v>楼层</v>
      </c>
      <c r="R22" s="1804" t="s">
        <v>14</v>
      </c>
      <c r="S22" s="1805">
        <f>F22</f>
        <v>100</v>
      </c>
      <c r="T22" s="1804" t="s">
        <v>14</v>
      </c>
      <c r="U22" s="1805">
        <f>H22</f>
        <v>100</v>
      </c>
      <c r="V22" s="1804" t="s">
        <v>14</v>
      </c>
      <c r="W22" s="1805">
        <f>J22</f>
        <v>100</v>
      </c>
      <c r="X22" s="1743"/>
      <c r="Y22" s="324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43"/>
      <c r="Q23" s="1803">
        <f>B23</f>
        <v>111</v>
      </c>
      <c r="R23" s="1804" t="s">
        <v>14</v>
      </c>
      <c r="S23" s="1805">
        <f>F23</f>
        <v>100</v>
      </c>
      <c r="T23" s="1804" t="s">
        <v>14</v>
      </c>
      <c r="U23" s="1805">
        <f>H23</f>
        <v>100</v>
      </c>
      <c r="V23" s="1804" t="s">
        <v>14</v>
      </c>
      <c r="W23" s="1805">
        <f>J23</f>
        <v>100</v>
      </c>
      <c r="X23" s="1743"/>
      <c r="Y23" s="324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43"/>
      <c r="Q24" s="1803">
        <f t="shared" ref="Q24:Q34" si="11">B24</f>
        <v>111</v>
      </c>
      <c r="R24" s="1804" t="s">
        <v>14</v>
      </c>
      <c r="S24" s="1805">
        <f>F24</f>
        <v>100</v>
      </c>
      <c r="T24" s="1804" t="s">
        <v>14</v>
      </c>
      <c r="U24" s="1805">
        <f>H24</f>
        <v>100</v>
      </c>
      <c r="V24" s="1804" t="s">
        <v>14</v>
      </c>
      <c r="W24" s="1805">
        <f>J24</f>
        <v>100</v>
      </c>
      <c r="X24" s="1743"/>
      <c r="Y24" s="3243"/>
      <c r="Z24" s="1806">
        <f>Q24</f>
        <v>111</v>
      </c>
      <c r="AA24" s="1806">
        <f t="shared" si="3"/>
        <v>1</v>
      </c>
      <c r="AB24" s="1806">
        <f t="shared" si="4"/>
        <v>1</v>
      </c>
      <c r="AC24" s="1806">
        <f t="shared" si="5"/>
        <v>1</v>
      </c>
    </row>
    <row r="25" spans="1:29" s="1760" customFormat="1" ht="15.6"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43"/>
      <c r="Q25" s="1769">
        <f t="shared" si="11"/>
        <v>111</v>
      </c>
      <c r="R25" s="463" t="s">
        <v>14</v>
      </c>
      <c r="S25" s="1758">
        <f>F25</f>
        <v>100</v>
      </c>
      <c r="T25" s="463" t="s">
        <v>14</v>
      </c>
      <c r="U25" s="1758">
        <f>H25</f>
        <v>100</v>
      </c>
      <c r="V25" s="463" t="s">
        <v>14</v>
      </c>
      <c r="W25" s="1758">
        <f>J25</f>
        <v>100</v>
      </c>
      <c r="X25" s="1759"/>
      <c r="Y25" s="3243"/>
      <c r="Z25" s="469">
        <f>Q25</f>
        <v>111</v>
      </c>
      <c r="AA25" s="1806">
        <f>D25/F25</f>
        <v>1</v>
      </c>
      <c r="AB25" s="1806">
        <f>D25/H25</f>
        <v>1</v>
      </c>
      <c r="AC25" s="1806">
        <f>D25/J25</f>
        <v>1</v>
      </c>
    </row>
    <row r="26" spans="1:29" ht="30">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4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47"/>
      <c r="Q27" s="1839" t="str">
        <f t="shared" si="11"/>
        <v>成新率</v>
      </c>
      <c r="R27" s="1840" t="s">
        <v>14</v>
      </c>
      <c r="S27" s="1841" t="e">
        <f t="shared" si="12"/>
        <v>#N/A</v>
      </c>
      <c r="T27" s="1840" t="s">
        <v>14</v>
      </c>
      <c r="U27" s="1841" t="e">
        <f t="shared" si="13"/>
        <v>#N/A</v>
      </c>
      <c r="V27" s="1840" t="s">
        <v>14</v>
      </c>
      <c r="W27" s="1841" t="e">
        <f t="shared" si="14"/>
        <v>#N/A</v>
      </c>
      <c r="X27" s="1842"/>
      <c r="Y27" s="324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47"/>
      <c r="Q28" s="1803" t="str">
        <f t="shared" si="11"/>
        <v>物业等级</v>
      </c>
      <c r="R28" s="1804" t="s">
        <v>14</v>
      </c>
      <c r="S28" s="1805">
        <f t="shared" si="12"/>
        <v>100</v>
      </c>
      <c r="T28" s="1804" t="s">
        <v>14</v>
      </c>
      <c r="U28" s="1805">
        <f t="shared" si="13"/>
        <v>100</v>
      </c>
      <c r="V28" s="1804" t="s">
        <v>14</v>
      </c>
      <c r="W28" s="1805">
        <f t="shared" si="14"/>
        <v>100</v>
      </c>
      <c r="X28" s="1743"/>
      <c r="Y28" s="324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47"/>
      <c r="Q29" s="1803" t="str">
        <f t="shared" si="11"/>
        <v>有无电梯</v>
      </c>
      <c r="R29" s="1804" t="s">
        <v>14</v>
      </c>
      <c r="S29" s="1805">
        <f t="shared" si="12"/>
        <v>100</v>
      </c>
      <c r="T29" s="1804" t="s">
        <v>14</v>
      </c>
      <c r="U29" s="1805">
        <f t="shared" si="13"/>
        <v>100</v>
      </c>
      <c r="V29" s="1804" t="s">
        <v>14</v>
      </c>
      <c r="W29" s="1805">
        <f t="shared" si="14"/>
        <v>100</v>
      </c>
      <c r="X29" s="1743"/>
      <c r="Y29" s="324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47"/>
      <c r="Q30" s="1803" t="str">
        <f t="shared" si="11"/>
        <v>建筑面积</v>
      </c>
      <c r="R30" s="1804" t="s">
        <v>14</v>
      </c>
      <c r="S30" s="1805" t="e">
        <f t="shared" si="12"/>
        <v>#N/A</v>
      </c>
      <c r="T30" s="1804" t="s">
        <v>14</v>
      </c>
      <c r="U30" s="1805" t="e">
        <f t="shared" si="13"/>
        <v>#N/A</v>
      </c>
      <c r="V30" s="1804" t="s">
        <v>14</v>
      </c>
      <c r="W30" s="1805" t="e">
        <f t="shared" si="14"/>
        <v>#N/A</v>
      </c>
      <c r="X30" s="1743"/>
      <c r="Y30" s="324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47"/>
      <c r="Q31" s="1769" t="str">
        <f t="shared" si="11"/>
        <v>是否封闭</v>
      </c>
      <c r="R31" s="463" t="s">
        <v>14</v>
      </c>
      <c r="S31" s="1758">
        <f t="shared" si="12"/>
        <v>100</v>
      </c>
      <c r="T31" s="463" t="s">
        <v>14</v>
      </c>
      <c r="U31" s="1758">
        <f t="shared" si="13"/>
        <v>100</v>
      </c>
      <c r="V31" s="463" t="s">
        <v>14</v>
      </c>
      <c r="W31" s="1758">
        <f t="shared" si="14"/>
        <v>100</v>
      </c>
      <c r="X31" s="1759"/>
      <c r="Y31" s="324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47" t="s">
        <v>1924</v>
      </c>
      <c r="Q32" s="1803">
        <f t="shared" si="11"/>
        <v>111</v>
      </c>
      <c r="R32" s="1804" t="s">
        <v>14</v>
      </c>
      <c r="S32" s="1805">
        <f t="shared" si="12"/>
        <v>100</v>
      </c>
      <c r="T32" s="1804" t="s">
        <v>14</v>
      </c>
      <c r="U32" s="1805">
        <f t="shared" si="13"/>
        <v>100</v>
      </c>
      <c r="V32" s="1804" t="s">
        <v>14</v>
      </c>
      <c r="W32" s="1805">
        <f t="shared" si="14"/>
        <v>100</v>
      </c>
      <c r="X32" s="1743"/>
      <c r="Y32" s="324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47"/>
      <c r="Q33" s="1803">
        <f t="shared" si="11"/>
        <v>111</v>
      </c>
      <c r="R33" s="1804" t="s">
        <v>14</v>
      </c>
      <c r="S33" s="1805">
        <f t="shared" si="12"/>
        <v>100</v>
      </c>
      <c r="T33" s="1804" t="s">
        <v>14</v>
      </c>
      <c r="U33" s="1805">
        <f t="shared" si="13"/>
        <v>100</v>
      </c>
      <c r="V33" s="1804" t="s">
        <v>14</v>
      </c>
      <c r="W33" s="1805">
        <f t="shared" si="14"/>
        <v>100</v>
      </c>
      <c r="X33" s="1743"/>
      <c r="Y33" s="3247"/>
      <c r="Z33" s="1806">
        <f t="shared" si="15"/>
        <v>111</v>
      </c>
      <c r="AA33" s="1806">
        <f t="shared" si="3"/>
        <v>1</v>
      </c>
      <c r="AB33" s="1806">
        <f t="shared" si="4"/>
        <v>1</v>
      </c>
      <c r="AC33" s="1806">
        <f t="shared" si="5"/>
        <v>1</v>
      </c>
    </row>
    <row r="34" spans="1:30" ht="15.6"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47"/>
      <c r="Q34" s="1803">
        <f t="shared" si="11"/>
        <v>111</v>
      </c>
      <c r="R34" s="1804" t="s">
        <v>14</v>
      </c>
      <c r="S34" s="1805">
        <f t="shared" si="12"/>
        <v>100</v>
      </c>
      <c r="T34" s="1804" t="s">
        <v>14</v>
      </c>
      <c r="U34" s="1805">
        <f t="shared" si="13"/>
        <v>100</v>
      </c>
      <c r="V34" s="1804" t="s">
        <v>14</v>
      </c>
      <c r="W34" s="1805">
        <f t="shared" si="14"/>
        <v>100</v>
      </c>
      <c r="X34" s="1743"/>
      <c r="Y34" s="3247"/>
      <c r="Z34" s="1806">
        <f t="shared" si="15"/>
        <v>111</v>
      </c>
      <c r="AA34" s="1806">
        <f t="shared" si="3"/>
        <v>1</v>
      </c>
      <c r="AB34" s="1806">
        <f t="shared" si="4"/>
        <v>1</v>
      </c>
      <c r="AC34" s="1806">
        <f t="shared" si="5"/>
        <v>1</v>
      </c>
    </row>
    <row r="35" spans="1:30" ht="14.4">
      <c r="A35" s="1849" t="s">
        <v>1936</v>
      </c>
      <c r="B35" s="1850"/>
      <c r="C35" s="1851" t="s">
        <v>0</v>
      </c>
      <c r="D35" s="1852"/>
      <c r="E35" s="1853"/>
      <c r="F35" s="1854"/>
      <c r="G35" s="1855"/>
      <c r="H35" s="1856"/>
      <c r="I35" s="1853"/>
      <c r="J35" s="1856"/>
      <c r="K35" s="1805"/>
      <c r="L35" s="1858"/>
      <c r="M35" s="1859"/>
      <c r="N35" s="1742"/>
      <c r="O35" s="1859"/>
      <c r="P35" s="3241" t="str">
        <f>A35</f>
        <v>成交单价（元/平方米）</v>
      </c>
      <c r="Q35" s="3241"/>
      <c r="R35" s="3236">
        <f>E35</f>
        <v>0</v>
      </c>
      <c r="S35" s="3236"/>
      <c r="T35" s="3236">
        <f>G35</f>
        <v>0</v>
      </c>
      <c r="U35" s="3236"/>
      <c r="V35" s="3236">
        <f>I35</f>
        <v>0</v>
      </c>
      <c r="W35" s="3236"/>
      <c r="X35" s="1860"/>
      <c r="Y35" s="1861"/>
      <c r="Z35" s="1860"/>
      <c r="AA35" s="1860"/>
      <c r="AB35" s="1860"/>
      <c r="AC35" s="1860"/>
    </row>
    <row r="36" spans="1:30" ht="1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41" t="str">
        <f>A36</f>
        <v>比较价值（元/平方米）</v>
      </c>
      <c r="Q36" s="3241"/>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1860"/>
      <c r="Y36" s="1860"/>
      <c r="Z36" s="1860"/>
      <c r="AA36" s="1860"/>
      <c r="AB36" s="1860"/>
      <c r="AC36" s="1860"/>
    </row>
    <row r="37" spans="1:30" ht="15" thickBot="1">
      <c r="A37" s="1869" t="s">
        <v>2029</v>
      </c>
      <c r="B37" s="1870"/>
      <c r="C37" s="1749" t="e">
        <f>R37</f>
        <v>#DIV/0!</v>
      </c>
      <c r="D37" s="1749"/>
      <c r="E37" s="1749"/>
      <c r="F37" s="1749"/>
      <c r="G37" s="1749"/>
      <c r="H37" s="1749"/>
      <c r="I37" s="1749"/>
      <c r="J37" s="1749"/>
      <c r="K37" s="1803"/>
      <c r="L37" s="1858"/>
      <c r="M37" s="1859"/>
      <c r="N37" s="1859"/>
      <c r="O37" s="1859"/>
      <c r="P37" s="3238" t="str">
        <f>A37</f>
        <v>估价对象XX用房的比较价值（楼面单价，元/平方米）</v>
      </c>
      <c r="Q37" s="3239"/>
      <c r="R37" s="3267" t="e">
        <f>IF(F1="售价",ROUND(IF(D36="简单平均",AVERAGE(R36:W36),R36*F36+T36*H36+V36*J36),0),ROUND(IF(D36="简单平均",AVERAGE(R36:V36),R36*F36+T36*H36+V36*J36),1))</f>
        <v>#DIV/0!</v>
      </c>
      <c r="S37" s="3267"/>
      <c r="T37" s="3267"/>
      <c r="U37" s="3267"/>
      <c r="V37" s="3267"/>
      <c r="W37" s="326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2.2"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4.4">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4.4">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4.4"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ht="14.4">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4.4"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9.4"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4.4"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4.4"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4.4"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4.4"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4.4"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4.4"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4.4"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4.4"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9.4"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4.4"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4.4"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4.4"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4.4"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4.4"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4.4"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4.4"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4.4"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4.4"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4.4"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4.4"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4.4"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4.4"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4.4"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4.4"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4.4"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4.4"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4.4"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4.4"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4.4"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4.4"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4.4"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4.4"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3.8"/>
  <cols>
    <col min="1" max="1" width="14.33203125" style="1744" customWidth="1"/>
    <col min="2" max="2" width="15.77734375" style="1744" customWidth="1"/>
    <col min="3" max="3" width="14.33203125" style="1744" customWidth="1"/>
    <col min="4" max="4" width="14.1093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4.4">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11" t="s">
        <v>2006</v>
      </c>
      <c r="S4" s="3212"/>
      <c r="T4" s="3211" t="s">
        <v>2007</v>
      </c>
      <c r="U4" s="3212"/>
      <c r="V4" s="3236" t="s">
        <v>2008</v>
      </c>
      <c r="W4" s="3236"/>
      <c r="X4" s="1743"/>
      <c r="Y4" s="3211" t="s">
        <v>2010</v>
      </c>
      <c r="Z4" s="3212"/>
      <c r="AA4" s="3206" t="s">
        <v>2006</v>
      </c>
      <c r="AB4" s="3207" t="s">
        <v>2007</v>
      </c>
      <c r="AC4" s="3206" t="s">
        <v>2008</v>
      </c>
    </row>
    <row r="5" spans="1:30">
      <c r="A5" s="1745"/>
      <c r="B5" s="1746"/>
      <c r="C5" s="3217" t="s">
        <v>1901</v>
      </c>
      <c r="D5" s="3218"/>
      <c r="E5" s="3215" t="s">
        <v>1902</v>
      </c>
      <c r="F5" s="3216"/>
      <c r="G5" s="3217" t="s">
        <v>1903</v>
      </c>
      <c r="H5" s="3218"/>
      <c r="I5" s="3217" t="s">
        <v>1904</v>
      </c>
      <c r="J5" s="3218"/>
      <c r="K5" s="2042"/>
      <c r="L5" s="1741"/>
      <c r="M5" s="1742"/>
      <c r="N5" s="1742"/>
      <c r="O5" s="1742"/>
      <c r="P5" s="3230"/>
      <c r="Q5" s="3231"/>
      <c r="R5" s="3213"/>
      <c r="S5" s="3214"/>
      <c r="T5" s="3213"/>
      <c r="U5" s="3214"/>
      <c r="V5" s="3236"/>
      <c r="W5" s="3236"/>
      <c r="X5" s="1743"/>
      <c r="Y5" s="3213"/>
      <c r="Z5" s="3214"/>
      <c r="AA5" s="3207"/>
      <c r="AB5" s="3207"/>
      <c r="AC5" s="3207"/>
    </row>
    <row r="6" spans="1:30" ht="15" thickBot="1">
      <c r="A6" s="1748"/>
      <c r="B6" s="1749"/>
      <c r="C6" s="3219" t="s">
        <v>1905</v>
      </c>
      <c r="D6" s="3220"/>
      <c r="E6" s="3221" t="s">
        <v>1905</v>
      </c>
      <c r="F6" s="3222"/>
      <c r="G6" s="3219" t="s">
        <v>1905</v>
      </c>
      <c r="H6" s="3220"/>
      <c r="I6" s="3219" t="s">
        <v>1905</v>
      </c>
      <c r="J6" s="3220"/>
      <c r="K6" s="2042" t="s">
        <v>1906</v>
      </c>
      <c r="L6" s="1741"/>
      <c r="M6" s="1742"/>
      <c r="N6" s="1742"/>
      <c r="O6" s="1742"/>
      <c r="P6" s="3232"/>
      <c r="Q6" s="3233"/>
      <c r="R6" s="3213"/>
      <c r="S6" s="3214"/>
      <c r="T6" s="3234"/>
      <c r="U6" s="3235"/>
      <c r="V6" s="3236"/>
      <c r="W6" s="3236"/>
      <c r="X6" s="1743"/>
      <c r="Y6" s="3234"/>
      <c r="Z6" s="3235"/>
      <c r="AA6" s="3208"/>
      <c r="AB6" s="3208"/>
      <c r="AC6" s="3208"/>
    </row>
    <row r="7" spans="1:30" s="1760" customFormat="1" ht="15" thickBot="1">
      <c r="A7" s="1750" t="s">
        <v>1907</v>
      </c>
      <c r="B7" s="1751"/>
      <c r="C7" s="1752">
        <f>'数据-取费表'!B2</f>
        <v>44889</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09" t="s">
        <v>1908</v>
      </c>
      <c r="Q7" s="3237"/>
      <c r="R7" s="463" t="s">
        <v>14</v>
      </c>
      <c r="S7" s="1758">
        <f t="shared" ref="S7:S15" si="0">F7</f>
        <v>0</v>
      </c>
      <c r="T7" s="463" t="s">
        <v>14</v>
      </c>
      <c r="U7" s="1758">
        <f t="shared" ref="U7:U15" si="1">H7</f>
        <v>0</v>
      </c>
      <c r="V7" s="463" t="s">
        <v>14</v>
      </c>
      <c r="W7" s="1758">
        <f t="shared" ref="W7:W15" si="2">J7</f>
        <v>0</v>
      </c>
      <c r="X7" s="1759"/>
      <c r="Y7" s="3209" t="s">
        <v>1908</v>
      </c>
      <c r="Z7" s="3210"/>
      <c r="AA7" s="469" t="e">
        <f>D7/F7</f>
        <v>#DIV/0!</v>
      </c>
      <c r="AB7" s="469" t="e">
        <f>D7/H7</f>
        <v>#DIV/0!</v>
      </c>
      <c r="AC7" s="469" t="e">
        <f>D7/J7</f>
        <v>#DIV/0!</v>
      </c>
    </row>
    <row r="8" spans="1:30" s="1760" customFormat="1" ht="1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09" t="s">
        <v>1911</v>
      </c>
      <c r="Q8" s="3210"/>
      <c r="R8" s="463" t="s">
        <v>14</v>
      </c>
      <c r="S8" s="1758">
        <f t="shared" si="0"/>
        <v>0</v>
      </c>
      <c r="T8" s="463" t="s">
        <v>14</v>
      </c>
      <c r="U8" s="1758">
        <f t="shared" si="1"/>
        <v>0</v>
      </c>
      <c r="V8" s="463" t="s">
        <v>14</v>
      </c>
      <c r="W8" s="1758">
        <f t="shared" si="2"/>
        <v>0</v>
      </c>
      <c r="X8" s="1759"/>
      <c r="Y8" s="3209" t="s">
        <v>1911</v>
      </c>
      <c r="Z8" s="3210"/>
      <c r="AA8" s="469" t="e">
        <f t="shared" ref="AA8:AA45" si="3">D8/F8</f>
        <v>#DIV/0!</v>
      </c>
      <c r="AB8" s="469" t="e">
        <f t="shared" ref="AB8:AB45" si="4">D8/H8</f>
        <v>#DIV/0!</v>
      </c>
      <c r="AC8" s="469" t="e">
        <f t="shared" ref="AC8:AC45" si="5">D8/J8</f>
        <v>#DIV/0!</v>
      </c>
    </row>
    <row r="9" spans="1:30" s="1760" customFormat="1" ht="14.4">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41" t="s">
        <v>1914</v>
      </c>
      <c r="Q9" s="1769" t="str">
        <f t="shared" ref="Q9:Q15" si="6">B9</f>
        <v>用途</v>
      </c>
      <c r="R9" s="463" t="s">
        <v>14</v>
      </c>
      <c r="S9" s="1758">
        <f t="shared" si="0"/>
        <v>100</v>
      </c>
      <c r="T9" s="463" t="s">
        <v>14</v>
      </c>
      <c r="U9" s="1758">
        <f t="shared" si="1"/>
        <v>100</v>
      </c>
      <c r="V9" s="463" t="s">
        <v>14</v>
      </c>
      <c r="W9" s="1758">
        <f t="shared" si="2"/>
        <v>100</v>
      </c>
      <c r="X9" s="1759"/>
      <c r="Y9" s="3153" t="s">
        <v>1915</v>
      </c>
      <c r="Z9" s="469" t="str">
        <f t="shared" ref="Z9:Z15" si="7">Q9</f>
        <v>用途</v>
      </c>
      <c r="AA9" s="469">
        <f t="shared" si="3"/>
        <v>1</v>
      </c>
      <c r="AB9" s="469">
        <f t="shared" si="4"/>
        <v>1</v>
      </c>
      <c r="AC9" s="469">
        <f t="shared" si="5"/>
        <v>1</v>
      </c>
    </row>
    <row r="10" spans="1:30" s="1778" customFormat="1" ht="28.8">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41"/>
      <c r="Q10" s="1769" t="str">
        <f t="shared" si="6"/>
        <v>土地使用年限（年）</v>
      </c>
      <c r="R10" s="463" t="s">
        <v>14</v>
      </c>
      <c r="S10" s="1758" t="e">
        <f t="shared" si="0"/>
        <v>#DIV/0!</v>
      </c>
      <c r="T10" s="463" t="s">
        <v>14</v>
      </c>
      <c r="U10" s="1758" t="e">
        <f t="shared" si="1"/>
        <v>#DIV/0!</v>
      </c>
      <c r="V10" s="463" t="s">
        <v>14</v>
      </c>
      <c r="W10" s="1758" t="e">
        <f t="shared" si="2"/>
        <v>#DIV/0!</v>
      </c>
      <c r="X10" s="1759"/>
      <c r="Y10" s="315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41"/>
      <c r="Q11" s="1769" t="str">
        <f t="shared" si="6"/>
        <v>容积率</v>
      </c>
      <c r="R11" s="463" t="s">
        <v>14</v>
      </c>
      <c r="S11" s="1758" t="e">
        <f t="shared" si="0"/>
        <v>#N/A</v>
      </c>
      <c r="T11" s="463" t="s">
        <v>14</v>
      </c>
      <c r="U11" s="1758" t="e">
        <f t="shared" si="1"/>
        <v>#N/A</v>
      </c>
      <c r="V11" s="463" t="s">
        <v>14</v>
      </c>
      <c r="W11" s="1758" t="e">
        <f t="shared" si="2"/>
        <v>#N/A</v>
      </c>
      <c r="X11" s="1759"/>
      <c r="Y11" s="315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41"/>
      <c r="Q12" s="1769" t="str">
        <f t="shared" si="6"/>
        <v>配建</v>
      </c>
      <c r="R12" s="463" t="s">
        <v>14</v>
      </c>
      <c r="S12" s="1758">
        <f t="shared" si="0"/>
        <v>100</v>
      </c>
      <c r="T12" s="463" t="s">
        <v>14</v>
      </c>
      <c r="U12" s="1758">
        <f t="shared" si="1"/>
        <v>100</v>
      </c>
      <c r="V12" s="463" t="s">
        <v>14</v>
      </c>
      <c r="W12" s="1758">
        <f t="shared" si="2"/>
        <v>100</v>
      </c>
      <c r="X12" s="1759"/>
      <c r="Y12" s="315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41"/>
      <c r="Q13" s="1769">
        <f t="shared" si="6"/>
        <v>111</v>
      </c>
      <c r="R13" s="463" t="s">
        <v>14</v>
      </c>
      <c r="S13" s="1758">
        <f t="shared" si="0"/>
        <v>100</v>
      </c>
      <c r="T13" s="463" t="s">
        <v>14</v>
      </c>
      <c r="U13" s="1758">
        <f t="shared" si="1"/>
        <v>100</v>
      </c>
      <c r="V13" s="463" t="s">
        <v>14</v>
      </c>
      <c r="W13" s="1758">
        <f t="shared" si="2"/>
        <v>100</v>
      </c>
      <c r="X13" s="1759"/>
      <c r="Y13" s="3153"/>
      <c r="Z13" s="469">
        <f t="shared" si="7"/>
        <v>111</v>
      </c>
      <c r="AA13" s="469">
        <f>D13/F13</f>
        <v>1</v>
      </c>
      <c r="AB13" s="469">
        <f>D13/H13</f>
        <v>1</v>
      </c>
      <c r="AC13" s="469">
        <f>D13/J13</f>
        <v>1</v>
      </c>
    </row>
    <row r="14" spans="1:30" ht="15.6"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41"/>
      <c r="Q14" s="1769">
        <f t="shared" si="6"/>
        <v>111</v>
      </c>
      <c r="R14" s="463" t="s">
        <v>14</v>
      </c>
      <c r="S14" s="1758">
        <f t="shared" si="0"/>
        <v>100</v>
      </c>
      <c r="T14" s="463" t="s">
        <v>14</v>
      </c>
      <c r="U14" s="1758">
        <f t="shared" si="1"/>
        <v>100</v>
      </c>
      <c r="V14" s="463" t="s">
        <v>14</v>
      </c>
      <c r="W14" s="1758">
        <f t="shared" si="2"/>
        <v>100</v>
      </c>
      <c r="X14" s="1759"/>
      <c r="Y14" s="3153"/>
      <c r="Z14" s="469">
        <f t="shared" si="7"/>
        <v>111</v>
      </c>
      <c r="AA14" s="469">
        <f>D14/F14</f>
        <v>1</v>
      </c>
      <c r="AB14" s="469">
        <f>D14/H14</f>
        <v>1</v>
      </c>
      <c r="AC14" s="469">
        <f>D14/J14</f>
        <v>1</v>
      </c>
    </row>
    <row r="15" spans="1:30" ht="96.6">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42" t="s">
        <v>1919</v>
      </c>
      <c r="Q15" s="1803" t="str">
        <f t="shared" si="6"/>
        <v>居住社区成熟度</v>
      </c>
      <c r="R15" s="1804" t="s">
        <v>14</v>
      </c>
      <c r="S15" s="1805">
        <f t="shared" si="0"/>
        <v>100</v>
      </c>
      <c r="T15" s="1804" t="s">
        <v>14</v>
      </c>
      <c r="U15" s="1805">
        <f t="shared" si="1"/>
        <v>100</v>
      </c>
      <c r="V15" s="1804" t="s">
        <v>14</v>
      </c>
      <c r="W15" s="1805">
        <f t="shared" si="2"/>
        <v>100</v>
      </c>
      <c r="X15" s="1743"/>
      <c r="Y15" s="324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43"/>
      <c r="Q16" s="1803"/>
      <c r="R16" s="1804"/>
      <c r="S16" s="1805"/>
      <c r="T16" s="1804"/>
      <c r="U16" s="1805"/>
      <c r="V16" s="1804"/>
      <c r="W16" s="1805"/>
      <c r="X16" s="1743"/>
      <c r="Y16" s="3243"/>
      <c r="Z16" s="1806"/>
      <c r="AA16" s="1806">
        <v>1</v>
      </c>
      <c r="AB16" s="1806">
        <v>1</v>
      </c>
      <c r="AC16" s="1806">
        <v>1</v>
      </c>
    </row>
    <row r="17" spans="1:29" ht="82.8">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43"/>
      <c r="Q17" s="1803" t="str">
        <f>B17</f>
        <v>商业繁华度</v>
      </c>
      <c r="R17" s="1804" t="s">
        <v>14</v>
      </c>
      <c r="S17" s="1805">
        <f>F17</f>
        <v>100</v>
      </c>
      <c r="T17" s="1804" t="s">
        <v>14</v>
      </c>
      <c r="U17" s="1805">
        <f>H17</f>
        <v>100</v>
      </c>
      <c r="V17" s="1804" t="s">
        <v>14</v>
      </c>
      <c r="W17" s="1805">
        <f>J17</f>
        <v>100</v>
      </c>
      <c r="X17" s="1743"/>
      <c r="Y17" s="324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43"/>
      <c r="Q18" s="1803"/>
      <c r="R18" s="1804"/>
      <c r="S18" s="1805"/>
      <c r="T18" s="1804"/>
      <c r="U18" s="1805"/>
      <c r="V18" s="1804"/>
      <c r="W18" s="1805"/>
      <c r="X18" s="1743"/>
      <c r="Y18" s="3243"/>
      <c r="Z18" s="1806"/>
      <c r="AA18" s="1806">
        <v>1</v>
      </c>
      <c r="AB18" s="1806">
        <v>1</v>
      </c>
      <c r="AC18" s="1806">
        <v>1</v>
      </c>
    </row>
    <row r="19" spans="1:29" ht="82.8">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43"/>
      <c r="Q19" s="1803" t="str">
        <f>B19</f>
        <v>办公集聚程度</v>
      </c>
      <c r="R19" s="1804" t="s">
        <v>14</v>
      </c>
      <c r="S19" s="1805">
        <f>F19</f>
        <v>100</v>
      </c>
      <c r="T19" s="1804" t="s">
        <v>14</v>
      </c>
      <c r="U19" s="1805">
        <f>H19</f>
        <v>100</v>
      </c>
      <c r="V19" s="1804" t="s">
        <v>14</v>
      </c>
      <c r="W19" s="1805">
        <f>J19</f>
        <v>100</v>
      </c>
      <c r="X19" s="1743"/>
      <c r="Y19" s="324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43"/>
      <c r="Q20" s="1803"/>
      <c r="R20" s="1804"/>
      <c r="S20" s="1805"/>
      <c r="T20" s="1804"/>
      <c r="U20" s="1805"/>
      <c r="V20" s="1804"/>
      <c r="W20" s="1805"/>
      <c r="X20" s="1743"/>
      <c r="Y20" s="3243"/>
      <c r="Z20" s="1806"/>
      <c r="AA20" s="1806">
        <v>1</v>
      </c>
      <c r="AB20" s="1806">
        <v>1</v>
      </c>
      <c r="AC20" s="1806">
        <v>1</v>
      </c>
    </row>
    <row r="21" spans="1:29" ht="96.6">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43"/>
      <c r="Q21" s="1803" t="str">
        <f>B21</f>
        <v>交通便捷度</v>
      </c>
      <c r="R21" s="1804" t="s">
        <v>14</v>
      </c>
      <c r="S21" s="1805">
        <f>F21</f>
        <v>100</v>
      </c>
      <c r="T21" s="1804" t="s">
        <v>14</v>
      </c>
      <c r="U21" s="1805">
        <f>H21</f>
        <v>100</v>
      </c>
      <c r="V21" s="1804" t="s">
        <v>14</v>
      </c>
      <c r="W21" s="1805">
        <f>J21</f>
        <v>100</v>
      </c>
      <c r="X21" s="1743"/>
      <c r="Y21" s="324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43"/>
      <c r="Q22" s="1803"/>
      <c r="R22" s="1804"/>
      <c r="S22" s="1805"/>
      <c r="T22" s="1804"/>
      <c r="U22" s="1805"/>
      <c r="V22" s="1804"/>
      <c r="W22" s="1805"/>
      <c r="X22" s="1743"/>
      <c r="Y22" s="3243"/>
      <c r="Z22" s="1806"/>
      <c r="AA22" s="1806">
        <v>1</v>
      </c>
      <c r="AB22" s="1806">
        <v>1</v>
      </c>
      <c r="AC22" s="1806">
        <v>1</v>
      </c>
    </row>
    <row r="23" spans="1:29" ht="28.8">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43"/>
      <c r="Q23" s="1803" t="str">
        <f t="shared" ref="Q23:Q37" si="8">B23</f>
        <v>区域土地利用方向</v>
      </c>
      <c r="R23" s="1804" t="s">
        <v>14</v>
      </c>
      <c r="S23" s="1805">
        <f>F23</f>
        <v>100</v>
      </c>
      <c r="T23" s="1804" t="s">
        <v>14</v>
      </c>
      <c r="U23" s="1805">
        <f>H23</f>
        <v>100</v>
      </c>
      <c r="V23" s="1804" t="s">
        <v>14</v>
      </c>
      <c r="W23" s="1805">
        <f>J23</f>
        <v>100</v>
      </c>
      <c r="X23" s="1743"/>
      <c r="Y23" s="324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43"/>
      <c r="Q24" s="1803"/>
      <c r="R24" s="1804"/>
      <c r="S24" s="1805"/>
      <c r="T24" s="1804"/>
      <c r="U24" s="1805"/>
      <c r="V24" s="1804"/>
      <c r="W24" s="1805"/>
      <c r="X24" s="1743"/>
      <c r="Y24" s="3243"/>
      <c r="Z24" s="1806"/>
      <c r="AA24" s="1806"/>
      <c r="AB24" s="1806"/>
      <c r="AC24" s="1806"/>
    </row>
    <row r="25" spans="1:29" ht="55.2">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43"/>
      <c r="Q25" s="1803" t="str">
        <f t="shared" si="8"/>
        <v>自然及人文环境状况</v>
      </c>
      <c r="R25" s="1804" t="s">
        <v>14</v>
      </c>
      <c r="S25" s="1805">
        <f>F25</f>
        <v>100</v>
      </c>
      <c r="T25" s="1804" t="s">
        <v>14</v>
      </c>
      <c r="U25" s="1805">
        <f>H25</f>
        <v>100</v>
      </c>
      <c r="V25" s="1804" t="s">
        <v>14</v>
      </c>
      <c r="W25" s="1805">
        <f>J25</f>
        <v>100</v>
      </c>
      <c r="X25" s="1743"/>
      <c r="Y25" s="324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43"/>
      <c r="Q26" s="1803"/>
      <c r="R26" s="1804"/>
      <c r="S26" s="1805"/>
      <c r="T26" s="1804"/>
      <c r="U26" s="1805"/>
      <c r="V26" s="1804"/>
      <c r="W26" s="1805"/>
      <c r="X26" s="1743"/>
      <c r="Y26" s="3243"/>
      <c r="Z26" s="1806"/>
      <c r="AA26" s="1806">
        <v>1</v>
      </c>
      <c r="AB26" s="1806">
        <v>1</v>
      </c>
      <c r="AC26" s="1806">
        <v>1</v>
      </c>
    </row>
    <row r="27" spans="1:29" s="1760" customFormat="1" ht="41.4">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43"/>
      <c r="Q27" s="1769" t="str">
        <f t="shared" si="8"/>
        <v>公共配套设施</v>
      </c>
      <c r="R27" s="463" t="s">
        <v>14</v>
      </c>
      <c r="S27" s="1758">
        <f>F27</f>
        <v>100</v>
      </c>
      <c r="T27" s="463" t="s">
        <v>14</v>
      </c>
      <c r="U27" s="1758">
        <f>H27</f>
        <v>100</v>
      </c>
      <c r="V27" s="463" t="s">
        <v>14</v>
      </c>
      <c r="W27" s="1758">
        <f>J27</f>
        <v>100</v>
      </c>
      <c r="X27" s="1759"/>
      <c r="Y27" s="324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43"/>
      <c r="Q28" s="1769"/>
      <c r="R28" s="463"/>
      <c r="S28" s="1758"/>
      <c r="T28" s="463"/>
      <c r="U28" s="1758"/>
      <c r="V28" s="463"/>
      <c r="W28" s="1758"/>
      <c r="X28" s="1759"/>
      <c r="Y28" s="3243"/>
      <c r="Z28" s="469"/>
      <c r="AA28" s="1806">
        <v>1</v>
      </c>
      <c r="AB28" s="1806">
        <v>1</v>
      </c>
      <c r="AC28" s="1806">
        <v>1</v>
      </c>
    </row>
    <row r="29" spans="1:29" s="1760" customFormat="1" ht="41.4">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43"/>
      <c r="Q29" s="1769" t="str">
        <f t="shared" ref="Q29" si="9">B29</f>
        <v>基础设施水平</v>
      </c>
      <c r="R29" s="463" t="s">
        <v>14</v>
      </c>
      <c r="S29" s="1758">
        <f>F29</f>
        <v>100</v>
      </c>
      <c r="T29" s="463" t="s">
        <v>14</v>
      </c>
      <c r="U29" s="1758">
        <f>H29</f>
        <v>100</v>
      </c>
      <c r="V29" s="463" t="s">
        <v>14</v>
      </c>
      <c r="W29" s="1758">
        <f>J29</f>
        <v>100</v>
      </c>
      <c r="X29" s="1759"/>
      <c r="Y29" s="324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43"/>
      <c r="Q30" s="1769"/>
      <c r="R30" s="463"/>
      <c r="S30" s="1758"/>
      <c r="T30" s="463"/>
      <c r="U30" s="1758"/>
      <c r="V30" s="463"/>
      <c r="W30" s="1758"/>
      <c r="X30" s="1759"/>
      <c r="Y30" s="324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4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43"/>
      <c r="Z31" s="1806" t="str">
        <f t="shared" ref="Z31:Z45" si="13">Q31</f>
        <v>临街状况</v>
      </c>
      <c r="AA31" s="1806">
        <f t="shared" si="3"/>
        <v>1</v>
      </c>
      <c r="AB31" s="1806">
        <f t="shared" si="4"/>
        <v>1</v>
      </c>
      <c r="AC31" s="1806">
        <f t="shared" si="5"/>
        <v>1</v>
      </c>
    </row>
    <row r="32" spans="1:29" ht="28.8">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43"/>
      <c r="Q32" s="1803" t="str">
        <f t="shared" si="8"/>
        <v>毗邻道路的类型与等级</v>
      </c>
      <c r="R32" s="1804" t="s">
        <v>14</v>
      </c>
      <c r="S32" s="1805">
        <f t="shared" si="10"/>
        <v>100</v>
      </c>
      <c r="T32" s="1804" t="s">
        <v>14</v>
      </c>
      <c r="U32" s="1805">
        <f t="shared" si="11"/>
        <v>100</v>
      </c>
      <c r="V32" s="1804" t="s">
        <v>14</v>
      </c>
      <c r="W32" s="1805">
        <f t="shared" si="12"/>
        <v>100</v>
      </c>
      <c r="X32" s="1743"/>
      <c r="Y32" s="324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43"/>
      <c r="Q33" s="1803"/>
      <c r="R33" s="1804"/>
      <c r="S33" s="1805"/>
      <c r="T33" s="1804"/>
      <c r="U33" s="1805"/>
      <c r="V33" s="1804"/>
      <c r="W33" s="1805"/>
      <c r="X33" s="1743"/>
      <c r="Y33" s="324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43"/>
      <c r="Q34" s="1803" t="str">
        <f t="shared" si="8"/>
        <v>土地级别</v>
      </c>
      <c r="R34" s="1804" t="s">
        <v>14</v>
      </c>
      <c r="S34" s="1805">
        <f t="shared" si="10"/>
        <v>100</v>
      </c>
      <c r="T34" s="1804" t="s">
        <v>14</v>
      </c>
      <c r="U34" s="1805">
        <f t="shared" si="11"/>
        <v>100</v>
      </c>
      <c r="V34" s="1804" t="s">
        <v>14</v>
      </c>
      <c r="W34" s="1805">
        <f t="shared" si="12"/>
        <v>100</v>
      </c>
      <c r="X34" s="1743"/>
      <c r="Y34" s="324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43"/>
      <c r="Q35" s="1803">
        <f t="shared" si="8"/>
        <v>111</v>
      </c>
      <c r="R35" s="1804" t="s">
        <v>14</v>
      </c>
      <c r="S35" s="1805">
        <f t="shared" si="10"/>
        <v>100</v>
      </c>
      <c r="T35" s="1804" t="s">
        <v>14</v>
      </c>
      <c r="U35" s="1805">
        <f t="shared" si="11"/>
        <v>100</v>
      </c>
      <c r="V35" s="1804" t="s">
        <v>14</v>
      </c>
      <c r="W35" s="1805">
        <f t="shared" si="12"/>
        <v>100</v>
      </c>
      <c r="X35" s="1743"/>
      <c r="Y35" s="324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6" t="s">
        <v>1924</v>
      </c>
      <c r="Q36" s="1803">
        <f t="shared" si="8"/>
        <v>111</v>
      </c>
      <c r="R36" s="1804" t="s">
        <v>14</v>
      </c>
      <c r="S36" s="1805">
        <f t="shared" si="10"/>
        <v>100</v>
      </c>
      <c r="T36" s="1804" t="s">
        <v>14</v>
      </c>
      <c r="U36" s="1805">
        <f t="shared" si="11"/>
        <v>100</v>
      </c>
      <c r="V36" s="1804" t="s">
        <v>14</v>
      </c>
      <c r="W36" s="1805">
        <f t="shared" si="12"/>
        <v>100</v>
      </c>
      <c r="X36" s="1743"/>
      <c r="Y36" s="3247" t="s">
        <v>1924</v>
      </c>
      <c r="Z36" s="1806">
        <f t="shared" si="13"/>
        <v>111</v>
      </c>
      <c r="AA36" s="1806">
        <f t="shared" si="3"/>
        <v>1</v>
      </c>
      <c r="AB36" s="1806">
        <f t="shared" si="4"/>
        <v>1</v>
      </c>
      <c r="AC36" s="1806">
        <f t="shared" si="5"/>
        <v>1</v>
      </c>
    </row>
    <row r="37" spans="1:29" s="1844" customFormat="1" ht="15.6"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47"/>
      <c r="Q37" s="1803">
        <f t="shared" si="8"/>
        <v>111</v>
      </c>
      <c r="R37" s="1840" t="s">
        <v>14</v>
      </c>
      <c r="S37" s="1841">
        <f t="shared" si="10"/>
        <v>100</v>
      </c>
      <c r="T37" s="1840" t="s">
        <v>14</v>
      </c>
      <c r="U37" s="1841">
        <f t="shared" si="11"/>
        <v>100</v>
      </c>
      <c r="V37" s="1840" t="s">
        <v>14</v>
      </c>
      <c r="W37" s="1841">
        <f t="shared" si="12"/>
        <v>100</v>
      </c>
      <c r="X37" s="1842"/>
      <c r="Y37" s="3247"/>
      <c r="Z37" s="1843">
        <f t="shared" si="13"/>
        <v>111</v>
      </c>
      <c r="AA37" s="1806">
        <f t="shared" si="3"/>
        <v>1</v>
      </c>
      <c r="AB37" s="1806">
        <f t="shared" si="4"/>
        <v>1</v>
      </c>
      <c r="AC37" s="1806">
        <f t="shared" si="5"/>
        <v>1</v>
      </c>
    </row>
    <row r="38" spans="1:29" ht="15.6">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47"/>
      <c r="Q38" s="1803" t="str">
        <f>B38</f>
        <v>宗地面积</v>
      </c>
      <c r="R38" s="1804" t="s">
        <v>14</v>
      </c>
      <c r="S38" s="1805" t="e">
        <f t="shared" si="10"/>
        <v>#N/A</v>
      </c>
      <c r="T38" s="1804" t="s">
        <v>14</v>
      </c>
      <c r="U38" s="1805" t="e">
        <f t="shared" si="11"/>
        <v>#N/A</v>
      </c>
      <c r="V38" s="1804" t="s">
        <v>14</v>
      </c>
      <c r="W38" s="1805" t="e">
        <f t="shared" si="12"/>
        <v>#N/A</v>
      </c>
      <c r="X38" s="1743"/>
      <c r="Y38" s="324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47"/>
      <c r="Q39" s="1803" t="str">
        <f t="shared" ref="Q39:Q45" si="14">B39</f>
        <v>宗地形状</v>
      </c>
      <c r="R39" s="1804" t="s">
        <v>14</v>
      </c>
      <c r="S39" s="1805">
        <f t="shared" si="10"/>
        <v>100</v>
      </c>
      <c r="T39" s="1804" t="s">
        <v>14</v>
      </c>
      <c r="U39" s="1805">
        <f t="shared" si="11"/>
        <v>100</v>
      </c>
      <c r="V39" s="1804" t="s">
        <v>14</v>
      </c>
      <c r="W39" s="1805">
        <f t="shared" si="12"/>
        <v>100</v>
      </c>
      <c r="X39" s="1743"/>
      <c r="Y39" s="324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47"/>
      <c r="Q40" s="1803" t="str">
        <f t="shared" si="14"/>
        <v>临街宽度及深度</v>
      </c>
      <c r="R40" s="1804" t="s">
        <v>14</v>
      </c>
      <c r="S40" s="1805">
        <f t="shared" si="10"/>
        <v>100</v>
      </c>
      <c r="T40" s="1804" t="s">
        <v>14</v>
      </c>
      <c r="U40" s="1805">
        <f t="shared" si="11"/>
        <v>100</v>
      </c>
      <c r="V40" s="1804" t="s">
        <v>14</v>
      </c>
      <c r="W40" s="1805">
        <f t="shared" si="12"/>
        <v>100</v>
      </c>
      <c r="X40" s="1743"/>
      <c r="Y40" s="324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47"/>
      <c r="Q41" s="1803" t="str">
        <f t="shared" si="14"/>
        <v>宗地开发程度</v>
      </c>
      <c r="R41" s="463" t="s">
        <v>14</v>
      </c>
      <c r="S41" s="1758">
        <f t="shared" si="10"/>
        <v>100</v>
      </c>
      <c r="T41" s="463" t="s">
        <v>14</v>
      </c>
      <c r="U41" s="1758">
        <f t="shared" si="11"/>
        <v>100</v>
      </c>
      <c r="V41" s="463" t="s">
        <v>14</v>
      </c>
      <c r="W41" s="1758">
        <f t="shared" si="12"/>
        <v>100</v>
      </c>
      <c r="X41" s="1759"/>
      <c r="Y41" s="324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47" t="s">
        <v>1924</v>
      </c>
      <c r="Q42" s="1803" t="str">
        <f t="shared" si="14"/>
        <v>工程地质条件</v>
      </c>
      <c r="R42" s="1804" t="s">
        <v>14</v>
      </c>
      <c r="S42" s="1805">
        <f t="shared" si="10"/>
        <v>100</v>
      </c>
      <c r="T42" s="1804" t="s">
        <v>14</v>
      </c>
      <c r="U42" s="1805">
        <f t="shared" si="11"/>
        <v>100</v>
      </c>
      <c r="V42" s="1804" t="s">
        <v>14</v>
      </c>
      <c r="W42" s="1805">
        <f t="shared" si="12"/>
        <v>100</v>
      </c>
      <c r="X42" s="1743"/>
      <c r="Y42" s="324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47"/>
      <c r="Q43" s="1803">
        <f t="shared" si="14"/>
        <v>111</v>
      </c>
      <c r="R43" s="1804" t="s">
        <v>14</v>
      </c>
      <c r="S43" s="1805">
        <f t="shared" si="10"/>
        <v>100</v>
      </c>
      <c r="T43" s="1804" t="s">
        <v>14</v>
      </c>
      <c r="U43" s="1805">
        <f t="shared" si="11"/>
        <v>100</v>
      </c>
      <c r="V43" s="1804" t="s">
        <v>14</v>
      </c>
      <c r="W43" s="1805">
        <f t="shared" si="12"/>
        <v>100</v>
      </c>
      <c r="X43" s="1743"/>
      <c r="Y43" s="324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47"/>
      <c r="Q44" s="1803">
        <f t="shared" si="14"/>
        <v>111</v>
      </c>
      <c r="R44" s="1804" t="s">
        <v>14</v>
      </c>
      <c r="S44" s="1805">
        <f t="shared" si="10"/>
        <v>100</v>
      </c>
      <c r="T44" s="1804" t="s">
        <v>14</v>
      </c>
      <c r="U44" s="1805">
        <f t="shared" si="11"/>
        <v>100</v>
      </c>
      <c r="V44" s="1804" t="s">
        <v>14</v>
      </c>
      <c r="W44" s="1805">
        <f t="shared" si="12"/>
        <v>100</v>
      </c>
      <c r="X44" s="1743"/>
      <c r="Y44" s="3247"/>
      <c r="Z44" s="1806">
        <f t="shared" si="13"/>
        <v>111</v>
      </c>
      <c r="AA44" s="1806">
        <f t="shared" si="3"/>
        <v>1</v>
      </c>
      <c r="AB44" s="1806">
        <f t="shared" si="4"/>
        <v>1</v>
      </c>
      <c r="AC44" s="1806">
        <f t="shared" si="5"/>
        <v>1</v>
      </c>
    </row>
    <row r="45" spans="1:29" s="1844" customFormat="1" ht="15.6"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47"/>
      <c r="Q45" s="1803">
        <f t="shared" si="14"/>
        <v>111</v>
      </c>
      <c r="R45" s="1840" t="s">
        <v>14</v>
      </c>
      <c r="S45" s="1841">
        <f t="shared" si="10"/>
        <v>100</v>
      </c>
      <c r="T45" s="1840" t="s">
        <v>14</v>
      </c>
      <c r="U45" s="1841">
        <f t="shared" si="11"/>
        <v>100</v>
      </c>
      <c r="V45" s="1840" t="s">
        <v>14</v>
      </c>
      <c r="W45" s="1841">
        <f t="shared" si="12"/>
        <v>100</v>
      </c>
      <c r="X45" s="1842"/>
      <c r="Y45" s="3247"/>
      <c r="Z45" s="1843">
        <f t="shared" si="13"/>
        <v>111</v>
      </c>
      <c r="AA45" s="1806">
        <f t="shared" si="3"/>
        <v>1</v>
      </c>
      <c r="AB45" s="1806">
        <f t="shared" si="4"/>
        <v>1</v>
      </c>
      <c r="AC45" s="1806">
        <f t="shared" si="5"/>
        <v>1</v>
      </c>
    </row>
    <row r="46" spans="1:29" ht="14.4">
      <c r="A46" s="1849" t="s">
        <v>2079</v>
      </c>
      <c r="B46" s="2203" t="s">
        <v>2115</v>
      </c>
      <c r="C46" s="2204" t="s">
        <v>0</v>
      </c>
      <c r="D46" s="1852"/>
      <c r="E46" s="1853"/>
      <c r="F46" s="1854"/>
      <c r="G46" s="1855"/>
      <c r="H46" s="1856"/>
      <c r="I46" s="1853"/>
      <c r="J46" s="1856"/>
      <c r="K46" s="1805"/>
      <c r="L46" s="1858"/>
      <c r="M46" s="1859"/>
      <c r="N46" s="1742"/>
      <c r="O46" s="1859"/>
      <c r="P46" s="3241" t="str">
        <f>A46</f>
        <v>成交单价</v>
      </c>
      <c r="Q46" s="3241"/>
      <c r="R46" s="3236">
        <f>E46</f>
        <v>0</v>
      </c>
      <c r="S46" s="3236"/>
      <c r="T46" s="3236">
        <f>G46</f>
        <v>0</v>
      </c>
      <c r="U46" s="3236"/>
      <c r="V46" s="3236">
        <f>I46</f>
        <v>0</v>
      </c>
      <c r="W46" s="3236"/>
      <c r="X46" s="1860"/>
      <c r="Y46" s="1861"/>
      <c r="Z46" s="1860"/>
      <c r="AA46" s="1860"/>
      <c r="AB46" s="1860"/>
      <c r="AC46" s="1860"/>
    </row>
    <row r="47" spans="1:29" ht="1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41" t="str">
        <f>A47</f>
        <v>比较价值（元/平方米）</v>
      </c>
      <c r="Q47" s="3241"/>
      <c r="R47" s="3236" t="e">
        <f>ROUND(PRODUCT(R46,AA7:AA45),0)</f>
        <v>#DIV/0!</v>
      </c>
      <c r="S47" s="3236"/>
      <c r="T47" s="3236" t="e">
        <f>ROUND(PRODUCT(T46,AB7:AB45),0)</f>
        <v>#DIV/0!</v>
      </c>
      <c r="U47" s="3236"/>
      <c r="V47" s="3236" t="e">
        <f>ROUND(PRODUCT(V46,AC7:AC45),0)</f>
        <v>#DIV/0!</v>
      </c>
      <c r="W47" s="3236"/>
      <c r="X47" s="1860"/>
      <c r="Y47" s="1860"/>
      <c r="Z47" s="1860"/>
      <c r="AA47" s="1860"/>
      <c r="AB47" s="1860"/>
      <c r="AC47" s="1860"/>
    </row>
    <row r="48" spans="1:29" ht="15" thickBot="1">
      <c r="A48" s="1869" t="s">
        <v>2116</v>
      </c>
      <c r="B48" s="1870"/>
      <c r="C48" s="1749" t="e">
        <f>R48</f>
        <v>#DIV/0!</v>
      </c>
      <c r="D48" s="1749"/>
      <c r="E48" s="1749"/>
      <c r="F48" s="1749"/>
      <c r="G48" s="1749"/>
      <c r="H48" s="1749"/>
      <c r="I48" s="1749"/>
      <c r="J48" s="1749"/>
      <c r="K48" s="1803"/>
      <c r="L48" s="1858"/>
      <c r="M48" s="1859"/>
      <c r="N48" s="1859"/>
      <c r="O48" s="1859"/>
      <c r="P48" s="3238" t="str">
        <f>A48</f>
        <v>估价对象XX用房的比较价值（楼面单价，元/平方米）</v>
      </c>
      <c r="Q48" s="3239"/>
      <c r="R48" s="3240" t="e">
        <f>ROUND(IF(D47="简单平均",AVERAGE(R47:W47),R47*F47+T47*H47+V47*J47),0)</f>
        <v>#DIV/0!</v>
      </c>
      <c r="S48" s="3240"/>
      <c r="T48" s="3240"/>
      <c r="U48" s="3240"/>
      <c r="V48" s="3240"/>
      <c r="W48" s="324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4.4"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4" t="s">
        <v>2123</v>
      </c>
      <c r="H55" s="326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23"/>
      <c r="H56" s="324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69"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69"/>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69"/>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9"/>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4.4"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2.2"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4.4">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4.4">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4.4"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ht="14.4">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4.4"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9.4"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4.4"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4.4"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4.4"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4.4"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4.4"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4.4"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4.4"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4.4"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ht="14.4">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4.4"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4.4"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4.4"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4.4"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29.4"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4.4"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9.4"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4.4"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4.4"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4.4"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4.4"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9.4"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4.4"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4.4"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4.4"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4.4"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4.4"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4.4"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4.4"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4.4"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ht="14.4">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4.4"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4.4"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4.4"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4.4"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4.4"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4.4"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4.4"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4.4"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4.4"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4.4"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4.4"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4.4">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11" t="s">
        <v>2006</v>
      </c>
      <c r="S4" s="3212"/>
      <c r="T4" s="3211" t="s">
        <v>2007</v>
      </c>
      <c r="U4" s="3212"/>
      <c r="V4" s="3236" t="s">
        <v>2008</v>
      </c>
      <c r="W4" s="3236"/>
      <c r="X4" s="1743"/>
      <c r="Y4" s="3211" t="s">
        <v>2010</v>
      </c>
      <c r="Z4" s="3212"/>
      <c r="AA4" s="3206" t="s">
        <v>2006</v>
      </c>
      <c r="AB4" s="3207" t="s">
        <v>2007</v>
      </c>
      <c r="AC4" s="3206" t="s">
        <v>2008</v>
      </c>
    </row>
    <row r="5" spans="1:29">
      <c r="A5" s="1745"/>
      <c r="B5" s="1746"/>
      <c r="C5" s="3217" t="s">
        <v>1901</v>
      </c>
      <c r="D5" s="3218"/>
      <c r="E5" s="3215" t="s">
        <v>1902</v>
      </c>
      <c r="F5" s="3216"/>
      <c r="G5" s="3217" t="s">
        <v>1903</v>
      </c>
      <c r="H5" s="3218"/>
      <c r="I5" s="3217" t="s">
        <v>1904</v>
      </c>
      <c r="J5" s="3218"/>
      <c r="K5" s="2042"/>
      <c r="L5" s="1741"/>
      <c r="M5" s="1742"/>
      <c r="N5" s="1742"/>
      <c r="O5" s="1742"/>
      <c r="P5" s="3230"/>
      <c r="Q5" s="3231"/>
      <c r="R5" s="3213"/>
      <c r="S5" s="3214"/>
      <c r="T5" s="3213"/>
      <c r="U5" s="3214"/>
      <c r="V5" s="3236"/>
      <c r="W5" s="3236"/>
      <c r="X5" s="1743"/>
      <c r="Y5" s="3213"/>
      <c r="Z5" s="3214"/>
      <c r="AA5" s="3207"/>
      <c r="AB5" s="3207"/>
      <c r="AC5" s="3207"/>
    </row>
    <row r="6" spans="1:29" ht="15" thickBot="1">
      <c r="A6" s="1748"/>
      <c r="B6" s="1749"/>
      <c r="C6" s="3270" t="s">
        <v>2156</v>
      </c>
      <c r="D6" s="3271"/>
      <c r="E6" s="3272" t="s">
        <v>2156</v>
      </c>
      <c r="F6" s="3273"/>
      <c r="G6" s="3270" t="s">
        <v>2156</v>
      </c>
      <c r="H6" s="3271"/>
      <c r="I6" s="3270" t="s">
        <v>2156</v>
      </c>
      <c r="J6" s="3271"/>
      <c r="K6" s="2042" t="s">
        <v>1906</v>
      </c>
      <c r="L6" s="1741"/>
      <c r="M6" s="1742"/>
      <c r="N6" s="1742"/>
      <c r="O6" s="1742"/>
      <c r="P6" s="3232"/>
      <c r="Q6" s="3233"/>
      <c r="R6" s="3213"/>
      <c r="S6" s="3214"/>
      <c r="T6" s="3234"/>
      <c r="U6" s="3235"/>
      <c r="V6" s="3236"/>
      <c r="W6" s="3236"/>
      <c r="X6" s="1743"/>
      <c r="Y6" s="3234"/>
      <c r="Z6" s="3235"/>
      <c r="AA6" s="3208"/>
      <c r="AB6" s="3208"/>
      <c r="AC6" s="3208"/>
    </row>
    <row r="7" spans="1:29" s="1760" customFormat="1" ht="15" thickBot="1">
      <c r="A7" s="1750" t="s">
        <v>1907</v>
      </c>
      <c r="B7" s="1751"/>
      <c r="C7" s="1752">
        <f>'数据-取费表'!B2</f>
        <v>44889</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09" t="s">
        <v>1908</v>
      </c>
      <c r="Q7" s="3237"/>
      <c r="R7" s="463" t="s">
        <v>14</v>
      </c>
      <c r="S7" s="1758">
        <f t="shared" ref="S7:S15" si="0">F7</f>
        <v>0</v>
      </c>
      <c r="T7" s="463" t="s">
        <v>14</v>
      </c>
      <c r="U7" s="1758">
        <f t="shared" ref="U7:U15" si="1">H7</f>
        <v>0</v>
      </c>
      <c r="V7" s="463" t="s">
        <v>14</v>
      </c>
      <c r="W7" s="1758">
        <f t="shared" ref="W7:W15" si="2">J7</f>
        <v>0</v>
      </c>
      <c r="X7" s="1759"/>
      <c r="Y7" s="3209" t="s">
        <v>1908</v>
      </c>
      <c r="Z7" s="3210"/>
      <c r="AA7" s="469" t="e">
        <f>D7/F7</f>
        <v>#DIV/0!</v>
      </c>
      <c r="AB7" s="469" t="e">
        <f>D7/H7</f>
        <v>#DIV/0!</v>
      </c>
      <c r="AC7" s="469" t="e">
        <f>D7/J7</f>
        <v>#DIV/0!</v>
      </c>
    </row>
    <row r="8" spans="1:29" s="1760" customFormat="1" ht="1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09" t="s">
        <v>1911</v>
      </c>
      <c r="Q8" s="3210"/>
      <c r="R8" s="463" t="s">
        <v>14</v>
      </c>
      <c r="S8" s="1758">
        <f t="shared" si="0"/>
        <v>0</v>
      </c>
      <c r="T8" s="463" t="s">
        <v>14</v>
      </c>
      <c r="U8" s="1758">
        <f t="shared" si="1"/>
        <v>0</v>
      </c>
      <c r="V8" s="463" t="s">
        <v>14</v>
      </c>
      <c r="W8" s="1758">
        <f t="shared" si="2"/>
        <v>0</v>
      </c>
      <c r="X8" s="1759"/>
      <c r="Y8" s="3209" t="s">
        <v>1911</v>
      </c>
      <c r="Z8" s="3210"/>
      <c r="AA8" s="469" t="e">
        <f t="shared" ref="AA8:AA40" si="3">D8/F8</f>
        <v>#DIV/0!</v>
      </c>
      <c r="AB8" s="469" t="e">
        <f t="shared" ref="AB8:AB40" si="4">D8/H8</f>
        <v>#DIV/0!</v>
      </c>
      <c r="AC8" s="469" t="e">
        <f t="shared" ref="AC8:AC40" si="5">D8/J8</f>
        <v>#DIV/0!</v>
      </c>
    </row>
    <row r="9" spans="1:29" s="1760" customFormat="1" ht="14.4">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41" t="s">
        <v>1914</v>
      </c>
      <c r="Q9" s="1769" t="str">
        <f t="shared" ref="Q9:Q15" si="6">B9</f>
        <v>用途</v>
      </c>
      <c r="R9" s="463" t="s">
        <v>14</v>
      </c>
      <c r="S9" s="1758">
        <f t="shared" si="0"/>
        <v>100</v>
      </c>
      <c r="T9" s="463" t="s">
        <v>14</v>
      </c>
      <c r="U9" s="1758">
        <f t="shared" si="1"/>
        <v>100</v>
      </c>
      <c r="V9" s="463" t="s">
        <v>14</v>
      </c>
      <c r="W9" s="1758">
        <f t="shared" si="2"/>
        <v>100</v>
      </c>
      <c r="X9" s="1759"/>
      <c r="Y9" s="3153" t="s">
        <v>1915</v>
      </c>
      <c r="Z9" s="469" t="str">
        <f t="shared" ref="Z9:Z15" si="7">Q9</f>
        <v>用途</v>
      </c>
      <c r="AA9" s="469">
        <f t="shared" si="3"/>
        <v>1</v>
      </c>
      <c r="AB9" s="469">
        <f t="shared" si="4"/>
        <v>1</v>
      </c>
      <c r="AC9" s="469">
        <f t="shared" si="5"/>
        <v>1</v>
      </c>
    </row>
    <row r="10" spans="1:29" s="1778" customFormat="1" ht="28.8">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41"/>
      <c r="Q10" s="1769" t="str">
        <f t="shared" si="6"/>
        <v>土地使用年限（年）</v>
      </c>
      <c r="R10" s="463" t="s">
        <v>14</v>
      </c>
      <c r="S10" s="1758" t="e">
        <f t="shared" si="0"/>
        <v>#DIV/0!</v>
      </c>
      <c r="T10" s="463" t="s">
        <v>14</v>
      </c>
      <c r="U10" s="1758" t="e">
        <f t="shared" si="1"/>
        <v>#DIV/0!</v>
      </c>
      <c r="V10" s="463" t="s">
        <v>14</v>
      </c>
      <c r="W10" s="1758" t="e">
        <f t="shared" si="2"/>
        <v>#DIV/0!</v>
      </c>
      <c r="X10" s="1759"/>
      <c r="Y10" s="315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41"/>
      <c r="Q11" s="1769" t="str">
        <f t="shared" si="6"/>
        <v>容积率</v>
      </c>
      <c r="R11" s="463" t="s">
        <v>14</v>
      </c>
      <c r="S11" s="1758" t="e">
        <f t="shared" si="0"/>
        <v>#N/A</v>
      </c>
      <c r="T11" s="463" t="s">
        <v>14</v>
      </c>
      <c r="U11" s="1758" t="e">
        <f t="shared" si="1"/>
        <v>#N/A</v>
      </c>
      <c r="V11" s="463" t="s">
        <v>14</v>
      </c>
      <c r="W11" s="1758" t="e">
        <f t="shared" si="2"/>
        <v>#N/A</v>
      </c>
      <c r="X11" s="1759"/>
      <c r="Y11" s="315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41"/>
      <c r="Q12" s="1769">
        <f t="shared" si="6"/>
        <v>111</v>
      </c>
      <c r="R12" s="463" t="s">
        <v>14</v>
      </c>
      <c r="S12" s="1758">
        <f t="shared" si="0"/>
        <v>100</v>
      </c>
      <c r="T12" s="463" t="s">
        <v>14</v>
      </c>
      <c r="U12" s="1758">
        <f t="shared" si="1"/>
        <v>100</v>
      </c>
      <c r="V12" s="463" t="s">
        <v>14</v>
      </c>
      <c r="W12" s="1758">
        <f t="shared" si="2"/>
        <v>100</v>
      </c>
      <c r="X12" s="1759"/>
      <c r="Y12" s="315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41"/>
      <c r="Q13" s="1769">
        <f t="shared" si="6"/>
        <v>111</v>
      </c>
      <c r="R13" s="463" t="s">
        <v>14</v>
      </c>
      <c r="S13" s="1758">
        <f t="shared" si="0"/>
        <v>100</v>
      </c>
      <c r="T13" s="463" t="s">
        <v>14</v>
      </c>
      <c r="U13" s="1758">
        <f t="shared" si="1"/>
        <v>100</v>
      </c>
      <c r="V13" s="463" t="s">
        <v>14</v>
      </c>
      <c r="W13" s="1758">
        <f t="shared" si="2"/>
        <v>100</v>
      </c>
      <c r="X13" s="1759"/>
      <c r="Y13" s="3153"/>
      <c r="Z13" s="469">
        <f t="shared" si="7"/>
        <v>111</v>
      </c>
      <c r="AA13" s="469">
        <f t="shared" si="3"/>
        <v>1</v>
      </c>
      <c r="AB13" s="469">
        <f t="shared" si="4"/>
        <v>1</v>
      </c>
      <c r="AC13" s="469">
        <f t="shared" si="5"/>
        <v>1</v>
      </c>
    </row>
    <row r="14" spans="1:29" ht="15.6"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41"/>
      <c r="Q14" s="1769">
        <f t="shared" si="6"/>
        <v>111</v>
      </c>
      <c r="R14" s="463" t="s">
        <v>14</v>
      </c>
      <c r="S14" s="1758">
        <f t="shared" si="0"/>
        <v>100</v>
      </c>
      <c r="T14" s="463" t="s">
        <v>14</v>
      </c>
      <c r="U14" s="1758">
        <f t="shared" si="1"/>
        <v>100</v>
      </c>
      <c r="V14" s="463" t="s">
        <v>14</v>
      </c>
      <c r="W14" s="1758">
        <f t="shared" si="2"/>
        <v>100</v>
      </c>
      <c r="X14" s="1759"/>
      <c r="Y14" s="3153"/>
      <c r="Z14" s="469">
        <f t="shared" si="7"/>
        <v>111</v>
      </c>
      <c r="AA14" s="469">
        <f t="shared" si="3"/>
        <v>1</v>
      </c>
      <c r="AB14" s="469">
        <f t="shared" si="4"/>
        <v>1</v>
      </c>
      <c r="AC14" s="469">
        <f t="shared" si="5"/>
        <v>1</v>
      </c>
    </row>
    <row r="15" spans="1:29" ht="69">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42" t="s">
        <v>1919</v>
      </c>
      <c r="Q15" s="1803" t="str">
        <f t="shared" si="6"/>
        <v>产业集聚程度</v>
      </c>
      <c r="R15" s="1804" t="s">
        <v>14</v>
      </c>
      <c r="S15" s="1805">
        <f t="shared" si="0"/>
        <v>100</v>
      </c>
      <c r="T15" s="1804" t="s">
        <v>14</v>
      </c>
      <c r="U15" s="1805">
        <f t="shared" si="1"/>
        <v>100</v>
      </c>
      <c r="V15" s="1804" t="s">
        <v>14</v>
      </c>
      <c r="W15" s="1805">
        <f t="shared" si="2"/>
        <v>100</v>
      </c>
      <c r="X15" s="1743"/>
      <c r="Y15" s="324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43"/>
      <c r="Q16" s="1803"/>
      <c r="R16" s="1804"/>
      <c r="S16" s="1805"/>
      <c r="T16" s="1804"/>
      <c r="U16" s="1805"/>
      <c r="V16" s="1804"/>
      <c r="W16" s="1805"/>
      <c r="X16" s="1743"/>
      <c r="Y16" s="3243"/>
      <c r="Z16" s="1806"/>
      <c r="AA16" s="1806">
        <v>1</v>
      </c>
      <c r="AB16" s="1806">
        <v>1</v>
      </c>
      <c r="AC16" s="1806">
        <v>1</v>
      </c>
    </row>
    <row r="17" spans="1:29" ht="96.6">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43"/>
      <c r="Q17" s="1803" t="str">
        <f>B17</f>
        <v>交通便捷度</v>
      </c>
      <c r="R17" s="1804" t="s">
        <v>14</v>
      </c>
      <c r="S17" s="1805">
        <f>F17</f>
        <v>100</v>
      </c>
      <c r="T17" s="1804" t="s">
        <v>14</v>
      </c>
      <c r="U17" s="1805">
        <f>H17</f>
        <v>100</v>
      </c>
      <c r="V17" s="1804" t="s">
        <v>14</v>
      </c>
      <c r="W17" s="1805">
        <f>J17</f>
        <v>100</v>
      </c>
      <c r="X17" s="1743"/>
      <c r="Y17" s="324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43"/>
      <c r="Q18" s="1803"/>
      <c r="R18" s="1804"/>
      <c r="S18" s="1805"/>
      <c r="T18" s="1804"/>
      <c r="U18" s="1805"/>
      <c r="V18" s="1804"/>
      <c r="W18" s="1805"/>
      <c r="X18" s="1743"/>
      <c r="Y18" s="3243"/>
      <c r="Z18" s="1806"/>
      <c r="AA18" s="1806">
        <v>1</v>
      </c>
      <c r="AB18" s="1806">
        <v>1</v>
      </c>
      <c r="AC18" s="1806">
        <v>1</v>
      </c>
    </row>
    <row r="19" spans="1:29" ht="28.8">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43"/>
      <c r="Q19" s="1803" t="str">
        <f t="shared" ref="Q19:Q33" si="8">B19</f>
        <v>区域土地利用方向</v>
      </c>
      <c r="R19" s="1804" t="s">
        <v>14</v>
      </c>
      <c r="S19" s="1805">
        <f>F19</f>
        <v>100</v>
      </c>
      <c r="T19" s="1804" t="s">
        <v>14</v>
      </c>
      <c r="U19" s="1805">
        <f>H19</f>
        <v>100</v>
      </c>
      <c r="V19" s="1804" t="s">
        <v>14</v>
      </c>
      <c r="W19" s="1805">
        <f>J19</f>
        <v>100</v>
      </c>
      <c r="X19" s="1743"/>
      <c r="Y19" s="324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43"/>
      <c r="Q20" s="1803"/>
      <c r="R20" s="1804"/>
      <c r="S20" s="1805"/>
      <c r="T20" s="1804"/>
      <c r="U20" s="1805"/>
      <c r="V20" s="1804"/>
      <c r="W20" s="1805"/>
      <c r="X20" s="1743"/>
      <c r="Y20" s="3243"/>
      <c r="Z20" s="1806"/>
      <c r="AA20" s="1806"/>
      <c r="AB20" s="1806"/>
      <c r="AC20" s="1806"/>
    </row>
    <row r="21" spans="1:29" ht="82.8">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43"/>
      <c r="Q21" s="1803" t="str">
        <f t="shared" si="8"/>
        <v>环境状况</v>
      </c>
      <c r="R21" s="1804" t="s">
        <v>14</v>
      </c>
      <c r="S21" s="1805">
        <f>F21</f>
        <v>100</v>
      </c>
      <c r="T21" s="1804" t="s">
        <v>14</v>
      </c>
      <c r="U21" s="1805">
        <f>H21</f>
        <v>100</v>
      </c>
      <c r="V21" s="1804" t="s">
        <v>14</v>
      </c>
      <c r="W21" s="1805">
        <f>J21</f>
        <v>100</v>
      </c>
      <c r="X21" s="1743"/>
      <c r="Y21" s="324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43"/>
      <c r="Q22" s="1803"/>
      <c r="R22" s="1804"/>
      <c r="S22" s="1805"/>
      <c r="T22" s="1804"/>
      <c r="U22" s="1805"/>
      <c r="V22" s="1804"/>
      <c r="W22" s="1805"/>
      <c r="X22" s="1743"/>
      <c r="Y22" s="3243"/>
      <c r="Z22" s="1806"/>
      <c r="AA22" s="1806">
        <v>1</v>
      </c>
      <c r="AB22" s="1806">
        <v>1</v>
      </c>
      <c r="AC22" s="1806">
        <v>1</v>
      </c>
    </row>
    <row r="23" spans="1:29" s="1760" customFormat="1" ht="41.4">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43"/>
      <c r="Q23" s="1769" t="str">
        <f t="shared" si="8"/>
        <v>公共配套设施</v>
      </c>
      <c r="R23" s="463" t="s">
        <v>14</v>
      </c>
      <c r="S23" s="1758">
        <f>F23</f>
        <v>100</v>
      </c>
      <c r="T23" s="463" t="s">
        <v>14</v>
      </c>
      <c r="U23" s="1758">
        <f>H23</f>
        <v>100</v>
      </c>
      <c r="V23" s="463" t="s">
        <v>14</v>
      </c>
      <c r="W23" s="1758">
        <f>J23</f>
        <v>100</v>
      </c>
      <c r="X23" s="1759"/>
      <c r="Y23" s="324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43"/>
      <c r="Q24" s="1769"/>
      <c r="R24" s="463"/>
      <c r="S24" s="1758"/>
      <c r="T24" s="463"/>
      <c r="U24" s="1758"/>
      <c r="V24" s="463"/>
      <c r="W24" s="1758"/>
      <c r="X24" s="1759"/>
      <c r="Y24" s="3243"/>
      <c r="Z24" s="469"/>
      <c r="AA24" s="469">
        <v>1</v>
      </c>
      <c r="AB24" s="469">
        <v>1</v>
      </c>
      <c r="AC24" s="469">
        <v>1</v>
      </c>
    </row>
    <row r="25" spans="1:29" s="1760" customFormat="1" ht="41.4">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43"/>
      <c r="Q25" s="1769" t="str">
        <f t="shared" ref="Q25" si="9">B25</f>
        <v>基础设施水平</v>
      </c>
      <c r="R25" s="463" t="s">
        <v>14</v>
      </c>
      <c r="S25" s="1758">
        <f>F25</f>
        <v>100</v>
      </c>
      <c r="T25" s="463" t="s">
        <v>14</v>
      </c>
      <c r="U25" s="1758">
        <f>H25</f>
        <v>100</v>
      </c>
      <c r="V25" s="463" t="s">
        <v>14</v>
      </c>
      <c r="W25" s="1758">
        <f>J25</f>
        <v>100</v>
      </c>
      <c r="X25" s="1759"/>
      <c r="Y25" s="324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43"/>
      <c r="Q26" s="1769"/>
      <c r="R26" s="463"/>
      <c r="S26" s="1758"/>
      <c r="T26" s="463"/>
      <c r="U26" s="1758"/>
      <c r="V26" s="463"/>
      <c r="W26" s="1758"/>
      <c r="X26" s="1759"/>
      <c r="Y26" s="324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4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43"/>
      <c r="Z27" s="1806" t="str">
        <f t="shared" ref="Z27:Z40" si="13">Q27</f>
        <v>临街状况</v>
      </c>
      <c r="AA27" s="1806">
        <f t="shared" si="3"/>
        <v>1</v>
      </c>
      <c r="AB27" s="1806">
        <f t="shared" si="4"/>
        <v>1</v>
      </c>
      <c r="AC27" s="1806">
        <f t="shared" si="5"/>
        <v>1</v>
      </c>
    </row>
    <row r="28" spans="1:29" ht="28.8">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43"/>
      <c r="Q28" s="1803" t="str">
        <f t="shared" si="8"/>
        <v>毗邻道路的类型与等级</v>
      </c>
      <c r="R28" s="1804" t="s">
        <v>14</v>
      </c>
      <c r="S28" s="1805">
        <f t="shared" si="10"/>
        <v>100</v>
      </c>
      <c r="T28" s="1804" t="s">
        <v>14</v>
      </c>
      <c r="U28" s="1805">
        <f t="shared" si="11"/>
        <v>100</v>
      </c>
      <c r="V28" s="1804" t="s">
        <v>14</v>
      </c>
      <c r="W28" s="1805">
        <f t="shared" si="12"/>
        <v>100</v>
      </c>
      <c r="X28" s="1743"/>
      <c r="Y28" s="324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43"/>
      <c r="Q29" s="1803"/>
      <c r="R29" s="1804"/>
      <c r="S29" s="1805"/>
      <c r="T29" s="1804"/>
      <c r="U29" s="1805"/>
      <c r="V29" s="1804"/>
      <c r="W29" s="1805"/>
      <c r="X29" s="1743"/>
      <c r="Y29" s="324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43"/>
      <c r="Q30" s="1803" t="str">
        <f t="shared" si="8"/>
        <v>土地级别</v>
      </c>
      <c r="R30" s="1804" t="s">
        <v>14</v>
      </c>
      <c r="S30" s="1805">
        <f t="shared" si="10"/>
        <v>100</v>
      </c>
      <c r="T30" s="1804" t="s">
        <v>14</v>
      </c>
      <c r="U30" s="1805">
        <f t="shared" si="11"/>
        <v>100</v>
      </c>
      <c r="V30" s="1804" t="s">
        <v>14</v>
      </c>
      <c r="W30" s="1805">
        <f t="shared" si="12"/>
        <v>100</v>
      </c>
      <c r="X30" s="1743"/>
      <c r="Y30" s="324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43"/>
      <c r="Q31" s="1803">
        <f t="shared" si="8"/>
        <v>111</v>
      </c>
      <c r="R31" s="1804" t="s">
        <v>14</v>
      </c>
      <c r="S31" s="1805">
        <f t="shared" si="10"/>
        <v>100</v>
      </c>
      <c r="T31" s="1804" t="s">
        <v>14</v>
      </c>
      <c r="U31" s="1805">
        <f t="shared" si="11"/>
        <v>100</v>
      </c>
      <c r="V31" s="1804" t="s">
        <v>14</v>
      </c>
      <c r="W31" s="1805">
        <f t="shared" si="12"/>
        <v>100</v>
      </c>
      <c r="X31" s="1743"/>
      <c r="Y31" s="324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6" t="s">
        <v>1924</v>
      </c>
      <c r="Q32" s="1803">
        <f t="shared" si="8"/>
        <v>111</v>
      </c>
      <c r="R32" s="1804" t="s">
        <v>14</v>
      </c>
      <c r="S32" s="1805">
        <f t="shared" si="10"/>
        <v>100</v>
      </c>
      <c r="T32" s="1804" t="s">
        <v>14</v>
      </c>
      <c r="U32" s="1805">
        <f t="shared" si="11"/>
        <v>100</v>
      </c>
      <c r="V32" s="1804" t="s">
        <v>14</v>
      </c>
      <c r="W32" s="1805">
        <f t="shared" si="12"/>
        <v>100</v>
      </c>
      <c r="X32" s="1743"/>
      <c r="Y32" s="3247" t="s">
        <v>1924</v>
      </c>
      <c r="Z32" s="1806">
        <f t="shared" si="13"/>
        <v>111</v>
      </c>
      <c r="AA32" s="1806">
        <f t="shared" si="3"/>
        <v>1</v>
      </c>
      <c r="AB32" s="1806">
        <f t="shared" si="4"/>
        <v>1</v>
      </c>
      <c r="AC32" s="1806">
        <f t="shared" si="5"/>
        <v>1</v>
      </c>
    </row>
    <row r="33" spans="1:31" s="1844" customFormat="1" ht="15.6"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47"/>
      <c r="Q33" s="1803">
        <f t="shared" si="8"/>
        <v>111</v>
      </c>
      <c r="R33" s="1840" t="s">
        <v>14</v>
      </c>
      <c r="S33" s="1841">
        <f t="shared" si="10"/>
        <v>100</v>
      </c>
      <c r="T33" s="1840" t="s">
        <v>14</v>
      </c>
      <c r="U33" s="1841">
        <f t="shared" si="11"/>
        <v>100</v>
      </c>
      <c r="V33" s="1840" t="s">
        <v>14</v>
      </c>
      <c r="W33" s="1841">
        <f t="shared" si="12"/>
        <v>100</v>
      </c>
      <c r="X33" s="1842"/>
      <c r="Y33" s="324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47"/>
      <c r="Q34" s="1803" t="str">
        <f>B34</f>
        <v>宗地面积</v>
      </c>
      <c r="R34" s="1804" t="s">
        <v>14</v>
      </c>
      <c r="S34" s="1805" t="e">
        <f t="shared" si="10"/>
        <v>#N/A</v>
      </c>
      <c r="T34" s="1804" t="s">
        <v>14</v>
      </c>
      <c r="U34" s="1805" t="e">
        <f t="shared" si="11"/>
        <v>#N/A</v>
      </c>
      <c r="V34" s="1804" t="s">
        <v>14</v>
      </c>
      <c r="W34" s="1805" t="e">
        <f t="shared" si="12"/>
        <v>#N/A</v>
      </c>
      <c r="X34" s="1743"/>
      <c r="Y34" s="324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47"/>
      <c r="Q35" s="1803" t="str">
        <f t="shared" ref="Q35:Q40" si="14">B35</f>
        <v>宗地形状</v>
      </c>
      <c r="R35" s="1804" t="s">
        <v>14</v>
      </c>
      <c r="S35" s="1805">
        <f t="shared" si="10"/>
        <v>100</v>
      </c>
      <c r="T35" s="1804" t="s">
        <v>14</v>
      </c>
      <c r="U35" s="1805">
        <f t="shared" si="11"/>
        <v>100</v>
      </c>
      <c r="V35" s="1804" t="s">
        <v>14</v>
      </c>
      <c r="W35" s="1805">
        <f t="shared" si="12"/>
        <v>100</v>
      </c>
      <c r="X35" s="1743"/>
      <c r="Y35" s="324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47"/>
      <c r="Q36" s="1803" t="str">
        <f t="shared" si="14"/>
        <v>宗地开发程度</v>
      </c>
      <c r="R36" s="463" t="s">
        <v>14</v>
      </c>
      <c r="S36" s="1758">
        <f t="shared" si="10"/>
        <v>100</v>
      </c>
      <c r="T36" s="463" t="s">
        <v>14</v>
      </c>
      <c r="U36" s="1758">
        <f t="shared" si="11"/>
        <v>100</v>
      </c>
      <c r="V36" s="463" t="s">
        <v>14</v>
      </c>
      <c r="W36" s="1758">
        <f t="shared" si="12"/>
        <v>100</v>
      </c>
      <c r="X36" s="1759"/>
      <c r="Y36" s="324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47" t="s">
        <v>1924</v>
      </c>
      <c r="Q37" s="1803" t="str">
        <f t="shared" si="14"/>
        <v>工程地质条件</v>
      </c>
      <c r="R37" s="1804" t="s">
        <v>14</v>
      </c>
      <c r="S37" s="1805">
        <f t="shared" si="10"/>
        <v>100</v>
      </c>
      <c r="T37" s="1804" t="s">
        <v>14</v>
      </c>
      <c r="U37" s="1805">
        <f t="shared" si="11"/>
        <v>100</v>
      </c>
      <c r="V37" s="1804" t="s">
        <v>14</v>
      </c>
      <c r="W37" s="1805">
        <f t="shared" si="12"/>
        <v>100</v>
      </c>
      <c r="X37" s="1743"/>
      <c r="Y37" s="324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47"/>
      <c r="Q38" s="1803">
        <f t="shared" si="14"/>
        <v>111</v>
      </c>
      <c r="R38" s="1804" t="s">
        <v>14</v>
      </c>
      <c r="S38" s="1805">
        <f t="shared" si="10"/>
        <v>100</v>
      </c>
      <c r="T38" s="1804" t="s">
        <v>14</v>
      </c>
      <c r="U38" s="1805">
        <f t="shared" si="11"/>
        <v>100</v>
      </c>
      <c r="V38" s="1804" t="s">
        <v>14</v>
      </c>
      <c r="W38" s="1805">
        <f t="shared" si="12"/>
        <v>100</v>
      </c>
      <c r="X38" s="1743"/>
      <c r="Y38" s="324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47"/>
      <c r="Q39" s="1803">
        <f t="shared" si="14"/>
        <v>111</v>
      </c>
      <c r="R39" s="1804" t="s">
        <v>14</v>
      </c>
      <c r="S39" s="1805">
        <f t="shared" si="10"/>
        <v>100</v>
      </c>
      <c r="T39" s="1804" t="s">
        <v>14</v>
      </c>
      <c r="U39" s="1805">
        <f t="shared" si="11"/>
        <v>100</v>
      </c>
      <c r="V39" s="1804" t="s">
        <v>14</v>
      </c>
      <c r="W39" s="1805">
        <f t="shared" si="12"/>
        <v>100</v>
      </c>
      <c r="X39" s="1743"/>
      <c r="Y39" s="3247"/>
      <c r="Z39" s="1806">
        <f t="shared" si="13"/>
        <v>111</v>
      </c>
      <c r="AA39" s="1806">
        <f t="shared" si="3"/>
        <v>1</v>
      </c>
      <c r="AB39" s="1806">
        <f t="shared" si="4"/>
        <v>1</v>
      </c>
      <c r="AC39" s="1806">
        <f t="shared" si="5"/>
        <v>1</v>
      </c>
    </row>
    <row r="40" spans="1:31" s="1844" customFormat="1" ht="15.6"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47"/>
      <c r="Q40" s="1803">
        <f t="shared" si="14"/>
        <v>111</v>
      </c>
      <c r="R40" s="1840" t="s">
        <v>14</v>
      </c>
      <c r="S40" s="1841">
        <f t="shared" si="10"/>
        <v>100</v>
      </c>
      <c r="T40" s="1840" t="s">
        <v>14</v>
      </c>
      <c r="U40" s="1841">
        <f t="shared" si="11"/>
        <v>100</v>
      </c>
      <c r="V40" s="1840" t="s">
        <v>14</v>
      </c>
      <c r="W40" s="1841">
        <f t="shared" si="12"/>
        <v>100</v>
      </c>
      <c r="X40" s="1842"/>
      <c r="Y40" s="3247"/>
      <c r="Z40" s="1843">
        <f t="shared" si="13"/>
        <v>111</v>
      </c>
      <c r="AA40" s="1806">
        <f t="shared" si="3"/>
        <v>1</v>
      </c>
      <c r="AB40" s="1806">
        <f t="shared" si="4"/>
        <v>1</v>
      </c>
      <c r="AC40" s="1806">
        <f t="shared" si="5"/>
        <v>1</v>
      </c>
    </row>
    <row r="41" spans="1:31" ht="14.4">
      <c r="A41" s="1849" t="s">
        <v>2079</v>
      </c>
      <c r="B41" s="2203" t="s">
        <v>2159</v>
      </c>
      <c r="C41" s="2204" t="s">
        <v>0</v>
      </c>
      <c r="D41" s="1852"/>
      <c r="E41" s="1853"/>
      <c r="F41" s="1854"/>
      <c r="G41" s="1855"/>
      <c r="H41" s="1856"/>
      <c r="I41" s="1853"/>
      <c r="J41" s="1856"/>
      <c r="K41" s="1805"/>
      <c r="L41" s="1858"/>
      <c r="M41" s="1742"/>
      <c r="N41" s="1742"/>
      <c r="O41" s="1859"/>
      <c r="P41" s="3241" t="str">
        <f>A41</f>
        <v>成交单价</v>
      </c>
      <c r="Q41" s="3241"/>
      <c r="R41" s="3236">
        <f>E41</f>
        <v>0</v>
      </c>
      <c r="S41" s="3236"/>
      <c r="T41" s="3236">
        <f>G41</f>
        <v>0</v>
      </c>
      <c r="U41" s="3236"/>
      <c r="V41" s="3236">
        <f>I41</f>
        <v>0</v>
      </c>
      <c r="W41" s="3236"/>
      <c r="X41" s="1860"/>
      <c r="Y41" s="1861"/>
      <c r="Z41" s="1860"/>
      <c r="AA41" s="1860"/>
      <c r="AB41" s="1860"/>
      <c r="AC41" s="1860"/>
    </row>
    <row r="42" spans="1:31" ht="1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41" t="str">
        <f>A42</f>
        <v>比较价值（元/平方米）</v>
      </c>
      <c r="Q42" s="3241"/>
      <c r="R42" s="3236" t="e">
        <f>ROUND(PRODUCT(R41,AA7:AA40),0)</f>
        <v>#DIV/0!</v>
      </c>
      <c r="S42" s="3236"/>
      <c r="T42" s="3236" t="e">
        <f>ROUND(PRODUCT(T41,AB7:AB40),0)</f>
        <v>#DIV/0!</v>
      </c>
      <c r="U42" s="3236"/>
      <c r="V42" s="3236" t="e">
        <f>ROUND(PRODUCT(V41,AC7:AC40),0)</f>
        <v>#DIV/0!</v>
      </c>
      <c r="W42" s="3236"/>
      <c r="X42" s="1860"/>
      <c r="Y42" s="1860"/>
      <c r="Z42" s="1860"/>
      <c r="AA42" s="1860"/>
      <c r="AB42" s="1860"/>
      <c r="AC42" s="1860"/>
    </row>
    <row r="43" spans="1:31" ht="15" thickBot="1">
      <c r="A43" s="1869" t="s">
        <v>2029</v>
      </c>
      <c r="B43" s="1870"/>
      <c r="C43" s="1749" t="e">
        <f>R43</f>
        <v>#DIV/0!</v>
      </c>
      <c r="D43" s="1749"/>
      <c r="E43" s="1749"/>
      <c r="F43" s="1749"/>
      <c r="G43" s="1749"/>
      <c r="H43" s="1749"/>
      <c r="I43" s="1749"/>
      <c r="J43" s="1749"/>
      <c r="K43" s="1803"/>
      <c r="L43" s="1858"/>
      <c r="M43" s="1742"/>
      <c r="N43" s="1742"/>
      <c r="O43" s="1859"/>
      <c r="P43" s="3238" t="str">
        <f>A43</f>
        <v>估价对象XX用房的比较价值（楼面单价，元/平方米）</v>
      </c>
      <c r="Q43" s="3239"/>
      <c r="R43" s="3240" t="e">
        <f>ROUND(IF(D42="简单平均",AVERAGE(R42:W42),R42*F42+T42*H42+V42*J42),0)</f>
        <v>#DIV/0!</v>
      </c>
      <c r="S43" s="3240"/>
      <c r="T43" s="3240"/>
      <c r="U43" s="3240"/>
      <c r="V43" s="3240"/>
      <c r="W43" s="324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4.4"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8.8">
      <c r="A50" s="2207" t="s">
        <v>2117</v>
      </c>
      <c r="B50" s="2208" t="s">
        <v>2118</v>
      </c>
      <c r="C50" s="2209" t="s">
        <v>2119</v>
      </c>
      <c r="D50" s="2210" t="s">
        <v>2120</v>
      </c>
      <c r="E50" s="2208" t="s">
        <v>2121</v>
      </c>
      <c r="F50" s="2248" t="s">
        <v>2122</v>
      </c>
      <c r="G50" s="3224" t="s">
        <v>2123</v>
      </c>
      <c r="H50" s="326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23"/>
      <c r="H51" s="324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69"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69"/>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69"/>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9"/>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4.4"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4.4"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2.2"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4.4">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4.4">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4.4"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ht="14.4">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4.4"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9.4"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4.4"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4.4"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4.4"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4.4"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4.4"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4.4"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4.4"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4.4"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ht="14.4">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4.4"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4.4"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29.4"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4.4"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9.4"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4.4"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4.4"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4.4"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4.4"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9.4"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4.4"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4.4"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4.4"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4.4"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4.4"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4.4"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4.4"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4.4"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ht="14.4">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4.4"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4.4"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4.4"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4.4"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4.4"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4.4"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4.4"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4.4"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4.4"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4.4"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C24" sqref="C24"/>
    </sheetView>
  </sheetViews>
  <sheetFormatPr defaultColWidth="12" defaultRowHeight="13.2"/>
  <cols>
    <col min="1" max="1" width="9.77734375" style="2261" customWidth="1"/>
    <col min="2" max="2" width="23.88671875" style="2261" customWidth="1"/>
    <col min="3" max="4" width="12" style="2261"/>
    <col min="5" max="5" width="14.6640625" style="2261" customWidth="1"/>
    <col min="6" max="6" width="12.77734375" style="2261" customWidth="1"/>
    <col min="7" max="8" width="12" style="2261"/>
    <col min="9" max="9" width="12.21875" style="2261" bestFit="1" customWidth="1"/>
    <col min="10" max="10" width="12" style="2261"/>
    <col min="11" max="11" width="8.109375" style="2259" customWidth="1"/>
    <col min="12" max="12" width="16.88671875" style="2261" customWidth="1"/>
    <col min="13" max="13" width="8.44140625" style="2261" customWidth="1"/>
    <col min="14" max="14" width="9.77734375" style="2261" customWidth="1"/>
    <col min="15" max="25" width="12" style="2261"/>
    <col min="26" max="26" width="9.33203125" style="2261" customWidth="1"/>
    <col min="27" max="32" width="9.33203125" style="2259" customWidth="1"/>
    <col min="33" max="38" width="9.33203125" style="2261" customWidth="1"/>
    <col min="39" max="16384" width="12" style="2261"/>
  </cols>
  <sheetData>
    <row r="1" spans="1:36" ht="31.2">
      <c r="A1" s="2255" t="s">
        <v>2163</v>
      </c>
      <c r="B1" s="2256"/>
      <c r="C1" s="2257" t="s">
        <v>2164</v>
      </c>
      <c r="D1" s="473">
        <f>SUM(D33:D34,D37:D42)</f>
        <v>41059.64</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6">
      <c r="A2" s="2257" t="s">
        <v>2171</v>
      </c>
      <c r="B2" s="2265">
        <f>C30</f>
        <v>2850</v>
      </c>
      <c r="C2" s="2266" t="s">
        <v>2172</v>
      </c>
      <c r="D2" s="473" t="s">
        <v>2173</v>
      </c>
      <c r="E2" s="2267" t="s">
        <v>3</v>
      </c>
      <c r="F2" s="473" t="s">
        <v>2174</v>
      </c>
      <c r="G2" s="473" t="str">
        <f>IF(E2="商业",项目基本情况!B37,IF(E2="办公",项目基本情况!C37,IF(E2="住宅",项目基本情况!D37,IF(E2="工业",项目基本情况!E37,项目基本情况!F37))))</f>
        <v>九级</v>
      </c>
      <c r="H2" s="473" t="s">
        <v>2175</v>
      </c>
      <c r="I2" s="473" t="str">
        <f>IF(E2="商业",项目基本情况!B38,IF(E2="办公",项目基本情况!C38,IF(E2="住宅",项目基本情况!D38,IF(E2="工业",项目基本情况!E38,项目基本情况!F38))))</f>
        <v>Ⅸ-延庆开发区</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1070</v>
      </c>
      <c r="U2" s="2269">
        <f>'[2]数据-汇总表'!$F$19</f>
        <v>82.3</v>
      </c>
      <c r="V2" s="477">
        <f>ROUND(T2*U2/10000,0)</f>
        <v>9</v>
      </c>
      <c r="W2" s="2262"/>
      <c r="X2" s="2262"/>
      <c r="Y2" s="2262"/>
      <c r="Z2" s="2262"/>
      <c r="AA2" s="2262"/>
      <c r="AB2" s="2262"/>
      <c r="AC2" s="2262"/>
      <c r="AD2" s="2263"/>
      <c r="AE2" s="2263"/>
      <c r="AF2" s="2263"/>
      <c r="AG2" s="2263"/>
      <c r="AH2" s="2263"/>
      <c r="AI2" s="2263"/>
      <c r="AJ2" s="2264"/>
    </row>
    <row r="3" spans="1:36" ht="15.6">
      <c r="A3" s="2265" t="s">
        <v>2177</v>
      </c>
      <c r="B3" s="2265">
        <f>ROUND(B2*10000/D1,0)</f>
        <v>694</v>
      </c>
      <c r="C3" s="2266" t="s">
        <v>2178</v>
      </c>
      <c r="D3" s="473" t="s">
        <v>2179</v>
      </c>
      <c r="E3" s="2267" t="s">
        <v>2866</v>
      </c>
      <c r="F3" s="2270" t="s">
        <v>3094</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825</v>
      </c>
      <c r="U3" s="2269"/>
      <c r="V3" s="477">
        <f t="shared" ref="V3:V16" si="1">ROUND(T3*U3/10000,0)</f>
        <v>0</v>
      </c>
      <c r="W3" s="2262"/>
      <c r="X3" s="2262"/>
      <c r="Y3" s="2262"/>
      <c r="Z3" s="2262"/>
      <c r="AA3" s="2262"/>
      <c r="AB3" s="2262"/>
      <c r="AC3" s="2262"/>
      <c r="AD3" s="2263"/>
      <c r="AE3" s="2263"/>
      <c r="AF3" s="2263"/>
      <c r="AG3" s="2263"/>
      <c r="AH3" s="2263"/>
      <c r="AI3" s="2263"/>
      <c r="AJ3" s="2264"/>
    </row>
    <row r="4" spans="1:36" ht="15.6">
      <c r="A4" s="3285"/>
      <c r="B4" s="3286"/>
      <c r="C4" s="3286"/>
      <c r="D4" s="3287"/>
      <c r="E4" s="3287"/>
      <c r="F4" s="3287"/>
      <c r="G4" s="3287"/>
      <c r="H4" s="3287"/>
      <c r="I4" s="3287"/>
      <c r="J4" s="328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673</v>
      </c>
      <c r="U4" s="2269"/>
      <c r="V4" s="477">
        <f t="shared" si="1"/>
        <v>0</v>
      </c>
      <c r="W4" s="2262"/>
      <c r="X4" s="2262"/>
      <c r="Y4" s="2262"/>
      <c r="Z4" s="2262"/>
      <c r="AA4" s="2262"/>
      <c r="AB4" s="2262"/>
      <c r="AC4" s="2262"/>
      <c r="AD4" s="2263"/>
      <c r="AE4" s="2263"/>
      <c r="AF4" s="2263"/>
      <c r="AG4" s="2263"/>
      <c r="AH4" s="2263"/>
      <c r="AI4" s="2263"/>
      <c r="AJ4" s="2264"/>
    </row>
    <row r="5" spans="1:36" s="2282" customFormat="1" ht="15.6" thickBot="1">
      <c r="A5" s="2272" t="s">
        <v>570</v>
      </c>
      <c r="B5" s="2272" t="s">
        <v>2184</v>
      </c>
      <c r="C5" s="2273">
        <f>ROUND(IF(E2="商业",C6*C7*C17+C20,(IF(E2="住宅",C6*C13*C17+C20,IF(E2="办公",C6*C12*C17+C20,C6+C20)))),0)</f>
        <v>900</v>
      </c>
      <c r="D5" s="2274">
        <f>ROUND(C6*C17+C20,0)</f>
        <v>900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571</v>
      </c>
      <c r="U5" s="2269"/>
      <c r="V5" s="477">
        <f t="shared" si="1"/>
        <v>0</v>
      </c>
      <c r="W5" s="2262"/>
      <c r="X5" s="2262"/>
      <c r="Y5" s="2262"/>
      <c r="Z5" s="2262"/>
      <c r="AA5" s="2262"/>
      <c r="AB5" s="2262"/>
      <c r="AC5" s="2279"/>
      <c r="AD5" s="2280"/>
      <c r="AE5" s="2280"/>
      <c r="AF5" s="2280"/>
      <c r="AG5" s="2280"/>
      <c r="AH5" s="2280"/>
      <c r="AI5" s="2280"/>
      <c r="AJ5" s="2281"/>
    </row>
    <row r="6" spans="1:36" ht="15.6" thickBot="1">
      <c r="A6" s="2283" t="s">
        <v>2186</v>
      </c>
      <c r="B6" s="2284" t="s">
        <v>2187</v>
      </c>
      <c r="C6" s="478">
        <f>SUMIF(L1:L12,G2,M1:M12)</f>
        <v>900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520</v>
      </c>
      <c r="U6" s="2269"/>
      <c r="V6" s="477">
        <f t="shared" si="1"/>
        <v>0</v>
      </c>
      <c r="W6" s="2262"/>
      <c r="X6" s="2262"/>
      <c r="Y6" s="2262"/>
      <c r="Z6" s="2262"/>
      <c r="AA6" s="2262"/>
      <c r="AB6" s="2262"/>
      <c r="AC6" s="2279"/>
      <c r="AD6" s="2280"/>
      <c r="AE6" s="2280"/>
      <c r="AF6" s="2280"/>
      <c r="AG6" s="2280"/>
      <c r="AH6" s="2280"/>
      <c r="AI6" s="2280"/>
      <c r="AJ6" s="2281"/>
    </row>
    <row r="7" spans="1:36" ht="24.6"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九级</v>
      </c>
      <c r="Y7" s="498" t="s">
        <v>2194</v>
      </c>
      <c r="Z7" s="498">
        <f>G3</f>
        <v>1</v>
      </c>
      <c r="AA7" s="2262"/>
      <c r="AB7" s="2262"/>
      <c r="AC7" s="2262"/>
      <c r="AD7" s="2263"/>
      <c r="AE7" s="2263"/>
      <c r="AF7" s="2263"/>
      <c r="AG7" s="2263"/>
      <c r="AH7" s="2263"/>
      <c r="AI7" s="2263"/>
      <c r="AJ7" s="2264"/>
    </row>
    <row r="8" spans="1:36" ht="26.4">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83" t="s">
        <v>2198</v>
      </c>
      <c r="X8" s="328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900</v>
      </c>
      <c r="N9" s="473">
        <f>SUMPRODUCT((因素修正幅度!B277:B326=I2)*(因素修正幅度!C3:G3=E2)*(因素修正幅度!C277:G326))</f>
        <v>0.05</v>
      </c>
      <c r="O9" s="2259"/>
      <c r="P9" s="2259"/>
      <c r="Q9" s="2259"/>
      <c r="R9" s="477">
        <v>8</v>
      </c>
      <c r="S9" s="2269"/>
      <c r="T9" s="477">
        <f t="shared" si="0"/>
        <v>0</v>
      </c>
      <c r="U9" s="2269"/>
      <c r="V9" s="477">
        <f t="shared" si="1"/>
        <v>0</v>
      </c>
      <c r="W9" s="328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8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6"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8"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24">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24">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6"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3.8">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4.4"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3.8">
      <c r="A20" s="2315" t="s">
        <v>3073</v>
      </c>
      <c r="B20" s="2980" t="s">
        <v>2233</v>
      </c>
      <c r="C20" s="2980">
        <f>ROUND(IF(F21="与级别开发程度一致",0,(G21-E21)/C21),0)</f>
        <v>0</v>
      </c>
      <c r="D20" s="3289" t="s">
        <v>2237</v>
      </c>
      <c r="E20" s="3290"/>
      <c r="F20" s="3289" t="s">
        <v>2234</v>
      </c>
      <c r="G20" s="3290"/>
      <c r="H20" s="2347" t="s">
        <v>3096</v>
      </c>
      <c r="I20" s="2347" t="s">
        <v>3097</v>
      </c>
      <c r="J20" s="2989" t="s">
        <v>3098</v>
      </c>
      <c r="K20" s="2347" t="s">
        <v>3108</v>
      </c>
      <c r="L20" s="2347" t="s">
        <v>3099</v>
      </c>
      <c r="M20" s="2347"/>
      <c r="N20" s="2347"/>
      <c r="O20" s="2348" t="s">
        <v>3100</v>
      </c>
      <c r="P20" s="2261"/>
      <c r="Q20" s="2259"/>
      <c r="R20" s="2259"/>
      <c r="S20" s="2259"/>
      <c r="T20" s="2259"/>
      <c r="U20" s="2259"/>
      <c r="V20" s="2259"/>
      <c r="W20" s="2259"/>
      <c r="X20" s="2259"/>
      <c r="Y20" s="2259"/>
      <c r="Z20" s="2346"/>
      <c r="AA20" s="2346"/>
      <c r="AB20" s="2346"/>
      <c r="AC20" s="2346"/>
      <c r="AD20" s="2346"/>
      <c r="AE20" s="2346"/>
      <c r="AF20" s="2346"/>
    </row>
    <row r="21" spans="1:35" s="2282" customFormat="1" ht="27" thickBot="1">
      <c r="A21" s="2349"/>
      <c r="B21" s="2350" t="s">
        <v>2236</v>
      </c>
      <c r="C21" s="482">
        <f>IF(E3="M4科研用地",SUMPRODUCT((修正!A2:A7=E3)*(修正!B1:M1=G2)*(修正!B2:M7)),SUMPRODUCT((修正!A2:A7=E2)*(修正!B1:M1=G2)*(修正!B2:M7)))</f>
        <v>1</v>
      </c>
      <c r="D21" s="497" t="str">
        <f>IF(OR(G2="八级",G2="九级",G2="十级",G2="十一级",G2="十二级"),"五通一平","七通一平")</f>
        <v>五通一平</v>
      </c>
      <c r="E21" s="484">
        <f>SUMPRODUCT((修正!B1:M1=G2)*(修正!B17:M17))</f>
        <v>185</v>
      </c>
      <c r="F21" s="2351" t="s">
        <v>3101</v>
      </c>
      <c r="G21" s="485">
        <f>SUM(H21:O21)</f>
        <v>185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0</v>
      </c>
      <c r="N21" s="482">
        <f>SUMPRODUCT((七通一平=N20)*(修正!B1:M1=G2)*(修正!B8:M16))</f>
        <v>0</v>
      </c>
      <c r="O21" s="487">
        <f>SUMPRODUCT((七通一平=O20)*(修正!B1:M1=G2)*(修正!B8:M16))</f>
        <v>10</v>
      </c>
      <c r="P21" s="2261"/>
      <c r="Q21" s="2259"/>
      <c r="R21" s="2259"/>
      <c r="S21" s="2259"/>
      <c r="T21" s="2259"/>
      <c r="U21" s="2259"/>
      <c r="V21" s="2259"/>
      <c r="W21" s="2259"/>
      <c r="X21" s="2259"/>
      <c r="Y21" s="2259"/>
      <c r="Z21" s="2346"/>
      <c r="AA21" s="2346"/>
      <c r="AB21" s="2346"/>
      <c r="AC21" s="2346"/>
      <c r="AD21" s="2346"/>
      <c r="AE21" s="2346"/>
      <c r="AF21" s="2346"/>
    </row>
    <row r="22" spans="1:35" s="2282" customFormat="1" ht="1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8.2"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44889</v>
      </c>
      <c r="H23" s="2361" t="s">
        <v>3102</v>
      </c>
      <c r="I23" s="2360" t="str">
        <f>IF(H23="季度增幅（自定义）",SUMIF(N25:N28,E2,O25:O28),"")</f>
        <v/>
      </c>
      <c r="J23" s="2982" t="s">
        <v>3110</v>
      </c>
      <c r="K23" s="2346"/>
      <c r="L23" s="2362" t="s">
        <v>2243</v>
      </c>
      <c r="M23" s="488">
        <f>ROUND(SUMIF(地价!B2:G2,E2,地价!B13:G13),0)</f>
        <v>329</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6" thickBot="1">
      <c r="A24" s="2363" t="s">
        <v>573</v>
      </c>
      <c r="B24" s="2364" t="s">
        <v>2245</v>
      </c>
      <c r="C24" s="2364">
        <f>ROUND(POWER(1+G24,J24-I24)*(POWER(1+G24,I24)-1)/(POWER(1+G24,J24)-1),4)</f>
        <v>0.74919999999999998</v>
      </c>
      <c r="D24" s="2365" t="s">
        <v>2246</v>
      </c>
      <c r="E24" s="2365">
        <f>存贷款利率!E20/100</f>
        <v>4.3499999999999997E-2</v>
      </c>
      <c r="F24" s="2365" t="s">
        <v>2238</v>
      </c>
      <c r="G24" s="2366">
        <f>SUMIF(M30:Q30,E2,M33:Q33)</f>
        <v>0.05</v>
      </c>
      <c r="H24" s="2365" t="s">
        <v>2247</v>
      </c>
      <c r="I24" s="2367">
        <f>项目基本情况!I15</f>
        <v>23.6</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4.4">
      <c r="A25" s="2372" t="s">
        <v>574</v>
      </c>
      <c r="B25" s="2373" t="s">
        <v>3111</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4">
      <c r="A26" s="2379" t="s">
        <v>2253</v>
      </c>
      <c r="B26" s="493" t="s">
        <v>2254</v>
      </c>
      <c r="C26" s="493" t="s">
        <v>2899</v>
      </c>
      <c r="D26" s="493">
        <f>IF(E26=G26,F26,IF(G3&lt;10,ROUND(F26+(H26-F26)*(G3-E26)/(G26-E26),4),"——"))</f>
        <v>1</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 thickBot="1">
      <c r="A28" s="2363" t="s">
        <v>575</v>
      </c>
      <c r="B28" s="2358" t="s">
        <v>2259</v>
      </c>
      <c r="C28" s="2358">
        <f>SUMIF(A48:A102,E2,B48:B102)</f>
        <v>0.99129999999999996</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4.4">
      <c r="A30" s="2399"/>
      <c r="B30" s="493" t="s">
        <v>2262</v>
      </c>
      <c r="C30" s="2400">
        <f>IF(B25="容积率修正",E33+SUM(E37:E42),SUM(V2:V16)+SUM(E37:E42))</f>
        <v>2850</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3.8">
      <c r="A33" s="2294"/>
      <c r="B33" s="2419" t="s">
        <v>2268</v>
      </c>
      <c r="C33" s="495">
        <f>ROUND(C5*C22*C23*C24*C25*C28,0)</f>
        <v>694</v>
      </c>
      <c r="D33" s="2420">
        <f>'[4]数据-汇总表'!$D$3</f>
        <v>41059.64</v>
      </c>
      <c r="E33" s="2421">
        <f>ROUND(C33*D33/10000,0)</f>
        <v>2850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8" thickBot="1">
      <c r="A34" s="2349"/>
      <c r="B34" s="485" t="s">
        <v>2270</v>
      </c>
      <c r="C34" s="497">
        <f>ROUND(IF(E2="工业",C33*M42,IF(B25="楼层修正",SUM(V2:V16)*M41*10000/D34,C33*M41)),0)</f>
        <v>104</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6"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6" thickBot="1">
      <c r="A37" s="3277"/>
      <c r="B37" s="2439" t="s">
        <v>2275</v>
      </c>
      <c r="C37" s="495">
        <f>ROUND(D5*C22*C23*C24*C28*F37,0)</f>
        <v>347</v>
      </c>
      <c r="D37" s="2420"/>
      <c r="E37" s="473">
        <f>ROUND(C37*D37/10000,0)</f>
        <v>0</v>
      </c>
      <c r="F37" s="473">
        <f>SUMIF(修正!A57:A68,G2,修正!B57:B68)</f>
        <v>0.5</v>
      </c>
      <c r="G37" s="473">
        <f>ROUND(IF(E2="工业",C37*$M$42,C37*$M$41),0)</f>
        <v>52</v>
      </c>
      <c r="H37" s="473">
        <f>D37</f>
        <v>0</v>
      </c>
      <c r="I37" s="473">
        <f>ROUND(G37*H37/10000,0)</f>
        <v>0</v>
      </c>
      <c r="J37" s="327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8"/>
      <c r="B38" s="2321" t="s">
        <v>2276</v>
      </c>
      <c r="C38" s="495">
        <f>ROUND(D5*C22*C23*C24*C28*F38,0)</f>
        <v>139</v>
      </c>
      <c r="D38" s="2420"/>
      <c r="E38" s="473">
        <f t="shared" ref="E38:E42" si="4">ROUND(C38*D38/10000,0)</f>
        <v>0</v>
      </c>
      <c r="F38" s="473">
        <f>SUMIF(修正!A57:A68,G2,修正!C57:C68)</f>
        <v>0.2</v>
      </c>
      <c r="G38" s="473">
        <f>ROUND(IF(E2="工业",C38*$M$42,C38*$M$41),0)</f>
        <v>21</v>
      </c>
      <c r="H38" s="473">
        <f t="shared" ref="H38:H42" si="5">D38</f>
        <v>0</v>
      </c>
      <c r="I38" s="473">
        <f t="shared" ref="I38:I42" si="6">ROUND(G38*H38/10000,0)</f>
        <v>0</v>
      </c>
      <c r="J38" s="3278"/>
      <c r="K38" s="2259">
        <v>5.0000000000000001E-3</v>
      </c>
      <c r="L38" s="2259"/>
      <c r="M38" s="2259"/>
      <c r="N38" s="2259"/>
      <c r="O38" s="2259"/>
      <c r="P38" s="2259"/>
      <c r="Q38" s="2259"/>
      <c r="R38" s="2259"/>
      <c r="S38" s="2259"/>
      <c r="T38" s="2259"/>
      <c r="U38" s="2259"/>
      <c r="V38" s="2259"/>
      <c r="W38" s="2259"/>
      <c r="X38" s="2259"/>
      <c r="Y38" s="2259"/>
      <c r="Z38" s="2259"/>
    </row>
    <row r="39" spans="1:30" ht="13.8" thickBot="1">
      <c r="A39" s="3278"/>
      <c r="B39" s="2321" t="s">
        <v>2940</v>
      </c>
      <c r="C39" s="495">
        <f>ROUND(D5*C22*C23*C24*C28*F39,0)</f>
        <v>139</v>
      </c>
      <c r="D39" s="2420"/>
      <c r="E39" s="473">
        <f t="shared" si="4"/>
        <v>0</v>
      </c>
      <c r="F39" s="473">
        <f>SUMIF(修正!A57:A68,G2,修正!D57:D68)</f>
        <v>0.2</v>
      </c>
      <c r="G39" s="473">
        <f>ROUND(IF(E2="工业",C39*$M$42,C39*$M$41),0)</f>
        <v>21</v>
      </c>
      <c r="H39" s="473">
        <f t="shared" si="5"/>
        <v>0</v>
      </c>
      <c r="I39" s="473">
        <f t="shared" si="6"/>
        <v>0</v>
      </c>
      <c r="J39" s="327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139</v>
      </c>
      <c r="D40" s="2420"/>
      <c r="E40" s="473">
        <f t="shared" si="4"/>
        <v>0</v>
      </c>
      <c r="F40" s="495">
        <f>SUMIF(修正!A57:A68,G2,修正!E57:E68)</f>
        <v>0.2</v>
      </c>
      <c r="G40" s="473">
        <f>ROUND(IF(E2="工业",C40*$M$42,C40*$M$41),0)</f>
        <v>21</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8"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 thickBot="1">
      <c r="A48" s="2446" t="s">
        <v>2281</v>
      </c>
      <c r="B48" s="2447"/>
      <c r="C48" s="1074"/>
      <c r="D48" s="1074"/>
      <c r="E48" s="1074"/>
      <c r="F48" s="2448"/>
      <c r="G48" s="2448"/>
      <c r="H48" s="2448"/>
      <c r="I48" s="2448"/>
      <c r="J48" s="2448"/>
      <c r="K48" s="2448"/>
      <c r="L48" s="2448"/>
      <c r="M48" s="2448"/>
    </row>
    <row r="49" spans="1:14" s="2259" customFormat="1" ht="14.4">
      <c r="A49" s="2449" t="s">
        <v>2282</v>
      </c>
      <c r="B49" s="2450">
        <f>1+E51</f>
        <v>1</v>
      </c>
      <c r="C49" s="2451"/>
      <c r="D49" s="2452"/>
      <c r="E49" s="2453"/>
      <c r="F49" s="2454"/>
      <c r="G49" s="2448"/>
      <c r="H49" s="2448"/>
      <c r="I49" s="2448"/>
      <c r="J49" s="2448"/>
      <c r="K49" s="2448"/>
      <c r="L49" s="2448"/>
      <c r="M49" s="2448"/>
    </row>
    <row r="50" spans="1:14" s="2259" customFormat="1" ht="25.2">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9.6">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t="str">
        <f>H51</f>
        <v>——</v>
      </c>
      <c r="H51" s="2460" t="str">
        <f t="shared" ref="H51:H59" si="8">IFERROR(ROUNDDOWN($F$51*I51/2,4),"——")</f>
        <v>——</v>
      </c>
      <c r="I51" s="499">
        <v>0.3</v>
      </c>
      <c r="J51" s="493" t="e">
        <f t="shared" ref="J51:J59" si="9">K51+$G51</f>
        <v>#VALUE!</v>
      </c>
      <c r="K51" s="493" t="e">
        <f t="shared" ref="K51:K59" si="10">$L51+$G51</f>
        <v>#VALUE!</v>
      </c>
      <c r="L51" s="493">
        <v>0</v>
      </c>
      <c r="M51" s="493" t="e">
        <f t="shared" ref="M51:N59" si="11">L51-$G51</f>
        <v>#VALUE!</v>
      </c>
      <c r="N51" s="493" t="e">
        <f t="shared" si="11"/>
        <v>#VALUE!</v>
      </c>
    </row>
    <row r="52" spans="1:14" s="2259" customFormat="1" ht="52.8">
      <c r="A52" s="2455" t="s">
        <v>2292</v>
      </c>
      <c r="B52" s="499" t="str">
        <f>估价对象房地状况!C18</f>
        <v>估价对象周边道路状况、公共交通通达情况、停车便捷程度，综合评价交通便捷度较好</v>
      </c>
      <c r="C52" s="2325"/>
      <c r="D52" s="499">
        <f t="shared" si="7"/>
        <v>0</v>
      </c>
      <c r="E52" s="2461"/>
      <c r="F52" s="2402"/>
      <c r="G52" s="2459" t="str">
        <f t="shared" ref="G52:G59" si="12">H52</f>
        <v>——</v>
      </c>
      <c r="H52" s="2460" t="str">
        <f t="shared" si="8"/>
        <v>——</v>
      </c>
      <c r="I52" s="499">
        <v>0.22</v>
      </c>
      <c r="J52" s="493" t="e">
        <f t="shared" si="9"/>
        <v>#VALUE!</v>
      </c>
      <c r="K52" s="493" t="e">
        <f t="shared" si="10"/>
        <v>#VALUE!</v>
      </c>
      <c r="L52" s="493">
        <v>0</v>
      </c>
      <c r="M52" s="493" t="e">
        <f t="shared" si="11"/>
        <v>#VALUE!</v>
      </c>
      <c r="N52" s="493" t="e">
        <f t="shared" si="11"/>
        <v>#VALUE!</v>
      </c>
    </row>
    <row r="53" spans="1:14" s="2259" customFormat="1" ht="48">
      <c r="A53" s="2462" t="s">
        <v>2814</v>
      </c>
      <c r="B53" s="499">
        <f>估价对象房地状况!C19</f>
        <v>0</v>
      </c>
      <c r="C53" s="2325"/>
      <c r="D53" s="499">
        <f t="shared" si="7"/>
        <v>0</v>
      </c>
      <c r="E53" s="2461"/>
      <c r="F53" s="2402"/>
      <c r="G53" s="2459" t="str">
        <f t="shared" si="12"/>
        <v>——</v>
      </c>
      <c r="H53" s="2460" t="str">
        <f t="shared" si="8"/>
        <v>——</v>
      </c>
      <c r="I53" s="499">
        <v>0.12</v>
      </c>
      <c r="J53" s="493" t="e">
        <f t="shared" si="9"/>
        <v>#VALUE!</v>
      </c>
      <c r="K53" s="493" t="e">
        <f t="shared" si="10"/>
        <v>#VALUE!</v>
      </c>
      <c r="L53" s="493">
        <v>0</v>
      </c>
      <c r="M53" s="493" t="e">
        <f t="shared" si="11"/>
        <v>#VALUE!</v>
      </c>
      <c r="N53" s="493" t="e">
        <f t="shared" si="11"/>
        <v>#VALUE!</v>
      </c>
    </row>
    <row r="54" spans="1:14" s="2259" customFormat="1" ht="37.200000000000003">
      <c r="A54" s="2455" t="s">
        <v>2293</v>
      </c>
      <c r="B54" s="2463" t="s">
        <v>2294</v>
      </c>
      <c r="C54" s="2325"/>
      <c r="D54" s="499">
        <f t="shared" si="7"/>
        <v>0</v>
      </c>
      <c r="E54" s="2461"/>
      <c r="F54" s="2402"/>
      <c r="G54" s="2459" t="str">
        <f t="shared" si="12"/>
        <v>——</v>
      </c>
      <c r="H54" s="2460" t="str">
        <f t="shared" si="8"/>
        <v>——</v>
      </c>
      <c r="I54" s="499">
        <v>0.05</v>
      </c>
      <c r="J54" s="493" t="e">
        <f t="shared" si="9"/>
        <v>#VALUE!</v>
      </c>
      <c r="K54" s="493" t="e">
        <f t="shared" si="10"/>
        <v>#VALUE!</v>
      </c>
      <c r="L54" s="493">
        <v>0</v>
      </c>
      <c r="M54" s="493" t="e">
        <f t="shared" si="11"/>
        <v>#VALUE!</v>
      </c>
      <c r="N54" s="493" t="e">
        <f t="shared" si="11"/>
        <v>#VALUE!</v>
      </c>
    </row>
    <row r="55" spans="1:14" s="2259" customFormat="1" ht="24">
      <c r="A55" s="2455" t="s">
        <v>2295</v>
      </c>
      <c r="B55" s="499">
        <f>估价对象房地状况!C24</f>
        <v>0</v>
      </c>
      <c r="C55" s="2325"/>
      <c r="D55" s="499">
        <f t="shared" si="7"/>
        <v>0</v>
      </c>
      <c r="E55" s="2461"/>
      <c r="F55" s="2402"/>
      <c r="G55" s="2459" t="str">
        <f t="shared" si="12"/>
        <v>——</v>
      </c>
      <c r="H55" s="2460" t="str">
        <f t="shared" si="8"/>
        <v>——</v>
      </c>
      <c r="I55" s="499">
        <v>0.08</v>
      </c>
      <c r="J55" s="493" t="e">
        <f t="shared" si="9"/>
        <v>#VALUE!</v>
      </c>
      <c r="K55" s="493" t="e">
        <f t="shared" si="10"/>
        <v>#VALUE!</v>
      </c>
      <c r="L55" s="493">
        <v>0</v>
      </c>
      <c r="M55" s="493" t="e">
        <f t="shared" si="11"/>
        <v>#VALUE!</v>
      </c>
      <c r="N55" s="493" t="e">
        <f t="shared" si="11"/>
        <v>#VALUE!</v>
      </c>
    </row>
    <row r="56" spans="1:14" s="2259" customFormat="1" ht="36">
      <c r="A56" s="2455" t="s">
        <v>2296</v>
      </c>
      <c r="B56" s="2464" t="s">
        <v>2297</v>
      </c>
      <c r="C56" s="2325"/>
      <c r="D56" s="499">
        <f t="shared" si="7"/>
        <v>0</v>
      </c>
      <c r="E56" s="2461"/>
      <c r="F56" s="2402"/>
      <c r="G56" s="2459" t="str">
        <f t="shared" si="12"/>
        <v>——</v>
      </c>
      <c r="H56" s="2460" t="str">
        <f t="shared" si="8"/>
        <v>——</v>
      </c>
      <c r="I56" s="499">
        <v>0.05</v>
      </c>
      <c r="J56" s="493" t="e">
        <f t="shared" si="9"/>
        <v>#VALUE!</v>
      </c>
      <c r="K56" s="493" t="e">
        <f t="shared" si="10"/>
        <v>#VALUE!</v>
      </c>
      <c r="L56" s="493">
        <v>0</v>
      </c>
      <c r="M56" s="493" t="e">
        <f t="shared" si="11"/>
        <v>#VALUE!</v>
      </c>
      <c r="N56" s="493" t="e">
        <f t="shared" si="11"/>
        <v>#VALUE!</v>
      </c>
    </row>
    <row r="57" spans="1:14" s="2259" customFormat="1" ht="26.4">
      <c r="A57" s="2465" t="s">
        <v>2298</v>
      </c>
      <c r="B57" s="999" t="str">
        <f>估价对象房地状况!C21</f>
        <v>估价对象所在区域公共配套设施齐备情况</v>
      </c>
      <c r="C57" s="2325"/>
      <c r="D57" s="499">
        <f t="shared" si="7"/>
        <v>0</v>
      </c>
      <c r="E57" s="2461"/>
      <c r="F57" s="2402"/>
      <c r="G57" s="2459" t="str">
        <f t="shared" si="12"/>
        <v>——</v>
      </c>
      <c r="H57" s="2460" t="str">
        <f t="shared" si="8"/>
        <v>——</v>
      </c>
      <c r="I57" s="499">
        <v>0.05</v>
      </c>
      <c r="J57" s="493" t="e">
        <f t="shared" si="9"/>
        <v>#VALUE!</v>
      </c>
      <c r="K57" s="493" t="e">
        <f t="shared" si="10"/>
        <v>#VALUE!</v>
      </c>
      <c r="L57" s="493">
        <v>0</v>
      </c>
      <c r="M57" s="493" t="e">
        <f t="shared" si="11"/>
        <v>#VALUE!</v>
      </c>
      <c r="N57" s="493" t="e">
        <f t="shared" si="11"/>
        <v>#VALUE!</v>
      </c>
    </row>
    <row r="58" spans="1:14" s="2259" customFormat="1" ht="26.4">
      <c r="A58" s="2465" t="s">
        <v>2299</v>
      </c>
      <c r="B58" s="499" t="str">
        <f>估价对象房地状况!C22</f>
        <v>估价对象所在区域基础设施水平</v>
      </c>
      <c r="C58" s="2325"/>
      <c r="D58" s="499">
        <f t="shared" si="7"/>
        <v>0</v>
      </c>
      <c r="E58" s="2461"/>
      <c r="F58" s="2402"/>
      <c r="G58" s="2459" t="str">
        <f t="shared" si="12"/>
        <v>——</v>
      </c>
      <c r="H58" s="2460" t="str">
        <f t="shared" si="8"/>
        <v>——</v>
      </c>
      <c r="I58" s="499">
        <v>0.08</v>
      </c>
      <c r="J58" s="493" t="e">
        <f t="shared" si="9"/>
        <v>#VALUE!</v>
      </c>
      <c r="K58" s="493" t="e">
        <f t="shared" si="10"/>
        <v>#VALUE!</v>
      </c>
      <c r="L58" s="493">
        <v>0</v>
      </c>
      <c r="M58" s="493" t="e">
        <f t="shared" si="11"/>
        <v>#VALUE!</v>
      </c>
      <c r="N58" s="493" t="e">
        <f t="shared" si="11"/>
        <v>#VALUE!</v>
      </c>
    </row>
    <row r="59" spans="1:14" s="2259" customFormat="1" ht="36.6" thickBot="1">
      <c r="A59" s="2466" t="s">
        <v>2300</v>
      </c>
      <c r="B59" s="2467" t="str">
        <f>估价对象房地状况!C20</f>
        <v>区域自然环境：；人文环境；综合评价环境状况一般</v>
      </c>
      <c r="C59" s="2325"/>
      <c r="D59" s="499">
        <f t="shared" si="7"/>
        <v>0</v>
      </c>
      <c r="E59" s="487"/>
      <c r="F59" s="2402"/>
      <c r="G59" s="2459" t="str">
        <f t="shared" si="12"/>
        <v>——</v>
      </c>
      <c r="H59" s="2460" t="str">
        <f t="shared" si="8"/>
        <v>——</v>
      </c>
      <c r="I59" s="2468">
        <v>0.05</v>
      </c>
      <c r="J59" s="493" t="e">
        <f t="shared" si="9"/>
        <v>#VALUE!</v>
      </c>
      <c r="K59" s="493" t="e">
        <f t="shared" si="10"/>
        <v>#VALUE!</v>
      </c>
      <c r="L59" s="493">
        <v>0</v>
      </c>
      <c r="M59" s="493" t="e">
        <f t="shared" si="11"/>
        <v>#VALUE!</v>
      </c>
      <c r="N59" s="493" t="e">
        <f t="shared" si="11"/>
        <v>#VALUE!</v>
      </c>
    </row>
    <row r="60" spans="1:14" s="2259" customFormat="1" ht="14.4">
      <c r="A60" s="2449" t="s">
        <v>2301</v>
      </c>
      <c r="B60" s="2450">
        <f>1+E62</f>
        <v>1</v>
      </c>
      <c r="C60" s="2469"/>
      <c r="D60" s="2469"/>
      <c r="E60" s="2470"/>
      <c r="F60" s="2454"/>
      <c r="G60" s="2448"/>
      <c r="H60" s="2448"/>
      <c r="I60" s="2448"/>
      <c r="J60" s="2448"/>
      <c r="K60" s="2448"/>
      <c r="L60" s="2448"/>
      <c r="M60" s="2448"/>
      <c r="N60" s="2448"/>
    </row>
    <row r="61" spans="1:14" s="2259" customFormat="1" ht="25.2">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9.6">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52.8">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48">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7.200000000000003">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36">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6.4">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6.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36.6"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4.4">
      <c r="A71" s="2449" t="s">
        <v>2304</v>
      </c>
      <c r="B71" s="2450">
        <f>1+E73</f>
        <v>1</v>
      </c>
      <c r="C71" s="2452"/>
      <c r="D71" s="2452"/>
      <c r="E71" s="2453"/>
      <c r="F71" s="2471"/>
      <c r="G71" s="2448"/>
      <c r="H71" s="2448"/>
      <c r="I71" s="2448"/>
      <c r="J71" s="2448"/>
      <c r="K71" s="2448"/>
      <c r="L71" s="2448"/>
      <c r="M71" s="2448"/>
      <c r="N71" s="2448"/>
    </row>
    <row r="72" spans="1:33" s="2259" customFormat="1" ht="25.2">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2.8">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52.8">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48">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3.8">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6.4">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6.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36">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36">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36.6"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4.4">
      <c r="A82" s="2449" t="s">
        <v>2307</v>
      </c>
      <c r="B82" s="2450">
        <f>1+E84</f>
        <v>0.99129999999999996</v>
      </c>
      <c r="C82" s="2452"/>
      <c r="D82" s="2452"/>
      <c r="E82" s="2453"/>
      <c r="F82" s="2471"/>
      <c r="G82" s="2448"/>
      <c r="H82" s="2448"/>
      <c r="I82" s="2448"/>
      <c r="J82" s="2448"/>
      <c r="K82" s="2448"/>
      <c r="L82" s="2448"/>
      <c r="M82" s="2448"/>
      <c r="N82" s="2448"/>
      <c r="AA82" s="2261"/>
      <c r="AG82" s="2259"/>
    </row>
    <row r="83" spans="1:33" ht="25.2">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39.6">
      <c r="A84" s="2455" t="s">
        <v>2308</v>
      </c>
      <c r="B84" s="499" t="str">
        <f>估价对象房地状况!G15</f>
        <v>估价对象位于XX开发区，园区建设成熟度XX，产业集聚程度XX</v>
      </c>
      <c r="C84" s="2325" t="s">
        <v>3106</v>
      </c>
      <c r="D84" s="499">
        <f t="shared" ref="D84:D91" si="23">SUMIF($J$83:$N$83,C84,J84:N84)</f>
        <v>0</v>
      </c>
      <c r="E84" s="2458">
        <f>ROUND(SUM(D84:D91),4)</f>
        <v>-8.6999999999999994E-3</v>
      </c>
      <c r="F84" s="2329">
        <f>IF(E2="工业",SUMIF(L1:L12,G2,N1:N12),"——")</f>
        <v>0.05</v>
      </c>
      <c r="G84" s="2459">
        <f>H84</f>
        <v>6.4999999999999997E-3</v>
      </c>
      <c r="H84" s="2460">
        <f t="shared" ref="H84:H91" si="24">IFERROR(ROUNDDOWN($F$84*I84/2,4),"——")</f>
        <v>6.4999999999999997E-3</v>
      </c>
      <c r="I84" s="499">
        <v>0.26</v>
      </c>
      <c r="J84" s="493">
        <f t="shared" ref="J84:J91" si="25">K84+$G84</f>
        <v>1.2999999999999999E-2</v>
      </c>
      <c r="K84" s="493">
        <f t="shared" ref="K84:K91" si="26">$L84+$G84</f>
        <v>6.4999999999999997E-3</v>
      </c>
      <c r="L84" s="493">
        <v>0</v>
      </c>
      <c r="M84" s="493">
        <f t="shared" ref="M84:N91" si="27">L84-$G84</f>
        <v>-6.4999999999999997E-3</v>
      </c>
      <c r="N84" s="493">
        <f t="shared" si="27"/>
        <v>-1.2999999999999999E-2</v>
      </c>
      <c r="AA84" s="2261"/>
      <c r="AG84" s="2259"/>
    </row>
    <row r="85" spans="1:33" ht="52.8">
      <c r="A85" s="2455" t="s">
        <v>2292</v>
      </c>
      <c r="B85" s="499" t="str">
        <f>估价对象房地状况!G16</f>
        <v>估价对象周边道路状况、公共交通通达情况、停车便捷程度，综合评价交通便捷度较好</v>
      </c>
      <c r="C85" s="2325" t="s">
        <v>3112</v>
      </c>
      <c r="D85" s="499">
        <f t="shared" si="23"/>
        <v>-7.4999999999999997E-3</v>
      </c>
      <c r="E85" s="2461"/>
      <c r="F85" s="2329"/>
      <c r="G85" s="2459">
        <f t="shared" ref="G85:G91" si="28">H85</f>
        <v>7.4999999999999997E-3</v>
      </c>
      <c r="H85" s="2460">
        <f t="shared" si="24"/>
        <v>7.4999999999999997E-3</v>
      </c>
      <c r="I85" s="499">
        <v>0.3</v>
      </c>
      <c r="J85" s="493">
        <f t="shared" si="25"/>
        <v>1.4999999999999999E-2</v>
      </c>
      <c r="K85" s="493">
        <f t="shared" si="26"/>
        <v>7.4999999999999997E-3</v>
      </c>
      <c r="L85" s="493">
        <v>0</v>
      </c>
      <c r="M85" s="493">
        <f t="shared" si="27"/>
        <v>-7.4999999999999997E-3</v>
      </c>
      <c r="N85" s="493">
        <f t="shared" si="27"/>
        <v>-1.4999999999999999E-2</v>
      </c>
      <c r="AA85" s="2261"/>
      <c r="AG85" s="2259"/>
    </row>
    <row r="86" spans="1:33" ht="48">
      <c r="A86" s="2462" t="s">
        <v>2815</v>
      </c>
      <c r="B86" s="499">
        <f>估价对象房地状况!G17</f>
        <v>0</v>
      </c>
      <c r="C86" s="2325" t="s">
        <v>3106</v>
      </c>
      <c r="D86" s="499">
        <f t="shared" si="23"/>
        <v>0</v>
      </c>
      <c r="E86" s="2461"/>
      <c r="F86" s="2329"/>
      <c r="G86" s="2459">
        <f t="shared" si="28"/>
        <v>2.5000000000000001E-3</v>
      </c>
      <c r="H86" s="2460">
        <f t="shared" si="24"/>
        <v>2.5000000000000001E-3</v>
      </c>
      <c r="I86" s="499">
        <v>0.1</v>
      </c>
      <c r="J86" s="493">
        <f t="shared" si="25"/>
        <v>5.0000000000000001E-3</v>
      </c>
      <c r="K86" s="493">
        <f t="shared" si="26"/>
        <v>2.5000000000000001E-3</v>
      </c>
      <c r="L86" s="493">
        <v>0</v>
      </c>
      <c r="M86" s="493">
        <f t="shared" si="27"/>
        <v>-2.5000000000000001E-3</v>
      </c>
      <c r="N86" s="493">
        <f t="shared" si="27"/>
        <v>-5.0000000000000001E-3</v>
      </c>
      <c r="AA86" s="2261"/>
      <c r="AG86" s="2259"/>
    </row>
    <row r="87" spans="1:33" ht="13.8">
      <c r="A87" s="2455" t="s">
        <v>2305</v>
      </c>
      <c r="B87" s="499">
        <f>估价对象房地状况!G22</f>
        <v>0</v>
      </c>
      <c r="C87" s="2325" t="s">
        <v>3112</v>
      </c>
      <c r="D87" s="499">
        <f t="shared" si="23"/>
        <v>-1.1999999999999999E-3</v>
      </c>
      <c r="E87" s="2461"/>
      <c r="F87" s="2329"/>
      <c r="G87" s="2459">
        <f t="shared" si="28"/>
        <v>1.1999999999999999E-3</v>
      </c>
      <c r="H87" s="2460">
        <f t="shared" si="24"/>
        <v>1.1999999999999999E-3</v>
      </c>
      <c r="I87" s="499">
        <v>0.05</v>
      </c>
      <c r="J87" s="493">
        <f t="shared" si="25"/>
        <v>2.3999999999999998E-3</v>
      </c>
      <c r="K87" s="493">
        <f t="shared" si="26"/>
        <v>1.1999999999999999E-3</v>
      </c>
      <c r="L87" s="493">
        <v>0</v>
      </c>
      <c r="M87" s="493">
        <f t="shared" si="27"/>
        <v>-1.1999999999999999E-3</v>
      </c>
      <c r="N87" s="493">
        <f t="shared" si="27"/>
        <v>-2.3999999999999998E-3</v>
      </c>
      <c r="AA87" s="2261"/>
      <c r="AG87" s="2259"/>
    </row>
    <row r="88" spans="1:33" ht="26.4">
      <c r="A88" s="2455" t="s">
        <v>2298</v>
      </c>
      <c r="B88" s="999" t="str">
        <f>估价对象房地状况!G19</f>
        <v>估价对象所在区域公共配套设施齐备情况</v>
      </c>
      <c r="C88" s="2325" t="s">
        <v>3112</v>
      </c>
      <c r="D88" s="499">
        <f t="shared" si="23"/>
        <v>-1.5E-3</v>
      </c>
      <c r="E88" s="2461"/>
      <c r="F88" s="2329"/>
      <c r="G88" s="2459">
        <f t="shared" si="28"/>
        <v>1.5E-3</v>
      </c>
      <c r="H88" s="2460">
        <f t="shared" si="24"/>
        <v>1.5E-3</v>
      </c>
      <c r="I88" s="499">
        <v>0.06</v>
      </c>
      <c r="J88" s="493">
        <f t="shared" si="25"/>
        <v>3.0000000000000001E-3</v>
      </c>
      <c r="K88" s="493">
        <f t="shared" si="26"/>
        <v>1.5E-3</v>
      </c>
      <c r="L88" s="493">
        <v>0</v>
      </c>
      <c r="M88" s="493">
        <f t="shared" si="27"/>
        <v>-1.5E-3</v>
      </c>
      <c r="N88" s="493">
        <f t="shared" si="27"/>
        <v>-3.0000000000000001E-3</v>
      </c>
    </row>
    <row r="89" spans="1:33" ht="26.4">
      <c r="A89" s="2455" t="s">
        <v>2299</v>
      </c>
      <c r="B89" s="999" t="str">
        <f>估价对象房地状况!G20</f>
        <v>估价对象所在区域基础设施水平</v>
      </c>
      <c r="C89" s="2325" t="s">
        <v>3106</v>
      </c>
      <c r="D89" s="499">
        <f t="shared" si="23"/>
        <v>0</v>
      </c>
      <c r="E89" s="2461"/>
      <c r="F89" s="2329"/>
      <c r="G89" s="2459">
        <f t="shared" si="28"/>
        <v>3.0000000000000001E-3</v>
      </c>
      <c r="H89" s="2460">
        <f t="shared" si="24"/>
        <v>3.0000000000000001E-3</v>
      </c>
      <c r="I89" s="499">
        <v>0.12</v>
      </c>
      <c r="J89" s="493">
        <f t="shared" si="25"/>
        <v>6.0000000000000001E-3</v>
      </c>
      <c r="K89" s="493">
        <f t="shared" si="26"/>
        <v>3.0000000000000001E-3</v>
      </c>
      <c r="L89" s="493">
        <v>0</v>
      </c>
      <c r="M89" s="493">
        <f t="shared" si="27"/>
        <v>-3.0000000000000001E-3</v>
      </c>
      <c r="N89" s="493">
        <f t="shared" si="27"/>
        <v>-6.0000000000000001E-3</v>
      </c>
    </row>
    <row r="90" spans="1:33" ht="36">
      <c r="A90" s="2455" t="s">
        <v>2296</v>
      </c>
      <c r="B90" s="2464" t="s">
        <v>2309</v>
      </c>
      <c r="C90" s="2325" t="s">
        <v>3105</v>
      </c>
      <c r="D90" s="499">
        <f t="shared" si="23"/>
        <v>1.5E-3</v>
      </c>
      <c r="E90" s="2461"/>
      <c r="F90" s="2329"/>
      <c r="G90" s="2459">
        <f t="shared" si="28"/>
        <v>1.5E-3</v>
      </c>
      <c r="H90" s="2460">
        <f t="shared" si="24"/>
        <v>1.5E-3</v>
      </c>
      <c r="I90" s="499">
        <v>0.06</v>
      </c>
      <c r="J90" s="493">
        <f t="shared" si="25"/>
        <v>3.0000000000000001E-3</v>
      </c>
      <c r="K90" s="493">
        <f t="shared" si="26"/>
        <v>1.5E-3</v>
      </c>
      <c r="L90" s="493">
        <v>0</v>
      </c>
      <c r="M90" s="493">
        <f t="shared" si="27"/>
        <v>-1.5E-3</v>
      </c>
      <c r="N90" s="493">
        <f t="shared" si="27"/>
        <v>-3.0000000000000001E-3</v>
      </c>
    </row>
    <row r="91" spans="1:33" ht="40.200000000000003" thickBot="1">
      <c r="A91" s="2466" t="s">
        <v>2310</v>
      </c>
      <c r="B91" s="2468" t="str">
        <f>估价对象房地状况!G18</f>
        <v>该园区内是否有污染型企业，绿化情况，卫生条件，整体环境状况判断</v>
      </c>
      <c r="C91" s="2325" t="s">
        <v>3106</v>
      </c>
      <c r="D91" s="499">
        <f t="shared" si="23"/>
        <v>0</v>
      </c>
      <c r="E91" s="487"/>
      <c r="F91" s="2329"/>
      <c r="G91" s="2459">
        <f t="shared" si="28"/>
        <v>1.1999999999999999E-3</v>
      </c>
      <c r="H91" s="2460">
        <f t="shared" si="24"/>
        <v>1.1999999999999999E-3</v>
      </c>
      <c r="I91" s="2468">
        <v>0.05</v>
      </c>
      <c r="J91" s="493">
        <f t="shared" si="25"/>
        <v>2.3999999999999998E-3</v>
      </c>
      <c r="K91" s="493">
        <f t="shared" si="26"/>
        <v>1.1999999999999999E-3</v>
      </c>
      <c r="L91" s="493">
        <v>0</v>
      </c>
      <c r="M91" s="493">
        <f t="shared" si="27"/>
        <v>-1.1999999999999999E-3</v>
      </c>
      <c r="N91" s="493">
        <f t="shared" si="27"/>
        <v>-2.3999999999999998E-3</v>
      </c>
      <c r="S91" s="2259"/>
      <c r="T91" s="2259"/>
      <c r="U91" s="2259"/>
      <c r="V91" s="2259"/>
      <c r="W91" s="2259"/>
      <c r="X91" s="2259"/>
      <c r="Y91" s="2259"/>
    </row>
    <row r="92" spans="1:33" ht="13.8">
      <c r="A92" s="2449" t="s">
        <v>2817</v>
      </c>
      <c r="B92" s="2450">
        <f>1+E94</f>
        <v>1</v>
      </c>
      <c r="C92" s="2473"/>
      <c r="D92" s="2473"/>
      <c r="E92" s="2473"/>
      <c r="F92" s="2473"/>
      <c r="S92" s="2259"/>
      <c r="T92" s="2259"/>
      <c r="U92" s="2259"/>
      <c r="V92" s="2259"/>
      <c r="W92" s="2259"/>
      <c r="X92" s="2259"/>
      <c r="Y92" s="2259"/>
    </row>
    <row r="93" spans="1:33" s="2259" customFormat="1" ht="25.2">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9">K94+$G94</f>
        <v>0</v>
      </c>
      <c r="K94" s="493">
        <f t="shared" ref="K94:K102" si="30">$L94+$G94</f>
        <v>0</v>
      </c>
      <c r="L94" s="493">
        <v>0</v>
      </c>
      <c r="M94" s="493">
        <f t="shared" ref="M94:M102" si="31">L94-$G94</f>
        <v>0</v>
      </c>
      <c r="N94" s="493">
        <f t="shared" ref="N94:N102" si="32">M94-$G94</f>
        <v>0</v>
      </c>
    </row>
    <row r="95" spans="1:33" s="2259" customFormat="1" ht="52.8">
      <c r="A95" s="2455" t="s">
        <v>2292</v>
      </c>
      <c r="B95" s="499" t="str">
        <f>估价对象房地状况!C18</f>
        <v>估价对象周边道路状况、公共交通通达情况、停车便捷程度，综合评价交通便捷度较好</v>
      </c>
      <c r="C95" s="2325"/>
      <c r="D95" s="499">
        <f t="shared" ref="D95:D102" si="33">SUMIF($J$61:$N$61,C95,J95:N95)</f>
        <v>0</v>
      </c>
      <c r="E95" s="2461"/>
      <c r="F95" s="2329"/>
      <c r="G95" s="2459"/>
      <c r="H95" s="2460" t="str">
        <f>IFERROR(ROUNDDOWN($F$94*I95/2,4),"——")</f>
        <v>——</v>
      </c>
      <c r="I95" s="499">
        <v>0.26</v>
      </c>
      <c r="J95" s="493">
        <f t="shared" si="29"/>
        <v>0</v>
      </c>
      <c r="K95" s="493">
        <f t="shared" si="30"/>
        <v>0</v>
      </c>
      <c r="L95" s="493">
        <v>0</v>
      </c>
      <c r="M95" s="493">
        <f t="shared" si="31"/>
        <v>0</v>
      </c>
      <c r="N95" s="493">
        <f t="shared" si="32"/>
        <v>0</v>
      </c>
    </row>
    <row r="96" spans="1:33" s="2259" customFormat="1" ht="48">
      <c r="A96" s="2462" t="s">
        <v>2814</v>
      </c>
      <c r="B96" s="499">
        <f>估价对象房地状况!C19</f>
        <v>0</v>
      </c>
      <c r="C96" s="2325"/>
      <c r="D96" s="499">
        <f t="shared" si="33"/>
        <v>0</v>
      </c>
      <c r="E96" s="2461"/>
      <c r="F96" s="2329"/>
      <c r="G96" s="2459"/>
      <c r="H96" s="2460" t="str">
        <f t="shared" ref="H96:H102" si="34">IFERROR(ROUNDDOWN($F$94*I96/2,4),"——")</f>
        <v>——</v>
      </c>
      <c r="I96" s="499">
        <v>0.11</v>
      </c>
      <c r="J96" s="493">
        <f t="shared" si="29"/>
        <v>0</v>
      </c>
      <c r="K96" s="493">
        <f t="shared" si="30"/>
        <v>0</v>
      </c>
      <c r="L96" s="493">
        <v>0</v>
      </c>
      <c r="M96" s="493">
        <f t="shared" si="31"/>
        <v>0</v>
      </c>
      <c r="N96" s="493">
        <f t="shared" si="32"/>
        <v>0</v>
      </c>
    </row>
    <row r="97" spans="1:25" s="2259" customFormat="1" ht="37.200000000000003">
      <c r="A97" s="2455" t="s">
        <v>2293</v>
      </c>
      <c r="B97" s="2463" t="s">
        <v>2294</v>
      </c>
      <c r="C97" s="2325"/>
      <c r="D97" s="499">
        <f t="shared" si="33"/>
        <v>0</v>
      </c>
      <c r="E97" s="2461"/>
      <c r="F97" s="2329"/>
      <c r="G97" s="2459"/>
      <c r="H97" s="2460" t="str">
        <f t="shared" si="34"/>
        <v>——</v>
      </c>
      <c r="I97" s="499">
        <v>0.05</v>
      </c>
      <c r="J97" s="493">
        <f t="shared" si="29"/>
        <v>0</v>
      </c>
      <c r="K97" s="493">
        <f t="shared" si="30"/>
        <v>0</v>
      </c>
      <c r="L97" s="493">
        <v>0</v>
      </c>
      <c r="M97" s="493">
        <f t="shared" si="31"/>
        <v>0</v>
      </c>
      <c r="N97" s="493">
        <f t="shared" si="32"/>
        <v>0</v>
      </c>
    </row>
    <row r="98" spans="1:25" s="2259" customFormat="1" ht="24">
      <c r="A98" s="2455" t="s">
        <v>2295</v>
      </c>
      <c r="B98" s="499">
        <f>估价对象房地状况!C24</f>
        <v>0</v>
      </c>
      <c r="C98" s="2325"/>
      <c r="D98" s="499">
        <f t="shared" si="33"/>
        <v>0</v>
      </c>
      <c r="E98" s="2461"/>
      <c r="F98" s="2329"/>
      <c r="G98" s="2459"/>
      <c r="H98" s="2460" t="str">
        <f t="shared" si="34"/>
        <v>——</v>
      </c>
      <c r="I98" s="499">
        <v>0.05</v>
      </c>
      <c r="J98" s="493">
        <f t="shared" si="29"/>
        <v>0</v>
      </c>
      <c r="K98" s="493">
        <f t="shared" si="30"/>
        <v>0</v>
      </c>
      <c r="L98" s="493">
        <v>0</v>
      </c>
      <c r="M98" s="493">
        <f t="shared" si="31"/>
        <v>0</v>
      </c>
      <c r="N98" s="493">
        <f t="shared" si="32"/>
        <v>0</v>
      </c>
    </row>
    <row r="99" spans="1:25" s="2259" customFormat="1" ht="36">
      <c r="A99" s="2455" t="s">
        <v>2296</v>
      </c>
      <c r="B99" s="2464" t="s">
        <v>2297</v>
      </c>
      <c r="C99" s="2325"/>
      <c r="D99" s="499">
        <f t="shared" si="33"/>
        <v>0</v>
      </c>
      <c r="E99" s="2461"/>
      <c r="F99" s="2329"/>
      <c r="G99" s="2459"/>
      <c r="H99" s="2460" t="str">
        <f t="shared" si="34"/>
        <v>——</v>
      </c>
      <c r="I99" s="499">
        <v>0.06</v>
      </c>
      <c r="J99" s="493">
        <f t="shared" si="29"/>
        <v>0</v>
      </c>
      <c r="K99" s="493">
        <f t="shared" si="30"/>
        <v>0</v>
      </c>
      <c r="L99" s="493">
        <v>0</v>
      </c>
      <c r="M99" s="493">
        <f t="shared" si="31"/>
        <v>0</v>
      </c>
      <c r="N99" s="493">
        <f t="shared" si="32"/>
        <v>0</v>
      </c>
    </row>
    <row r="100" spans="1:25" s="2259" customFormat="1" ht="26.4">
      <c r="A100" s="2455" t="s">
        <v>2298</v>
      </c>
      <c r="B100" s="999" t="str">
        <f>估价对象房地状况!C21</f>
        <v>估价对象所在区域公共配套设施齐备情况</v>
      </c>
      <c r="C100" s="2325"/>
      <c r="D100" s="499">
        <f t="shared" si="33"/>
        <v>0</v>
      </c>
      <c r="E100" s="2461"/>
      <c r="F100" s="2329"/>
      <c r="G100" s="2459"/>
      <c r="H100" s="2460" t="str">
        <f t="shared" si="34"/>
        <v>——</v>
      </c>
      <c r="I100" s="499">
        <v>0.06</v>
      </c>
      <c r="J100" s="493">
        <f t="shared" si="29"/>
        <v>0</v>
      </c>
      <c r="K100" s="493">
        <f t="shared" si="30"/>
        <v>0</v>
      </c>
      <c r="L100" s="493">
        <v>0</v>
      </c>
      <c r="M100" s="493">
        <f t="shared" si="31"/>
        <v>0</v>
      </c>
      <c r="N100" s="493">
        <f t="shared" si="32"/>
        <v>0</v>
      </c>
    </row>
    <row r="101" spans="1:25" s="2259" customFormat="1" ht="26.4">
      <c r="A101" s="2455" t="s">
        <v>2299</v>
      </c>
      <c r="B101" s="999" t="str">
        <f>估价对象房地状况!C22</f>
        <v>估价对象所在区域基础设施水平</v>
      </c>
      <c r="C101" s="2325"/>
      <c r="D101" s="499">
        <f t="shared" si="33"/>
        <v>0</v>
      </c>
      <c r="E101" s="2461"/>
      <c r="F101" s="2329"/>
      <c r="G101" s="2459"/>
      <c r="H101" s="2460" t="str">
        <f t="shared" si="34"/>
        <v>——</v>
      </c>
      <c r="I101" s="499">
        <v>0.09</v>
      </c>
      <c r="J101" s="493">
        <f t="shared" si="29"/>
        <v>0</v>
      </c>
      <c r="K101" s="493">
        <f t="shared" si="30"/>
        <v>0</v>
      </c>
      <c r="L101" s="493">
        <v>0</v>
      </c>
      <c r="M101" s="493">
        <f t="shared" si="31"/>
        <v>0</v>
      </c>
      <c r="N101" s="493">
        <f t="shared" si="32"/>
        <v>0</v>
      </c>
    </row>
    <row r="102" spans="1:25" s="2259" customFormat="1" ht="36.6" thickBot="1">
      <c r="A102" s="2466" t="s">
        <v>2300</v>
      </c>
      <c r="B102" s="2468" t="str">
        <f>估价对象房地状况!C20</f>
        <v>区域自然环境：；人文环境；综合评价环境状况一般</v>
      </c>
      <c r="C102" s="2325"/>
      <c r="D102" s="499">
        <f t="shared" si="33"/>
        <v>0</v>
      </c>
      <c r="E102" s="487"/>
      <c r="F102" s="2329"/>
      <c r="G102" s="2459"/>
      <c r="H102" s="2460" t="str">
        <f t="shared" si="34"/>
        <v>——</v>
      </c>
      <c r="I102" s="2468">
        <v>7.0000000000000007E-2</v>
      </c>
      <c r="J102" s="493">
        <f t="shared" si="29"/>
        <v>0</v>
      </c>
      <c r="K102" s="493">
        <f t="shared" si="30"/>
        <v>0</v>
      </c>
      <c r="L102" s="493">
        <v>0</v>
      </c>
      <c r="M102" s="493">
        <f t="shared" si="31"/>
        <v>0</v>
      </c>
      <c r="N102" s="493">
        <f t="shared" si="32"/>
        <v>0</v>
      </c>
      <c r="S102" s="2261"/>
      <c r="T102" s="2261"/>
      <c r="U102" s="2261"/>
      <c r="V102" s="2261"/>
      <c r="W102" s="2261"/>
      <c r="X102" s="2261"/>
      <c r="Y102" s="2261"/>
    </row>
    <row r="103" spans="1:25" s="2259" customFormat="1" ht="13.8">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4" t="s">
        <v>2311</v>
      </c>
      <c r="B104" s="3274"/>
      <c r="C104" s="3274"/>
      <c r="D104" s="3274"/>
      <c r="E104" s="3274"/>
      <c r="F104" s="3274"/>
      <c r="G104" s="3274"/>
      <c r="H104" s="3274"/>
      <c r="I104" s="3274"/>
      <c r="J104" s="3274"/>
      <c r="K104" s="2479"/>
      <c r="L104" s="2479"/>
      <c r="M104" s="2479"/>
      <c r="N104" s="2479"/>
    </row>
    <row r="105" spans="1:25">
      <c r="A105" s="3276" t="s">
        <v>2312</v>
      </c>
      <c r="B105" s="3276" t="s">
        <v>2313</v>
      </c>
      <c r="C105" s="2422" t="s">
        <v>2314</v>
      </c>
      <c r="D105" s="2423"/>
      <c r="E105" s="2423"/>
      <c r="F105" s="2423"/>
      <c r="G105" s="2423"/>
      <c r="H105" s="2423"/>
      <c r="I105" s="2423"/>
      <c r="J105" s="2480"/>
      <c r="K105" s="2481"/>
      <c r="L105" s="2481"/>
      <c r="M105" s="2481"/>
      <c r="N105" s="2481"/>
    </row>
    <row r="106" spans="1:25">
      <c r="A106" s="3276"/>
      <c r="B106" s="327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8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8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8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8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8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81"/>
      <c r="B112" s="2421" t="s">
        <v>2717</v>
      </c>
      <c r="C112" s="2482">
        <f>$I$3</f>
        <v>0</v>
      </c>
      <c r="D112" s="2482">
        <f t="shared" ref="D112:M112" si="35">$I$3</f>
        <v>0</v>
      </c>
      <c r="E112" s="2482">
        <f t="shared" si="35"/>
        <v>0</v>
      </c>
      <c r="F112" s="2482">
        <f t="shared" si="35"/>
        <v>0</v>
      </c>
      <c r="G112" s="2482">
        <f t="shared" si="35"/>
        <v>0</v>
      </c>
      <c r="H112" s="2482">
        <f t="shared" si="35"/>
        <v>0</v>
      </c>
      <c r="I112" s="2482">
        <f t="shared" si="35"/>
        <v>0</v>
      </c>
      <c r="J112" s="2482">
        <f t="shared" si="35"/>
        <v>0</v>
      </c>
      <c r="K112" s="2482">
        <f t="shared" si="35"/>
        <v>0</v>
      </c>
      <c r="L112" s="2482">
        <f t="shared" si="35"/>
        <v>0</v>
      </c>
      <c r="M112" s="2482">
        <f t="shared" si="35"/>
        <v>0</v>
      </c>
      <c r="N112" s="2482">
        <f>$I$3</f>
        <v>0</v>
      </c>
    </row>
    <row r="113" spans="1:14">
      <c r="A113" s="3282"/>
      <c r="B113" s="2421">
        <v>6</v>
      </c>
      <c r="C113" s="502">
        <f>(-0.5556*(C112^2)-0.2719*C112+8944)*(10^(-4))</f>
        <v>0.89440000000000008</v>
      </c>
      <c r="D113" s="502">
        <f>(-0.5556*(D112^2)-0.2719*D112+8944)*(10^(-4))</f>
        <v>0.89440000000000008</v>
      </c>
      <c r="E113" s="502">
        <f>(-0.7912*(E112^2)-11.3794*E112+8482)*(10^(-4))</f>
        <v>0.84820000000000007</v>
      </c>
      <c r="F113" s="502">
        <f t="shared" ref="F113:I113" si="36">(-0.7912*(F112^2)-11.3794*F112+8482)*(10^(-4))</f>
        <v>0.84820000000000007</v>
      </c>
      <c r="G113" s="502">
        <f t="shared" si="36"/>
        <v>0.84820000000000007</v>
      </c>
      <c r="H113" s="502">
        <f t="shared" si="36"/>
        <v>0.84820000000000007</v>
      </c>
      <c r="I113" s="502">
        <f t="shared" si="36"/>
        <v>0.84820000000000007</v>
      </c>
      <c r="J113" s="502">
        <f>(-0.989*(J112^2)-63.78*J112+7771)*(10^(-4))</f>
        <v>0.77710000000000001</v>
      </c>
      <c r="K113" s="502">
        <f t="shared" ref="K113:N113" si="37">(-0.989*(K112^2)-63.78*K112+7771)*(10^(-4))</f>
        <v>0.77710000000000001</v>
      </c>
      <c r="L113" s="502">
        <f t="shared" si="37"/>
        <v>0.77710000000000001</v>
      </c>
      <c r="M113" s="502">
        <f t="shared" si="37"/>
        <v>0.77710000000000001</v>
      </c>
      <c r="N113" s="502">
        <f t="shared" si="37"/>
        <v>0.77710000000000001</v>
      </c>
    </row>
    <row r="114" spans="1:14">
      <c r="A114" s="3275" t="s">
        <v>2316</v>
      </c>
      <c r="B114" s="3275"/>
      <c r="C114" s="3275"/>
      <c r="D114" s="3275"/>
      <c r="E114" s="3275"/>
      <c r="F114" s="3275"/>
      <c r="G114" s="3275"/>
      <c r="H114" s="3275"/>
      <c r="I114" s="3275"/>
      <c r="J114" s="3275"/>
      <c r="K114" s="2483"/>
      <c r="L114" s="2483"/>
      <c r="M114" s="2483"/>
      <c r="N114" s="2483"/>
    </row>
    <row r="116" spans="1:14" ht="13.8" thickBot="1"/>
    <row r="117" spans="1:14" ht="25.8" thickBot="1">
      <c r="A117" s="2382" t="s">
        <v>2317</v>
      </c>
      <c r="B117" s="2484">
        <f>G3</f>
        <v>1</v>
      </c>
      <c r="C117" s="2365" t="s">
        <v>2318</v>
      </c>
      <c r="D117" s="500">
        <f>SUMPRODUCT((A119:A123=F117)*(B118:M118=H117)*B119:M123)</f>
        <v>0.57150000000000001</v>
      </c>
      <c r="E117" s="473" t="s">
        <v>2173</v>
      </c>
      <c r="F117" s="501" t="str">
        <f>E2</f>
        <v>工业</v>
      </c>
      <c r="G117" s="473" t="s">
        <v>2174</v>
      </c>
      <c r="H117" s="501" t="str">
        <f>G2</f>
        <v>九级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8">I119</f>
        <v>0.8306</v>
      </c>
      <c r="K119" s="502">
        <f t="shared" si="38"/>
        <v>0.8306</v>
      </c>
      <c r="L119" s="502">
        <f t="shared" si="38"/>
        <v>0.8306</v>
      </c>
      <c r="M119" s="504">
        <f t="shared" si="38"/>
        <v>0.8306</v>
      </c>
    </row>
    <row r="120" spans="1:14">
      <c r="A120" s="2413" t="s">
        <v>2230</v>
      </c>
      <c r="B120" s="502">
        <f>ROUND(0.993-0.0112*B117,4)</f>
        <v>0.98180000000000001</v>
      </c>
      <c r="C120" s="502">
        <f>B120</f>
        <v>0.98180000000000001</v>
      </c>
      <c r="D120" s="502">
        <f>ROUND(0.9415-0.0142*B117,4)</f>
        <v>0.92730000000000001</v>
      </c>
      <c r="E120" s="502">
        <f t="shared" ref="E120:H121" si="39">D120</f>
        <v>0.92730000000000001</v>
      </c>
      <c r="F120" s="502">
        <f t="shared" si="39"/>
        <v>0.92730000000000001</v>
      </c>
      <c r="G120" s="502">
        <f t="shared" si="39"/>
        <v>0.92730000000000001</v>
      </c>
      <c r="H120" s="502">
        <f t="shared" si="39"/>
        <v>0.92730000000000001</v>
      </c>
      <c r="I120" s="502">
        <f>ROUND(0.838-0.0182*B117,4)</f>
        <v>0.81979999999999997</v>
      </c>
      <c r="J120" s="502">
        <f t="shared" si="38"/>
        <v>0.81979999999999997</v>
      </c>
      <c r="K120" s="502">
        <f t="shared" si="38"/>
        <v>0.81979999999999997</v>
      </c>
      <c r="L120" s="502">
        <f t="shared" si="38"/>
        <v>0.81979999999999997</v>
      </c>
      <c r="M120" s="504">
        <f t="shared" si="38"/>
        <v>0.81979999999999997</v>
      </c>
    </row>
    <row r="121" spans="1:14">
      <c r="A121" s="2413" t="s">
        <v>2231</v>
      </c>
      <c r="B121" s="502">
        <f>ROUND(0.9448-0.0115*B117,4)</f>
        <v>0.93330000000000002</v>
      </c>
      <c r="C121" s="502">
        <f>B121</f>
        <v>0.93330000000000002</v>
      </c>
      <c r="D121" s="502">
        <f>ROUND(0.937-0.0145*B117,4)</f>
        <v>0.92249999999999999</v>
      </c>
      <c r="E121" s="502">
        <f t="shared" si="39"/>
        <v>0.92249999999999999</v>
      </c>
      <c r="F121" s="502">
        <f t="shared" si="39"/>
        <v>0.92249999999999999</v>
      </c>
      <c r="G121" s="502">
        <f t="shared" si="39"/>
        <v>0.92249999999999999</v>
      </c>
      <c r="H121" s="502">
        <f t="shared" si="39"/>
        <v>0.92249999999999999</v>
      </c>
      <c r="I121" s="502">
        <f>ROUND(0.7965-0.0185*B117,4)</f>
        <v>0.77800000000000002</v>
      </c>
      <c r="J121" s="502">
        <f t="shared" si="38"/>
        <v>0.77800000000000002</v>
      </c>
      <c r="K121" s="502">
        <f t="shared" si="38"/>
        <v>0.77800000000000002</v>
      </c>
      <c r="L121" s="502">
        <f t="shared" si="38"/>
        <v>0.77800000000000002</v>
      </c>
      <c r="M121" s="504">
        <f t="shared" si="38"/>
        <v>0.77800000000000002</v>
      </c>
    </row>
    <row r="122" spans="1:14" ht="13.8" thickBot="1">
      <c r="A122" s="2417"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8"/>
        <v>0.57150000000000001</v>
      </c>
      <c r="K122" s="503">
        <f t="shared" si="38"/>
        <v>0.57150000000000001</v>
      </c>
      <c r="L122" s="503">
        <f t="shared" si="38"/>
        <v>0.57150000000000001</v>
      </c>
      <c r="M122" s="505">
        <f t="shared" si="38"/>
        <v>0.57150000000000001</v>
      </c>
    </row>
    <row r="123" spans="1:14">
      <c r="A123" s="2492" t="s">
        <v>2901</v>
      </c>
      <c r="B123" s="502">
        <f>ROUND(0.9404-0.0106*B117,4)</f>
        <v>0.92979999999999996</v>
      </c>
      <c r="C123" s="502">
        <f>B123</f>
        <v>0.92979999999999996</v>
      </c>
      <c r="D123" s="502">
        <f>ROUND(0.8955-0.0135*B117,4)</f>
        <v>0.88200000000000001</v>
      </c>
      <c r="E123" s="502">
        <f t="shared" ref="E123" si="40">D123</f>
        <v>0.88200000000000001</v>
      </c>
      <c r="F123" s="502">
        <f t="shared" ref="F123" si="41">E123</f>
        <v>0.88200000000000001</v>
      </c>
      <c r="G123" s="502">
        <f t="shared" ref="G123" si="42">F123</f>
        <v>0.88200000000000001</v>
      </c>
      <c r="H123" s="502">
        <f t="shared" ref="H123" si="43">G123</f>
        <v>0.88200000000000001</v>
      </c>
      <c r="I123" s="502">
        <f>ROUND(0.7632-0.0166*B117,4)</f>
        <v>0.74660000000000004</v>
      </c>
      <c r="J123" s="502">
        <f t="shared" ref="J123" si="44">I123</f>
        <v>0.74660000000000004</v>
      </c>
      <c r="K123" s="502">
        <f t="shared" ref="K123" si="45">J123</f>
        <v>0.74660000000000004</v>
      </c>
      <c r="L123" s="502">
        <f t="shared" ref="L123" si="46">K123</f>
        <v>0.74660000000000004</v>
      </c>
      <c r="M123" s="504">
        <f t="shared" ref="M123" si="47">L123</f>
        <v>0.74660000000000004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zoomScale="85" zoomScaleNormal="80" zoomScaleSheetLayoutView="85" workbookViewId="0">
      <selection activeCell="B25" sqref="B25"/>
    </sheetView>
  </sheetViews>
  <sheetFormatPr defaultColWidth="12" defaultRowHeight="13.2"/>
  <cols>
    <col min="1" max="1" width="9.77734375" style="2261" customWidth="1"/>
    <col min="2" max="2" width="23.88671875" style="2261" customWidth="1"/>
    <col min="3" max="4" width="12" style="2261"/>
    <col min="5" max="5" width="14.6640625" style="2261" customWidth="1"/>
    <col min="6" max="6" width="12.77734375" style="2261" customWidth="1"/>
    <col min="7" max="8" width="12" style="2261"/>
    <col min="9" max="9" width="12.21875" style="2261" bestFit="1" customWidth="1"/>
    <col min="10" max="10" width="12" style="2261"/>
    <col min="11" max="11" width="8.109375" style="2259" customWidth="1"/>
    <col min="12" max="12" width="16.88671875" style="2261" customWidth="1"/>
    <col min="13" max="13" width="8.44140625" style="2261" customWidth="1"/>
    <col min="14" max="14" width="9.77734375" style="2261" customWidth="1"/>
    <col min="15" max="25" width="12" style="2261"/>
    <col min="26" max="26" width="9.33203125" style="2261" customWidth="1"/>
    <col min="27" max="32" width="9.33203125" style="2259" customWidth="1"/>
    <col min="33" max="38" width="9.33203125" style="2261" customWidth="1"/>
    <col min="39" max="16384" width="12" style="2261"/>
  </cols>
  <sheetData>
    <row r="1" spans="1:36" ht="31.2">
      <c r="A1" s="2255" t="s">
        <v>2163</v>
      </c>
      <c r="B1" s="2256"/>
      <c r="C1" s="2257" t="s">
        <v>2164</v>
      </c>
      <c r="D1" s="473">
        <f>SUM(D33:D34,D37:D42)</f>
        <v>43991.720000000016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6">
      <c r="A2" s="2257" t="s">
        <v>2171</v>
      </c>
      <c r="B2" s="2265" t="e">
        <f>C30</f>
        <v>#VALUE!</v>
      </c>
      <c r="C2" s="2266" t="s">
        <v>2172</v>
      </c>
      <c r="D2" s="473" t="s">
        <v>2173</v>
      </c>
      <c r="E2" s="2267" t="s">
        <v>886</v>
      </c>
      <c r="F2" s="473" t="s">
        <v>2174</v>
      </c>
      <c r="G2" s="473">
        <f>IF(E2="商业",项目基本情况!B37,IF(E2="办公",项目基本情况!C37,IF(E2="住宅",项目基本情况!D37,IF(E2="工业",项目基本情况!E37,项目基本情况!F37))))</f>
        <v>0</v>
      </c>
      <c r="H2" s="473" t="s">
        <v>2175</v>
      </c>
      <c r="I2" s="473">
        <f>IF(E2="商业",项目基本情况!B38,IF(E2="办公",项目基本情况!C38,IF(E2="住宅",项目基本情况!D38,IF(E2="工业",项目基本情况!E38,项目基本情况!F38))))</f>
        <v>0</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0</v>
      </c>
      <c r="T2" s="477" t="e">
        <f t="shared" ref="T2:T16" si="0">ROUND($C$5*$C$22*$C$23*$C$24*S2*$C$28,0)</f>
        <v>#VALUE!</v>
      </c>
      <c r="U2" s="2269"/>
      <c r="V2" s="477" t="e">
        <f>ROUND(T2*U2/10000,0)</f>
        <v>#VALUE!</v>
      </c>
      <c r="W2" s="2262"/>
      <c r="X2" s="2262"/>
      <c r="Y2" s="2262"/>
      <c r="Z2" s="2262"/>
      <c r="AA2" s="2262"/>
      <c r="AB2" s="2262"/>
      <c r="AC2" s="2262"/>
      <c r="AD2" s="2263"/>
      <c r="AE2" s="2263"/>
      <c r="AF2" s="2263"/>
      <c r="AG2" s="2263"/>
      <c r="AH2" s="2263"/>
      <c r="AI2" s="2263"/>
      <c r="AJ2" s="2264"/>
    </row>
    <row r="3" spans="1:36" ht="15.6">
      <c r="A3" s="2265" t="s">
        <v>2177</v>
      </c>
      <c r="B3" s="2265" t="e">
        <f>ROUND(B2*10000/D1,0)</f>
        <v>#VALUE!</v>
      </c>
      <c r="C3" s="2266" t="s">
        <v>2178</v>
      </c>
      <c r="D3" s="473" t="s">
        <v>2179</v>
      </c>
      <c r="E3" s="2267" t="s">
        <v>2823</v>
      </c>
      <c r="F3" s="2270" t="s">
        <v>3094</v>
      </c>
      <c r="G3" s="2271">
        <v>2.8</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0</v>
      </c>
      <c r="T3" s="477" t="e">
        <f t="shared" si="0"/>
        <v>#VALUE!</v>
      </c>
      <c r="U3" s="2269">
        <f>ROUND('[2]数据-汇总表'!$F$20/4,2)</f>
        <v>10997.93</v>
      </c>
      <c r="V3" s="477" t="e">
        <f t="shared" ref="V3:V16" si="1">ROUND(T3*U3/10000,0)</f>
        <v>#VALUE!</v>
      </c>
      <c r="W3" s="2262"/>
      <c r="X3" s="2262"/>
      <c r="Y3" s="2262"/>
      <c r="Z3" s="2262"/>
      <c r="AA3" s="2262"/>
      <c r="AB3" s="2262"/>
      <c r="AC3" s="2262"/>
      <c r="AD3" s="2263"/>
      <c r="AE3" s="2263"/>
      <c r="AF3" s="2263"/>
      <c r="AG3" s="2263"/>
      <c r="AH3" s="2263"/>
      <c r="AI3" s="2263"/>
      <c r="AJ3" s="2264"/>
    </row>
    <row r="4" spans="1:36" ht="15.6">
      <c r="A4" s="3285"/>
      <c r="B4" s="3286"/>
      <c r="C4" s="3286"/>
      <c r="D4" s="3287"/>
      <c r="E4" s="3287"/>
      <c r="F4" s="3287"/>
      <c r="G4" s="3287"/>
      <c r="H4" s="3287"/>
      <c r="I4" s="3287"/>
      <c r="J4" s="328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v>
      </c>
      <c r="T4" s="477" t="e">
        <f t="shared" si="0"/>
        <v>#VALUE!</v>
      </c>
      <c r="U4" s="2269">
        <f>U3</f>
        <v>10997.93</v>
      </c>
      <c r="V4" s="477" t="e">
        <f t="shared" si="1"/>
        <v>#VALUE!</v>
      </c>
      <c r="W4" s="2262"/>
      <c r="X4" s="2262"/>
      <c r="Y4" s="2262"/>
      <c r="Z4" s="2262"/>
      <c r="AA4" s="2262"/>
      <c r="AB4" s="2262"/>
      <c r="AC4" s="2262"/>
      <c r="AD4" s="2263"/>
      <c r="AE4" s="2263"/>
      <c r="AF4" s="2263"/>
      <c r="AG4" s="2263"/>
      <c r="AH4" s="2263"/>
      <c r="AI4" s="2263"/>
      <c r="AJ4" s="2264"/>
    </row>
    <row r="5" spans="1:36" s="2282" customFormat="1" ht="15.6" thickBot="1">
      <c r="A5" s="2272" t="s">
        <v>570</v>
      </c>
      <c r="B5" s="2272" t="s">
        <v>2184</v>
      </c>
      <c r="C5" s="2273">
        <f>ROUND(IF(E2="商业",C6*C7*C17+C20,(IF(E2="住宅",C6*C13*C17+C20,IF(E2="办公",C6*C12*C17+C20,C6+C20)))),0)</f>
        <v>0</v>
      </c>
      <c r="D5" s="2274">
        <f>ROUND(C6*C17+C20,0)</f>
        <v>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v>
      </c>
      <c r="T5" s="477" t="e">
        <f t="shared" si="0"/>
        <v>#VALUE!</v>
      </c>
      <c r="U5" s="2269">
        <f>U3</f>
        <v>10997.93</v>
      </c>
      <c r="V5" s="477" t="e">
        <f t="shared" si="1"/>
        <v>#VALUE!</v>
      </c>
      <c r="W5" s="2262"/>
      <c r="X5" s="2262"/>
      <c r="Y5" s="2262"/>
      <c r="Z5" s="2262"/>
      <c r="AA5" s="2262"/>
      <c r="AB5" s="2262"/>
      <c r="AC5" s="2279"/>
      <c r="AD5" s="2280"/>
      <c r="AE5" s="2280"/>
      <c r="AF5" s="2280"/>
      <c r="AG5" s="2280"/>
      <c r="AH5" s="2280"/>
      <c r="AI5" s="2280"/>
      <c r="AJ5" s="2281"/>
    </row>
    <row r="6" spans="1:36" ht="15.6" thickBot="1">
      <c r="A6" s="2283" t="s">
        <v>2186</v>
      </c>
      <c r="B6" s="2284" t="s">
        <v>2187</v>
      </c>
      <c r="C6" s="478">
        <f>SUMIF(L1:L12,G2,M1:M12)</f>
        <v>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v>
      </c>
      <c r="T6" s="477" t="e">
        <f t="shared" si="0"/>
        <v>#VALUE!</v>
      </c>
      <c r="U6" s="2269">
        <f>'[2]数据-汇总表'!$F$20-SUM(U3:U5)</f>
        <v>10997.930000000015</v>
      </c>
      <c r="V6" s="477" t="e">
        <f t="shared" si="1"/>
        <v>#VALUE!</v>
      </c>
      <c r="W6" s="2262"/>
      <c r="X6" s="2262"/>
      <c r="Y6" s="2262"/>
      <c r="Z6" s="2262"/>
      <c r="AA6" s="2262"/>
      <c r="AB6" s="2262"/>
      <c r="AC6" s="2279"/>
      <c r="AD6" s="2280"/>
      <c r="AE6" s="2280"/>
      <c r="AF6" s="2280"/>
      <c r="AG6" s="2280"/>
      <c r="AH6" s="2280"/>
      <c r="AI6" s="2280"/>
      <c r="AJ6" s="2281"/>
    </row>
    <row r="7" spans="1:36" ht="24.6" thickBot="1">
      <c r="A7" s="2288" t="s">
        <v>3070</v>
      </c>
      <c r="B7" s="2994"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t="e">
        <f t="shared" si="0"/>
        <v>#VALUE!</v>
      </c>
      <c r="U7" s="2269"/>
      <c r="V7" s="477" t="e">
        <f t="shared" si="1"/>
        <v>#VALUE!</v>
      </c>
      <c r="W7" s="2999" t="s">
        <v>2193</v>
      </c>
      <c r="X7" s="498">
        <f>G2</f>
        <v>0</v>
      </c>
      <c r="Y7" s="498" t="s">
        <v>2194</v>
      </c>
      <c r="Z7" s="498">
        <f>G3</f>
        <v>2.8</v>
      </c>
      <c r="AA7" s="2262"/>
      <c r="AB7" s="2262"/>
      <c r="AC7" s="2262"/>
      <c r="AD7" s="2263"/>
      <c r="AE7" s="2263"/>
      <c r="AF7" s="2263"/>
      <c r="AG7" s="2263"/>
      <c r="AH7" s="2263"/>
      <c r="AI7" s="2263"/>
      <c r="AJ7" s="2264"/>
    </row>
    <row r="8" spans="1:36" ht="26.4">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t="e">
        <f t="shared" si="0"/>
        <v>#VALUE!</v>
      </c>
      <c r="U8" s="2269"/>
      <c r="V8" s="477" t="e">
        <f t="shared" si="1"/>
        <v>#VALUE!</v>
      </c>
      <c r="W8" s="3283" t="s">
        <v>2198</v>
      </c>
      <c r="X8" s="328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t="e">
        <f t="shared" si="0"/>
        <v>#VALUE!</v>
      </c>
      <c r="U9" s="2269"/>
      <c r="V9" s="477" t="e">
        <f t="shared" si="1"/>
        <v>#VALUE!</v>
      </c>
      <c r="W9" s="328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t="e">
        <f t="shared" si="0"/>
        <v>#VALUE!</v>
      </c>
      <c r="U10" s="2269"/>
      <c r="V10" s="477" t="e">
        <f t="shared" si="1"/>
        <v>#VALUE!</v>
      </c>
      <c r="W10" s="328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6"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t="e">
        <f t="shared" si="0"/>
        <v>#VALUE!</v>
      </c>
      <c r="U11" s="2269"/>
      <c r="V11" s="477" t="e">
        <f t="shared" si="1"/>
        <v>#VALUE!</v>
      </c>
      <c r="W11" s="2262"/>
      <c r="X11" s="2262"/>
      <c r="Y11" s="2262"/>
      <c r="Z11" s="2262"/>
      <c r="AA11" s="2262"/>
      <c r="AB11" s="2262"/>
      <c r="AC11" s="2262"/>
      <c r="AD11" s="2263"/>
      <c r="AE11" s="2263"/>
      <c r="AF11" s="2263"/>
      <c r="AG11" s="2263"/>
      <c r="AH11" s="2263"/>
      <c r="AI11" s="2263"/>
      <c r="AJ11" s="2264"/>
    </row>
    <row r="12" spans="1:36" ht="25.8"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t="e">
        <f t="shared" si="0"/>
        <v>#VALUE!</v>
      </c>
      <c r="U12" s="2269"/>
      <c r="V12" s="477" t="e">
        <f t="shared" si="1"/>
        <v>#VALUE!</v>
      </c>
      <c r="W12" s="2262"/>
      <c r="X12" s="2262"/>
      <c r="Y12" s="2262"/>
      <c r="Z12" s="2262"/>
      <c r="AA12" s="2262"/>
      <c r="AB12" s="2262"/>
      <c r="AC12" s="2262"/>
      <c r="AD12" s="2263"/>
      <c r="AE12" s="2263"/>
      <c r="AF12" s="2263"/>
      <c r="AG12" s="2263"/>
      <c r="AH12" s="2263"/>
      <c r="AI12" s="2263"/>
      <c r="AJ12" s="2264"/>
    </row>
    <row r="13" spans="1:36" ht="24">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t="e">
        <f t="shared" si="0"/>
        <v>#VALUE!</v>
      </c>
      <c r="U13" s="2269"/>
      <c r="V13" s="477" t="e">
        <f t="shared" si="1"/>
        <v>#VALUE!</v>
      </c>
      <c r="W13" s="2262"/>
      <c r="X13" s="2262"/>
      <c r="Y13" s="2262"/>
      <c r="Z13" s="2262"/>
      <c r="AA13" s="2262"/>
      <c r="AB13" s="2262"/>
      <c r="AC13" s="2262"/>
      <c r="AD13" s="2263"/>
      <c r="AE13" s="2263"/>
      <c r="AF13" s="2263"/>
      <c r="AG13" s="2263"/>
      <c r="AH13" s="2263"/>
      <c r="AI13" s="2263"/>
      <c r="AJ13" s="2264"/>
    </row>
    <row r="14" spans="1:36" ht="24">
      <c r="A14" s="2320"/>
      <c r="B14" s="2992" t="s">
        <v>2223</v>
      </c>
      <c r="C14" s="2321" t="s">
        <v>2224</v>
      </c>
      <c r="D14" s="2993"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t="e">
        <f t="shared" si="0"/>
        <v>#VALUE!</v>
      </c>
      <c r="U14" s="2269"/>
      <c r="V14" s="477" t="e">
        <f t="shared" si="1"/>
        <v>#VALUE!</v>
      </c>
      <c r="W14" s="2262"/>
      <c r="X14" s="2262"/>
      <c r="Y14" s="2262"/>
      <c r="Z14" s="2262"/>
      <c r="AA14" s="2262"/>
      <c r="AB14" s="2262"/>
      <c r="AC14" s="2262"/>
      <c r="AD14" s="2263"/>
      <c r="AE14" s="2263"/>
      <c r="AF14" s="2263"/>
      <c r="AG14" s="2263"/>
      <c r="AH14" s="2263"/>
      <c r="AI14" s="2263"/>
      <c r="AJ14" s="2264"/>
    </row>
    <row r="15" spans="1:36" ht="15">
      <c r="A15" s="2320"/>
      <c r="B15" s="2993"/>
      <c r="C15" s="2324"/>
      <c r="D15" s="2325"/>
      <c r="E15" s="2326"/>
      <c r="F15" s="2327" t="s">
        <v>2715</v>
      </c>
      <c r="G15" s="2328"/>
      <c r="H15" s="2329"/>
      <c r="I15" s="2330"/>
      <c r="J15" s="2331"/>
      <c r="L15" s="2259"/>
      <c r="M15" s="2259"/>
      <c r="N15" s="2259"/>
      <c r="O15" s="2259"/>
      <c r="P15" s="2259"/>
      <c r="Q15" s="2259"/>
      <c r="R15" s="477">
        <v>14</v>
      </c>
      <c r="S15" s="2269"/>
      <c r="T15" s="477" t="e">
        <f t="shared" si="0"/>
        <v>#VALUE!</v>
      </c>
      <c r="U15" s="2269"/>
      <c r="V15" s="477" t="e">
        <f t="shared" si="1"/>
        <v>#VALUE!</v>
      </c>
      <c r="W15" s="2262"/>
      <c r="X15" s="2262"/>
      <c r="Y15" s="2262"/>
      <c r="Z15" s="2262"/>
      <c r="AA15" s="2262"/>
      <c r="AB15" s="2262"/>
      <c r="AC15" s="2262"/>
      <c r="AD15" s="2263"/>
      <c r="AE15" s="2263"/>
      <c r="AF15" s="2263"/>
      <c r="AG15" s="2263"/>
      <c r="AH15" s="2263"/>
      <c r="AI15" s="2263"/>
      <c r="AJ15" s="2264"/>
    </row>
    <row r="16" spans="1:36" ht="15.6" thickBot="1">
      <c r="A16" s="2320"/>
      <c r="B16" s="2332" t="s">
        <v>2228</v>
      </c>
      <c r="C16" s="2333"/>
      <c r="D16" s="2333"/>
      <c r="E16" s="2333"/>
      <c r="F16" s="2333">
        <v>1</v>
      </c>
      <c r="G16" s="2333">
        <v>1</v>
      </c>
      <c r="H16" s="2333">
        <v>1</v>
      </c>
      <c r="I16" s="2333">
        <v>1</v>
      </c>
      <c r="J16" s="2334">
        <v>1</v>
      </c>
      <c r="O16" s="2259"/>
      <c r="P16" s="2259"/>
      <c r="Q16" s="2259"/>
      <c r="R16" s="477">
        <v>15</v>
      </c>
      <c r="S16" s="2269"/>
      <c r="T16" s="477" t="e">
        <f t="shared" si="0"/>
        <v>#VALUE!</v>
      </c>
      <c r="U16" s="2269"/>
      <c r="V16" s="477" t="e">
        <f t="shared" si="1"/>
        <v>#VALUE!</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3.8">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4.4"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3.8">
      <c r="A20" s="2315" t="s">
        <v>3073</v>
      </c>
      <c r="B20" s="2994" t="s">
        <v>2233</v>
      </c>
      <c r="C20" s="2994">
        <f>ROUND(IF(F21="与级别开发程度一致",0,(G21-E21)/C21),0)</f>
        <v>0</v>
      </c>
      <c r="D20" s="3289" t="s">
        <v>2237</v>
      </c>
      <c r="E20" s="3290"/>
      <c r="F20" s="3289" t="s">
        <v>2234</v>
      </c>
      <c r="G20" s="3290"/>
      <c r="H20" s="2347" t="s">
        <v>3096</v>
      </c>
      <c r="I20" s="2347" t="s">
        <v>3097</v>
      </c>
      <c r="J20" s="2989" t="s">
        <v>3098</v>
      </c>
      <c r="K20" s="2347" t="s">
        <v>3098</v>
      </c>
      <c r="L20" s="2347" t="s">
        <v>3099</v>
      </c>
      <c r="M20" s="2347" t="s">
        <v>3100</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7" thickBot="1">
      <c r="A21" s="2349"/>
      <c r="B21" s="2350" t="s">
        <v>2236</v>
      </c>
      <c r="C21" s="482">
        <f>IF(E3="M4科研用地",SUMPRODUCT((修正!A2:A7=E3)*(修正!B1:M1=G2)*(修正!B2:M7)),SUMPRODUCT((修正!A2:A7=E2)*(修正!B1:M1=G2)*(修正!B2:M7)))</f>
        <v>0</v>
      </c>
      <c r="D21" s="497" t="str">
        <f>IF(OR(G2="八级",G2="九级",G2="十级",G2="十一级",G2="十二级"),"五通一平","七通一平")</f>
        <v>七通一平</v>
      </c>
      <c r="E21" s="484">
        <f>SUMPRODUCT((修正!B1:M1=G2)*(修正!B17:M17))</f>
        <v>0</v>
      </c>
      <c r="F21" s="2351" t="s">
        <v>3101</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8.2"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1.0210999999999999</v>
      </c>
      <c r="D23" s="2359" t="s">
        <v>2241</v>
      </c>
      <c r="E23" s="2843">
        <v>44197</v>
      </c>
      <c r="F23" s="2359" t="s">
        <v>2242</v>
      </c>
      <c r="G23" s="2842">
        <f>项目基本情况!D3</f>
        <v>44889</v>
      </c>
      <c r="H23" s="2361" t="s">
        <v>3102</v>
      </c>
      <c r="I23" s="2360" t="str">
        <f>IF(H23="季度增幅（自定义）",SUMIF(N25:N28,E2,O25:O28),"")</f>
        <v/>
      </c>
      <c r="J23" s="2982" t="s">
        <v>3103</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6" thickBot="1">
      <c r="A24" s="2363" t="s">
        <v>573</v>
      </c>
      <c r="B24" s="2364" t="s">
        <v>2245</v>
      </c>
      <c r="C24" s="2364" t="e">
        <f>ROUND(POWER(1+G24,J24-I24)*(POWER(1+G24,I24)-1)/(POWER(1+G24,J24)-1),4)</f>
        <v>#VALUE!</v>
      </c>
      <c r="D24" s="2365" t="s">
        <v>2246</v>
      </c>
      <c r="E24" s="2365">
        <f>存贷款利率!E20/100</f>
        <v>4.3499999999999997E-2</v>
      </c>
      <c r="F24" s="2365" t="s">
        <v>2238</v>
      </c>
      <c r="G24" s="2366">
        <f>SUMIF(M30:Q30,E2,M33:Q33)</f>
        <v>5.5E-2</v>
      </c>
      <c r="H24" s="2365" t="s">
        <v>2247</v>
      </c>
      <c r="I24" s="2367" t="str">
        <f>项目基本情况!E15</f>
        <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4.4">
      <c r="A25" s="2372" t="s">
        <v>574</v>
      </c>
      <c r="B25" s="2373" t="s">
        <v>3104</v>
      </c>
      <c r="C25" s="491">
        <f>IF(B25="容积率修正",IF(G3&lt;10,D26,J26),C27)</f>
        <v>0</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4">
      <c r="A26" s="2379" t="s">
        <v>2253</v>
      </c>
      <c r="B26" s="493" t="s">
        <v>2254</v>
      </c>
      <c r="C26" s="493" t="s">
        <v>2899</v>
      </c>
      <c r="D26" s="493">
        <f>IF(E26=G26,F26,IF(G3&lt;10,ROUND(F26+(H26-F26)*(G3-E26)/(G26-E26),4),"——"))</f>
        <v>0</v>
      </c>
      <c r="E26" s="493">
        <f>ROUNDDOWN(G3,1)</f>
        <v>2.8</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93">
        <f>ROUNDUP(G3,1)</f>
        <v>2.8</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4.4">
      <c r="A30" s="2399"/>
      <c r="B30" s="493" t="s">
        <v>2262</v>
      </c>
      <c r="C30" s="2400" t="e">
        <f>IF(B25="容积率修正",E33+SUM(E37:E42),SUM(V2:V16)+SUM(E37:E42))</f>
        <v>#VALUE!</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 thickBot="1">
      <c r="A31" s="2399"/>
      <c r="B31" s="2407" t="s">
        <v>2263</v>
      </c>
      <c r="C31" s="2408" t="e">
        <f>E34+SUM(I37:I42)</f>
        <v>#VALUE!</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3.8">
      <c r="A33" s="2294"/>
      <c r="B33" s="2419" t="s">
        <v>2268</v>
      </c>
      <c r="C33" s="495" t="e">
        <f>ROUND(C5*C22*C23*C24*C25*C28,0)</f>
        <v>#VALUE!</v>
      </c>
      <c r="D33" s="2420">
        <f>'[2]数据-汇总表'!$F$20</f>
        <v>43991.720000000016</v>
      </c>
      <c r="E33" s="2998" t="e">
        <f>ROUND(C33*D33/10000,0)</f>
        <v>#VALUE!</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8" thickBot="1">
      <c r="A34" s="2349"/>
      <c r="B34" s="485" t="s">
        <v>2270</v>
      </c>
      <c r="C34" s="497" t="e">
        <f>ROUND(IF(E2="工业",C33*M42,IF(B25="楼层修正",SUM(V2:V16)*M41*10000/D34,C33*M41)),0)</f>
        <v>#VALUE!</v>
      </c>
      <c r="D34" s="2427"/>
      <c r="E34" s="2998" t="e">
        <f>ROUND(IF(B25="楼层修正",SUM(V2:V16)*M41,C34*D34/10000),0)</f>
        <v>#VALUE!</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6" thickBot="1">
      <c r="A36" s="2294"/>
      <c r="B36" s="2434"/>
      <c r="C36" s="2435" t="s">
        <v>2265</v>
      </c>
      <c r="D36" s="2436" t="s">
        <v>2266</v>
      </c>
      <c r="E36" s="2436" t="s">
        <v>2267</v>
      </c>
      <c r="F36" s="473" t="s">
        <v>2274</v>
      </c>
      <c r="G36" s="2437" t="s">
        <v>2265</v>
      </c>
      <c r="H36" s="2437" t="s">
        <v>2266</v>
      </c>
      <c r="I36" s="2437" t="s">
        <v>2267</v>
      </c>
      <c r="J36" s="2995"/>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6" thickBot="1">
      <c r="A37" s="3277"/>
      <c r="B37" s="2439" t="s">
        <v>2275</v>
      </c>
      <c r="C37" s="495" t="e">
        <f>ROUND(D5*C22*C23*C24*C28*F37,0)</f>
        <v>#VALUE!</v>
      </c>
      <c r="D37" s="2420"/>
      <c r="E37" s="473" t="e">
        <f>ROUND(C37*D37/10000,0)</f>
        <v>#VALUE!</v>
      </c>
      <c r="F37" s="473">
        <f>SUMIF(修正!A57:A68,G2,修正!B57:B68)</f>
        <v>0</v>
      </c>
      <c r="G37" s="473" t="e">
        <f>ROUND(IF(E2="工业",C37*$M$42,C37*$M$41),0)</f>
        <v>#VALUE!</v>
      </c>
      <c r="H37" s="473">
        <f>D37</f>
        <v>0</v>
      </c>
      <c r="I37" s="473" t="e">
        <f>ROUND(G37*H37/10000,0)</f>
        <v>#VALUE!</v>
      </c>
      <c r="J37" s="327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8"/>
      <c r="B38" s="2321" t="s">
        <v>2276</v>
      </c>
      <c r="C38" s="495" t="e">
        <f>ROUND(D5*C22*C23*C24*C28*F38,0)</f>
        <v>#VALUE!</v>
      </c>
      <c r="D38" s="2420"/>
      <c r="E38" s="473" t="e">
        <f t="shared" ref="E38:E42" si="4">ROUND(C38*D38/10000,0)</f>
        <v>#VALUE!</v>
      </c>
      <c r="F38" s="473">
        <f>SUMIF(修正!A57:A68,G2,修正!C57:C68)</f>
        <v>0</v>
      </c>
      <c r="G38" s="473" t="e">
        <f>ROUND(IF(E2="工业",C38*$M$42,C38*$M$41),0)</f>
        <v>#VALUE!</v>
      </c>
      <c r="H38" s="473">
        <f t="shared" ref="H38:H42" si="5">D38</f>
        <v>0</v>
      </c>
      <c r="I38" s="473" t="e">
        <f t="shared" ref="I38:I42" si="6">ROUND(G38*H38/10000,0)</f>
        <v>#VALUE!</v>
      </c>
      <c r="J38" s="3278"/>
      <c r="K38" s="2259">
        <v>5.0000000000000001E-3</v>
      </c>
      <c r="L38" s="2259"/>
      <c r="M38" s="2259"/>
      <c r="N38" s="2259"/>
      <c r="O38" s="2259"/>
      <c r="P38" s="2259"/>
      <c r="Q38" s="2259"/>
      <c r="R38" s="2259"/>
      <c r="S38" s="2259"/>
      <c r="T38" s="2259"/>
      <c r="U38" s="2259"/>
      <c r="V38" s="2259"/>
      <c r="W38" s="2259"/>
      <c r="X38" s="2259"/>
      <c r="Y38" s="2259"/>
      <c r="Z38" s="2259"/>
    </row>
    <row r="39" spans="1:30" ht="13.8" thickBot="1">
      <c r="A39" s="3278"/>
      <c r="B39" s="2321" t="s">
        <v>2940</v>
      </c>
      <c r="C39" s="495" t="e">
        <f>ROUND(D5*C22*C23*C24*C28*F39,0)</f>
        <v>#VALUE!</v>
      </c>
      <c r="D39" s="2420"/>
      <c r="E39" s="473" t="e">
        <f t="shared" si="4"/>
        <v>#VALUE!</v>
      </c>
      <c r="F39" s="473">
        <f>SUMIF(修正!A57:A68,G2,修正!D57:D68)</f>
        <v>0</v>
      </c>
      <c r="G39" s="473" t="e">
        <f>ROUND(IF(E2="工业",C39*$M$42,C39*$M$41),0)</f>
        <v>#VALUE!</v>
      </c>
      <c r="H39" s="473">
        <f t="shared" si="5"/>
        <v>0</v>
      </c>
      <c r="I39" s="473" t="e">
        <f t="shared" si="6"/>
        <v>#VALUE!</v>
      </c>
      <c r="J39" s="327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t="e">
        <f>ROUND(D5*C22*C23*C24*C28*F40,0)</f>
        <v>#VALUE!</v>
      </c>
      <c r="D40" s="2420"/>
      <c r="E40" s="473" t="e">
        <f t="shared" si="4"/>
        <v>#VALUE!</v>
      </c>
      <c r="F40" s="495">
        <f>SUMIF(修正!A57:A68,G2,修正!E57:E68)</f>
        <v>0</v>
      </c>
      <c r="G40" s="473" t="e">
        <f>ROUND(IF(E2="工业",C40*$M$42,C40*$M$41),0)</f>
        <v>#VALUE!</v>
      </c>
      <c r="H40" s="473">
        <f t="shared" si="5"/>
        <v>0</v>
      </c>
      <c r="I40" s="473" t="e">
        <f t="shared" si="6"/>
        <v>#VALUE!</v>
      </c>
      <c r="J40" s="2442"/>
      <c r="L40" s="2443" t="s">
        <v>2278</v>
      </c>
      <c r="M40" s="2292"/>
    </row>
    <row r="41" spans="1:30" s="2259" customFormat="1">
      <c r="A41" s="2441"/>
      <c r="B41" s="2321" t="s">
        <v>2279</v>
      </c>
      <c r="C41" s="473">
        <f>ROUND(D5*C22*C23*C44*C28*F41,0)</f>
        <v>0</v>
      </c>
      <c r="D41" s="2420"/>
      <c r="E41" s="473">
        <f t="shared" si="4"/>
        <v>0</v>
      </c>
      <c r="F41" s="495">
        <f>SUMIF(修正!A57:A68,G2,修正!F57:F68)</f>
        <v>0</v>
      </c>
      <c r="G41" s="473">
        <f>ROUND(IF(E2="工业",C41*$M$42,C41*$M$41),0)</f>
        <v>0</v>
      </c>
      <c r="H41" s="473">
        <f t="shared" si="5"/>
        <v>0</v>
      </c>
      <c r="I41" s="473">
        <f t="shared" si="6"/>
        <v>0</v>
      </c>
      <c r="J41" s="2442"/>
      <c r="L41" s="1468" t="s">
        <v>3045</v>
      </c>
      <c r="M41" s="2444">
        <v>0.25</v>
      </c>
    </row>
    <row r="42" spans="1:30" s="2259" customFormat="1" ht="13.8" thickBot="1">
      <c r="A42" s="2349"/>
      <c r="B42" s="2445" t="s">
        <v>2280</v>
      </c>
      <c r="C42" s="497">
        <f>ROUND(D5*C22*C23*C44*C28*F42,0)</f>
        <v>0</v>
      </c>
      <c r="D42" s="2427"/>
      <c r="E42" s="497">
        <f t="shared" si="4"/>
        <v>0</v>
      </c>
      <c r="F42" s="496">
        <f>SUMIF(修正!A57:A68,G2,修正!G57:G68)</f>
        <v>0</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2991">
        <f>G24</f>
        <v>5.5E-2</v>
      </c>
      <c r="F44" s="473" t="s">
        <v>2247</v>
      </c>
      <c r="G44" s="1035"/>
      <c r="H44" s="473">
        <v>50</v>
      </c>
    </row>
    <row r="45" spans="1:30" s="2259" customFormat="1"/>
    <row r="46" spans="1:30" s="2259" customFormat="1"/>
    <row r="47" spans="1:30" s="2259" customFormat="1"/>
    <row r="48" spans="1:30" s="2259" customFormat="1" ht="15" thickBot="1">
      <c r="A48" s="2446" t="s">
        <v>2281</v>
      </c>
      <c r="B48" s="2447"/>
      <c r="C48" s="1074"/>
      <c r="D48" s="1074"/>
      <c r="E48" s="1074"/>
      <c r="F48" s="2448"/>
      <c r="G48" s="2448"/>
      <c r="H48" s="2448"/>
      <c r="I48" s="2448"/>
      <c r="J48" s="2448"/>
      <c r="K48" s="2448"/>
      <c r="L48" s="2448"/>
      <c r="M48" s="2448"/>
    </row>
    <row r="49" spans="1:14" s="2259" customFormat="1" ht="14.4">
      <c r="A49" s="2449" t="s">
        <v>2282</v>
      </c>
      <c r="B49" s="2450">
        <f>1+E51</f>
        <v>1</v>
      </c>
      <c r="C49" s="2451"/>
      <c r="D49" s="2452"/>
      <c r="E49" s="2453"/>
      <c r="F49" s="2454"/>
      <c r="G49" s="2448"/>
      <c r="H49" s="2448"/>
      <c r="I49" s="2448"/>
      <c r="J49" s="2448"/>
      <c r="K49" s="2448"/>
      <c r="L49" s="2448"/>
      <c r="M49" s="2448"/>
    </row>
    <row r="50" spans="1:14" s="2259" customFormat="1" ht="25.2">
      <c r="A50" s="2455" t="s">
        <v>2283</v>
      </c>
      <c r="B50" s="2991" t="s">
        <v>2284</v>
      </c>
      <c r="C50" s="2991" t="s">
        <v>2285</v>
      </c>
      <c r="D50" s="2991" t="s">
        <v>2286</v>
      </c>
      <c r="E50" s="2414" t="s">
        <v>2287</v>
      </c>
      <c r="F50" s="2456" t="s">
        <v>2288</v>
      </c>
      <c r="G50" s="2457" t="s">
        <v>517</v>
      </c>
      <c r="H50" s="502" t="s">
        <v>2289</v>
      </c>
      <c r="I50" s="2991" t="s">
        <v>2290</v>
      </c>
      <c r="J50" s="2990" t="s">
        <v>1956</v>
      </c>
      <c r="K50" s="2990" t="s">
        <v>1957</v>
      </c>
      <c r="L50" s="2990" t="s">
        <v>1958</v>
      </c>
      <c r="M50" s="2990" t="s">
        <v>1959</v>
      </c>
      <c r="N50" s="2990" t="s">
        <v>1960</v>
      </c>
    </row>
    <row r="51" spans="1:14" s="2259" customFormat="1" ht="39.6">
      <c r="A51" s="2455" t="s">
        <v>2291</v>
      </c>
      <c r="B51" s="2991" t="str">
        <f>估价对象房地状况!C4</f>
        <v>估价对象位于XX商圈，周边商业氛围成熟，人流量大，商业繁华度好</v>
      </c>
      <c r="C51" s="2325" t="s">
        <v>3105</v>
      </c>
      <c r="D51" s="2991">
        <f t="shared" ref="D51:D59" si="7">SUMIF($J$50:$N$50,C51,J51:N51)</f>
        <v>0</v>
      </c>
      <c r="E51" s="2458">
        <f>ROUND(SUM(D51:D59),4)</f>
        <v>0</v>
      </c>
      <c r="F51" s="2329">
        <f>IF(E2="商业",SUMIF(L1:L12,G2,N1:N12),"——")</f>
        <v>0</v>
      </c>
      <c r="G51" s="2459">
        <f>H51</f>
        <v>0</v>
      </c>
      <c r="H51" s="2460">
        <f t="shared" ref="H51:H59" si="8">IFERROR(ROUNDDOWN($F$51*I51/2,4),"——")</f>
        <v>0</v>
      </c>
      <c r="I51" s="2991">
        <v>0.3</v>
      </c>
      <c r="J51" s="493">
        <f t="shared" ref="J51:J59" si="9">K51+$G51</f>
        <v>0</v>
      </c>
      <c r="K51" s="493">
        <f t="shared" ref="K51:K59" si="10">$L51+$G51</f>
        <v>0</v>
      </c>
      <c r="L51" s="493">
        <v>0</v>
      </c>
      <c r="M51" s="493">
        <f t="shared" ref="M51:N59" si="11">L51-$G51</f>
        <v>0</v>
      </c>
      <c r="N51" s="493">
        <f t="shared" si="11"/>
        <v>0</v>
      </c>
    </row>
    <row r="52" spans="1:14" s="2259" customFormat="1" ht="52.8">
      <c r="A52" s="2455" t="s">
        <v>2292</v>
      </c>
      <c r="B52" s="2991" t="str">
        <f>估价对象房地状况!C18</f>
        <v>估价对象周边道路状况、公共交通通达情况、停车便捷程度，综合评价交通便捷度较好</v>
      </c>
      <c r="C52" s="2325" t="s">
        <v>3105</v>
      </c>
      <c r="D52" s="2991">
        <f t="shared" si="7"/>
        <v>0</v>
      </c>
      <c r="E52" s="2461"/>
      <c r="F52" s="2402"/>
      <c r="G52" s="2459">
        <f t="shared" ref="G52:G59" si="12">H52</f>
        <v>0</v>
      </c>
      <c r="H52" s="2460">
        <f t="shared" si="8"/>
        <v>0</v>
      </c>
      <c r="I52" s="2991">
        <v>0.22</v>
      </c>
      <c r="J52" s="493">
        <f t="shared" si="9"/>
        <v>0</v>
      </c>
      <c r="K52" s="493">
        <f t="shared" si="10"/>
        <v>0</v>
      </c>
      <c r="L52" s="493">
        <v>0</v>
      </c>
      <c r="M52" s="493">
        <f t="shared" si="11"/>
        <v>0</v>
      </c>
      <c r="N52" s="493">
        <f t="shared" si="11"/>
        <v>0</v>
      </c>
    </row>
    <row r="53" spans="1:14" s="2259" customFormat="1" ht="48">
      <c r="A53" s="2462" t="s">
        <v>2814</v>
      </c>
      <c r="B53" s="2991">
        <f>估价对象房地状况!C19</f>
        <v>0</v>
      </c>
      <c r="C53" s="2325" t="s">
        <v>3105</v>
      </c>
      <c r="D53" s="2991">
        <f t="shared" si="7"/>
        <v>0</v>
      </c>
      <c r="E53" s="2461"/>
      <c r="F53" s="2402"/>
      <c r="G53" s="2459">
        <f t="shared" si="12"/>
        <v>0</v>
      </c>
      <c r="H53" s="2460">
        <f t="shared" si="8"/>
        <v>0</v>
      </c>
      <c r="I53" s="2991">
        <v>0.12</v>
      </c>
      <c r="J53" s="493">
        <f t="shared" si="9"/>
        <v>0</v>
      </c>
      <c r="K53" s="493">
        <f t="shared" si="10"/>
        <v>0</v>
      </c>
      <c r="L53" s="493">
        <v>0</v>
      </c>
      <c r="M53" s="493">
        <f t="shared" si="11"/>
        <v>0</v>
      </c>
      <c r="N53" s="493">
        <f t="shared" si="11"/>
        <v>0</v>
      </c>
    </row>
    <row r="54" spans="1:14" s="2259" customFormat="1" ht="37.200000000000003">
      <c r="A54" s="2455" t="s">
        <v>2293</v>
      </c>
      <c r="B54" s="2463" t="s">
        <v>2294</v>
      </c>
      <c r="C54" s="2325" t="s">
        <v>3105</v>
      </c>
      <c r="D54" s="2991">
        <f t="shared" si="7"/>
        <v>0</v>
      </c>
      <c r="E54" s="2461"/>
      <c r="F54" s="2402"/>
      <c r="G54" s="2459">
        <f t="shared" si="12"/>
        <v>0</v>
      </c>
      <c r="H54" s="2460">
        <f t="shared" si="8"/>
        <v>0</v>
      </c>
      <c r="I54" s="2991">
        <v>0.05</v>
      </c>
      <c r="J54" s="493">
        <f t="shared" si="9"/>
        <v>0</v>
      </c>
      <c r="K54" s="493">
        <f t="shared" si="10"/>
        <v>0</v>
      </c>
      <c r="L54" s="493">
        <v>0</v>
      </c>
      <c r="M54" s="493">
        <f t="shared" si="11"/>
        <v>0</v>
      </c>
      <c r="N54" s="493">
        <f t="shared" si="11"/>
        <v>0</v>
      </c>
    </row>
    <row r="55" spans="1:14" s="2259" customFormat="1" ht="24">
      <c r="A55" s="2455" t="s">
        <v>2295</v>
      </c>
      <c r="B55" s="2991">
        <f>估价对象房地状况!C24</f>
        <v>0</v>
      </c>
      <c r="C55" s="2325" t="s">
        <v>3106</v>
      </c>
      <c r="D55" s="2991">
        <f t="shared" si="7"/>
        <v>0</v>
      </c>
      <c r="E55" s="2461"/>
      <c r="F55" s="2402"/>
      <c r="G55" s="2459">
        <f t="shared" si="12"/>
        <v>0</v>
      </c>
      <c r="H55" s="2460">
        <f t="shared" si="8"/>
        <v>0</v>
      </c>
      <c r="I55" s="2991">
        <v>0.08</v>
      </c>
      <c r="J55" s="493">
        <f t="shared" si="9"/>
        <v>0</v>
      </c>
      <c r="K55" s="493">
        <f t="shared" si="10"/>
        <v>0</v>
      </c>
      <c r="L55" s="493">
        <v>0</v>
      </c>
      <c r="M55" s="493">
        <f t="shared" si="11"/>
        <v>0</v>
      </c>
      <c r="N55" s="493">
        <f t="shared" si="11"/>
        <v>0</v>
      </c>
    </row>
    <row r="56" spans="1:14" s="2259" customFormat="1" ht="36">
      <c r="A56" s="2455" t="s">
        <v>2296</v>
      </c>
      <c r="B56" s="2464" t="s">
        <v>2297</v>
      </c>
      <c r="C56" s="2325" t="s">
        <v>3105</v>
      </c>
      <c r="D56" s="2991">
        <f t="shared" si="7"/>
        <v>0</v>
      </c>
      <c r="E56" s="2461"/>
      <c r="F56" s="2402"/>
      <c r="G56" s="2459">
        <f t="shared" si="12"/>
        <v>0</v>
      </c>
      <c r="H56" s="2460">
        <f t="shared" si="8"/>
        <v>0</v>
      </c>
      <c r="I56" s="2991">
        <v>0.05</v>
      </c>
      <c r="J56" s="493">
        <f t="shared" si="9"/>
        <v>0</v>
      </c>
      <c r="K56" s="493">
        <f t="shared" si="10"/>
        <v>0</v>
      </c>
      <c r="L56" s="493">
        <v>0</v>
      </c>
      <c r="M56" s="493">
        <f t="shared" si="11"/>
        <v>0</v>
      </c>
      <c r="N56" s="493">
        <f t="shared" si="11"/>
        <v>0</v>
      </c>
    </row>
    <row r="57" spans="1:14" s="2259" customFormat="1" ht="26.4">
      <c r="A57" s="2465" t="s">
        <v>2298</v>
      </c>
      <c r="B57" s="2992" t="str">
        <f>估价对象房地状况!C21</f>
        <v>估价对象所在区域公共配套设施齐备情况</v>
      </c>
      <c r="C57" s="2325" t="s">
        <v>3105</v>
      </c>
      <c r="D57" s="2991">
        <f t="shared" si="7"/>
        <v>0</v>
      </c>
      <c r="E57" s="2461"/>
      <c r="F57" s="2402"/>
      <c r="G57" s="2459">
        <f t="shared" si="12"/>
        <v>0</v>
      </c>
      <c r="H57" s="2460">
        <f t="shared" si="8"/>
        <v>0</v>
      </c>
      <c r="I57" s="2991">
        <v>0.05</v>
      </c>
      <c r="J57" s="493">
        <f t="shared" si="9"/>
        <v>0</v>
      </c>
      <c r="K57" s="493">
        <f t="shared" si="10"/>
        <v>0</v>
      </c>
      <c r="L57" s="493">
        <v>0</v>
      </c>
      <c r="M57" s="493">
        <f t="shared" si="11"/>
        <v>0</v>
      </c>
      <c r="N57" s="493">
        <f t="shared" si="11"/>
        <v>0</v>
      </c>
    </row>
    <row r="58" spans="1:14" s="2259" customFormat="1" ht="26.4">
      <c r="A58" s="2465" t="s">
        <v>2299</v>
      </c>
      <c r="B58" s="2991" t="str">
        <f>估价对象房地状况!C22</f>
        <v>估价对象所在区域基础设施水平</v>
      </c>
      <c r="C58" s="2325" t="s">
        <v>3107</v>
      </c>
      <c r="D58" s="2991">
        <f t="shared" si="7"/>
        <v>0</v>
      </c>
      <c r="E58" s="2461"/>
      <c r="F58" s="2402"/>
      <c r="G58" s="2459">
        <f t="shared" si="12"/>
        <v>0</v>
      </c>
      <c r="H58" s="2460">
        <f t="shared" si="8"/>
        <v>0</v>
      </c>
      <c r="I58" s="2991">
        <v>0.08</v>
      </c>
      <c r="J58" s="493">
        <f t="shared" si="9"/>
        <v>0</v>
      </c>
      <c r="K58" s="493">
        <f t="shared" si="10"/>
        <v>0</v>
      </c>
      <c r="L58" s="493">
        <v>0</v>
      </c>
      <c r="M58" s="493">
        <f t="shared" si="11"/>
        <v>0</v>
      </c>
      <c r="N58" s="493">
        <f t="shared" si="11"/>
        <v>0</v>
      </c>
    </row>
    <row r="59" spans="1:14" s="2259" customFormat="1" ht="36.6" thickBot="1">
      <c r="A59" s="2466" t="s">
        <v>2300</v>
      </c>
      <c r="B59" s="2467" t="str">
        <f>估价对象房地状况!C20</f>
        <v>区域自然环境：；人文环境；综合评价环境状况一般</v>
      </c>
      <c r="C59" s="2325" t="s">
        <v>3105</v>
      </c>
      <c r="D59" s="2991">
        <f t="shared" si="7"/>
        <v>0</v>
      </c>
      <c r="E59" s="487"/>
      <c r="F59" s="2402"/>
      <c r="G59" s="2459">
        <f t="shared" si="12"/>
        <v>0</v>
      </c>
      <c r="H59" s="2460">
        <f t="shared" si="8"/>
        <v>0</v>
      </c>
      <c r="I59" s="2468">
        <v>0.05</v>
      </c>
      <c r="J59" s="493">
        <f t="shared" si="9"/>
        <v>0</v>
      </c>
      <c r="K59" s="493">
        <f t="shared" si="10"/>
        <v>0</v>
      </c>
      <c r="L59" s="493">
        <v>0</v>
      </c>
      <c r="M59" s="493">
        <f t="shared" si="11"/>
        <v>0</v>
      </c>
      <c r="N59" s="493">
        <f t="shared" si="11"/>
        <v>0</v>
      </c>
    </row>
    <row r="60" spans="1:14" s="2259" customFormat="1" ht="14.4">
      <c r="A60" s="2449" t="s">
        <v>2301</v>
      </c>
      <c r="B60" s="2450">
        <f>1+E62</f>
        <v>1</v>
      </c>
      <c r="C60" s="2469"/>
      <c r="D60" s="2469"/>
      <c r="E60" s="2470"/>
      <c r="F60" s="2454"/>
      <c r="G60" s="2448"/>
      <c r="H60" s="2448"/>
      <c r="I60" s="2448"/>
      <c r="J60" s="2448"/>
      <c r="K60" s="2448"/>
      <c r="L60" s="2448"/>
      <c r="M60" s="2448"/>
      <c r="N60" s="2448"/>
    </row>
    <row r="61" spans="1:14" s="2259" customFormat="1" ht="25.2">
      <c r="A61" s="2455" t="s">
        <v>2283</v>
      </c>
      <c r="B61" s="2991"/>
      <c r="C61" s="2991" t="s">
        <v>2285</v>
      </c>
      <c r="D61" s="2991" t="s">
        <v>2286</v>
      </c>
      <c r="E61" s="2414" t="s">
        <v>2287</v>
      </c>
      <c r="F61" s="2456" t="s">
        <v>2302</v>
      </c>
      <c r="G61" s="2991" t="s">
        <v>517</v>
      </c>
      <c r="H61" s="502" t="s">
        <v>2289</v>
      </c>
      <c r="I61" s="2991" t="s">
        <v>2290</v>
      </c>
      <c r="J61" s="2990" t="s">
        <v>1956</v>
      </c>
      <c r="K61" s="2990" t="s">
        <v>1957</v>
      </c>
      <c r="L61" s="2990" t="s">
        <v>1958</v>
      </c>
      <c r="M61" s="2990" t="s">
        <v>1959</v>
      </c>
      <c r="N61" s="2990" t="s">
        <v>1960</v>
      </c>
    </row>
    <row r="62" spans="1:14" s="2259" customFormat="1" ht="39.6">
      <c r="A62" s="2455" t="s">
        <v>2303</v>
      </c>
      <c r="B62" s="2991" t="str">
        <f>估价对象房地状况!C17</f>
        <v>估价对象位于XX商圈，周边办公楼项目较多，入驻率高，办公集聚程度较好</v>
      </c>
      <c r="C62" s="2325"/>
      <c r="D62" s="2991">
        <f>SUMIF($J$61:$N$61,C62,J62:N62)</f>
        <v>0</v>
      </c>
      <c r="E62" s="2458">
        <f>ROUND(SUM(D62:D70),4)</f>
        <v>0</v>
      </c>
      <c r="F62" s="2329" t="str">
        <f>IF(E2="办公",SUMIF(L1:L12,G2,N1:N12),"——")</f>
        <v>——</v>
      </c>
      <c r="G62" s="2459"/>
      <c r="H62" s="2460" t="str">
        <f t="shared" ref="H62:H70" si="13">IFERROR(ROUNDDOWN($F$62*I62/2,4),"——")</f>
        <v>——</v>
      </c>
      <c r="I62" s="2991">
        <v>0.25</v>
      </c>
      <c r="J62" s="493">
        <f t="shared" ref="J62:J70" si="14">K62+$G62</f>
        <v>0</v>
      </c>
      <c r="K62" s="493">
        <f t="shared" ref="K62:K70" si="15">$L62+$G62</f>
        <v>0</v>
      </c>
      <c r="L62" s="493">
        <v>0</v>
      </c>
      <c r="M62" s="493">
        <f t="shared" ref="M62:N70" si="16">L62-$G62</f>
        <v>0</v>
      </c>
      <c r="N62" s="493">
        <f t="shared" si="16"/>
        <v>0</v>
      </c>
    </row>
    <row r="63" spans="1:14" s="2259" customFormat="1" ht="52.8">
      <c r="A63" s="2455" t="s">
        <v>2292</v>
      </c>
      <c r="B63" s="2991" t="str">
        <f>估价对象房地状况!C18</f>
        <v>估价对象周边道路状况、公共交通通达情况、停车便捷程度，综合评价交通便捷度较好</v>
      </c>
      <c r="C63" s="2325"/>
      <c r="D63" s="2991">
        <f t="shared" ref="D63:D70" si="17">SUMIF($J$61:$N$61,C63,J63:N63)</f>
        <v>0</v>
      </c>
      <c r="E63" s="2461"/>
      <c r="F63" s="2402"/>
      <c r="G63" s="2459"/>
      <c r="H63" s="2460" t="str">
        <f t="shared" si="13"/>
        <v>——</v>
      </c>
      <c r="I63" s="2991">
        <v>0.26</v>
      </c>
      <c r="J63" s="493">
        <f t="shared" si="14"/>
        <v>0</v>
      </c>
      <c r="K63" s="493">
        <f t="shared" si="15"/>
        <v>0</v>
      </c>
      <c r="L63" s="493">
        <v>0</v>
      </c>
      <c r="M63" s="493">
        <f t="shared" si="16"/>
        <v>0</v>
      </c>
      <c r="N63" s="493">
        <f t="shared" si="16"/>
        <v>0</v>
      </c>
    </row>
    <row r="64" spans="1:14" s="2259" customFormat="1" ht="48">
      <c r="A64" s="2462" t="s">
        <v>2814</v>
      </c>
      <c r="B64" s="2991">
        <f>估价对象房地状况!C19</f>
        <v>0</v>
      </c>
      <c r="C64" s="2325"/>
      <c r="D64" s="2991">
        <f t="shared" si="17"/>
        <v>0</v>
      </c>
      <c r="E64" s="2461"/>
      <c r="F64" s="2402"/>
      <c r="G64" s="2459"/>
      <c r="H64" s="2460" t="str">
        <f t="shared" si="13"/>
        <v>——</v>
      </c>
      <c r="I64" s="2991">
        <v>0.11</v>
      </c>
      <c r="J64" s="493">
        <f t="shared" si="14"/>
        <v>0</v>
      </c>
      <c r="K64" s="493">
        <f t="shared" si="15"/>
        <v>0</v>
      </c>
      <c r="L64" s="493">
        <v>0</v>
      </c>
      <c r="M64" s="493">
        <f t="shared" si="16"/>
        <v>0</v>
      </c>
      <c r="N64" s="493">
        <f t="shared" si="16"/>
        <v>0</v>
      </c>
    </row>
    <row r="65" spans="1:33" s="2259" customFormat="1" ht="37.200000000000003">
      <c r="A65" s="2455" t="s">
        <v>2293</v>
      </c>
      <c r="B65" s="2463" t="s">
        <v>2294</v>
      </c>
      <c r="C65" s="2325"/>
      <c r="D65" s="2991">
        <f t="shared" si="17"/>
        <v>0</v>
      </c>
      <c r="E65" s="2461"/>
      <c r="F65" s="2402"/>
      <c r="G65" s="2459"/>
      <c r="H65" s="2460" t="str">
        <f t="shared" si="13"/>
        <v>——</v>
      </c>
      <c r="I65" s="2991">
        <v>0.05</v>
      </c>
      <c r="J65" s="493">
        <f t="shared" si="14"/>
        <v>0</v>
      </c>
      <c r="K65" s="493">
        <f t="shared" si="15"/>
        <v>0</v>
      </c>
      <c r="L65" s="493">
        <v>0</v>
      </c>
      <c r="M65" s="493">
        <f t="shared" si="16"/>
        <v>0</v>
      </c>
      <c r="N65" s="493">
        <f t="shared" si="16"/>
        <v>0</v>
      </c>
    </row>
    <row r="66" spans="1:33" s="2259" customFormat="1" ht="24">
      <c r="A66" s="2455" t="s">
        <v>2295</v>
      </c>
      <c r="B66" s="2991">
        <f>估价对象房地状况!C24</f>
        <v>0</v>
      </c>
      <c r="C66" s="2325"/>
      <c r="D66" s="2991">
        <f t="shared" si="17"/>
        <v>0</v>
      </c>
      <c r="E66" s="2461"/>
      <c r="F66" s="2402"/>
      <c r="G66" s="2459"/>
      <c r="H66" s="2460" t="str">
        <f t="shared" si="13"/>
        <v>——</v>
      </c>
      <c r="I66" s="2991">
        <v>0.05</v>
      </c>
      <c r="J66" s="493">
        <f t="shared" si="14"/>
        <v>0</v>
      </c>
      <c r="K66" s="493">
        <f t="shared" si="15"/>
        <v>0</v>
      </c>
      <c r="L66" s="493">
        <v>0</v>
      </c>
      <c r="M66" s="493">
        <f t="shared" si="16"/>
        <v>0</v>
      </c>
      <c r="N66" s="493">
        <f t="shared" si="16"/>
        <v>0</v>
      </c>
    </row>
    <row r="67" spans="1:33" s="2259" customFormat="1" ht="36">
      <c r="A67" s="2455" t="s">
        <v>2296</v>
      </c>
      <c r="B67" s="2464" t="s">
        <v>2297</v>
      </c>
      <c r="C67" s="2325"/>
      <c r="D67" s="2991">
        <f t="shared" si="17"/>
        <v>0</v>
      </c>
      <c r="E67" s="2461"/>
      <c r="F67" s="2402"/>
      <c r="G67" s="2459"/>
      <c r="H67" s="2460" t="str">
        <f t="shared" si="13"/>
        <v>——</v>
      </c>
      <c r="I67" s="2991">
        <v>0.06</v>
      </c>
      <c r="J67" s="493">
        <f t="shared" si="14"/>
        <v>0</v>
      </c>
      <c r="K67" s="493">
        <f t="shared" si="15"/>
        <v>0</v>
      </c>
      <c r="L67" s="493">
        <v>0</v>
      </c>
      <c r="M67" s="493">
        <f t="shared" si="16"/>
        <v>0</v>
      </c>
      <c r="N67" s="493">
        <f t="shared" si="16"/>
        <v>0</v>
      </c>
    </row>
    <row r="68" spans="1:33" s="2259" customFormat="1" ht="26.4">
      <c r="A68" s="2455" t="s">
        <v>2298</v>
      </c>
      <c r="B68" s="2992" t="str">
        <f>估价对象房地状况!C21</f>
        <v>估价对象所在区域公共配套设施齐备情况</v>
      </c>
      <c r="C68" s="2325"/>
      <c r="D68" s="2991">
        <f t="shared" si="17"/>
        <v>0</v>
      </c>
      <c r="E68" s="2461"/>
      <c r="F68" s="2402"/>
      <c r="G68" s="2459"/>
      <c r="H68" s="2460" t="str">
        <f t="shared" si="13"/>
        <v>——</v>
      </c>
      <c r="I68" s="2991">
        <v>0.06</v>
      </c>
      <c r="J68" s="493">
        <f t="shared" si="14"/>
        <v>0</v>
      </c>
      <c r="K68" s="493">
        <f t="shared" si="15"/>
        <v>0</v>
      </c>
      <c r="L68" s="493">
        <v>0</v>
      </c>
      <c r="M68" s="493">
        <f t="shared" si="16"/>
        <v>0</v>
      </c>
      <c r="N68" s="493">
        <f t="shared" si="16"/>
        <v>0</v>
      </c>
    </row>
    <row r="69" spans="1:33" s="2259" customFormat="1" ht="26.4">
      <c r="A69" s="2455" t="s">
        <v>2299</v>
      </c>
      <c r="B69" s="2992" t="str">
        <f>估价对象房地状况!C22</f>
        <v>估价对象所在区域基础设施水平</v>
      </c>
      <c r="C69" s="2325"/>
      <c r="D69" s="2991">
        <f t="shared" si="17"/>
        <v>0</v>
      </c>
      <c r="E69" s="2461"/>
      <c r="F69" s="2402"/>
      <c r="G69" s="2459"/>
      <c r="H69" s="2460" t="str">
        <f t="shared" si="13"/>
        <v>——</v>
      </c>
      <c r="I69" s="2991">
        <v>0.09</v>
      </c>
      <c r="J69" s="493">
        <f t="shared" si="14"/>
        <v>0</v>
      </c>
      <c r="K69" s="493">
        <f t="shared" si="15"/>
        <v>0</v>
      </c>
      <c r="L69" s="493">
        <v>0</v>
      </c>
      <c r="M69" s="493">
        <f t="shared" si="16"/>
        <v>0</v>
      </c>
      <c r="N69" s="493">
        <f t="shared" si="16"/>
        <v>0</v>
      </c>
    </row>
    <row r="70" spans="1:33" s="2259" customFormat="1" ht="36.6" thickBot="1">
      <c r="A70" s="2466" t="s">
        <v>2300</v>
      </c>
      <c r="B70" s="2468" t="str">
        <f>估价对象房地状况!C20</f>
        <v>区域自然环境：；人文环境；综合评价环境状况一般</v>
      </c>
      <c r="C70" s="2325"/>
      <c r="D70" s="2991">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4.4">
      <c r="A71" s="2449" t="s">
        <v>2304</v>
      </c>
      <c r="B71" s="2450">
        <f>1+E73</f>
        <v>1</v>
      </c>
      <c r="C71" s="2452"/>
      <c r="D71" s="2452"/>
      <c r="E71" s="2453"/>
      <c r="F71" s="2471"/>
      <c r="G71" s="2448"/>
      <c r="H71" s="2448"/>
      <c r="I71" s="2448"/>
      <c r="J71" s="2448"/>
      <c r="K71" s="2448"/>
      <c r="L71" s="2448"/>
      <c r="M71" s="2448"/>
      <c r="N71" s="2448"/>
    </row>
    <row r="72" spans="1:33" s="2259" customFormat="1" ht="25.2">
      <c r="A72" s="2455" t="s">
        <v>2283</v>
      </c>
      <c r="B72" s="2991"/>
      <c r="C72" s="2991" t="s">
        <v>2285</v>
      </c>
      <c r="D72" s="2991" t="s">
        <v>2286</v>
      </c>
      <c r="E72" s="2414" t="s">
        <v>2287</v>
      </c>
      <c r="F72" s="2456" t="s">
        <v>2302</v>
      </c>
      <c r="G72" s="2991" t="s">
        <v>517</v>
      </c>
      <c r="H72" s="502" t="s">
        <v>2289</v>
      </c>
      <c r="I72" s="2991" t="s">
        <v>2290</v>
      </c>
      <c r="J72" s="2990" t="s">
        <v>1956</v>
      </c>
      <c r="K72" s="2990" t="s">
        <v>1957</v>
      </c>
      <c r="L72" s="2990" t="s">
        <v>1958</v>
      </c>
      <c r="M72" s="2990" t="s">
        <v>1959</v>
      </c>
      <c r="N72" s="2990" t="s">
        <v>1960</v>
      </c>
    </row>
    <row r="73" spans="1:33" s="2259" customFormat="1" ht="52.8">
      <c r="A73" s="2462" t="s">
        <v>2816</v>
      </c>
      <c r="B73" s="2991" t="str">
        <f>估价对象房地状况!C15</f>
        <v>估价对象周边居住用地比例、居住小区规模和社区发展完善程度，综合评价居住社区成熟度一般</v>
      </c>
      <c r="C73" s="2325"/>
      <c r="D73" s="2991">
        <f t="shared" ref="D73:D81" si="18">SUMIF($J$72:$N$72,C73,J73:N73)</f>
        <v>0</v>
      </c>
      <c r="E73" s="2458">
        <f>ROUND(SUM(D73:D81),4)</f>
        <v>0</v>
      </c>
      <c r="F73" s="2329" t="str">
        <f>IF(E2="住宅",SUMIF(L1:L12,G2,N1:N12),"——")</f>
        <v>——</v>
      </c>
      <c r="G73" s="2459"/>
      <c r="H73" s="2460" t="str">
        <f t="shared" ref="H73:H81" si="19">IFERROR(ROUNDDOWN($F$73*I73/2,4),"——")</f>
        <v>——</v>
      </c>
      <c r="I73" s="2991">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52.8">
      <c r="A74" s="2455" t="s">
        <v>2292</v>
      </c>
      <c r="B74" s="2991" t="str">
        <f>估价对象房地状况!C18</f>
        <v>估价对象周边道路状况、公共交通通达情况、停车便捷程度，综合评价交通便捷度较好</v>
      </c>
      <c r="C74" s="2325"/>
      <c r="D74" s="2991">
        <f t="shared" si="18"/>
        <v>0</v>
      </c>
      <c r="E74" s="2461"/>
      <c r="F74" s="2329"/>
      <c r="G74" s="2459"/>
      <c r="H74" s="2460" t="str">
        <f t="shared" si="19"/>
        <v>——</v>
      </c>
      <c r="I74" s="2991">
        <v>0.26</v>
      </c>
      <c r="J74" s="493">
        <f t="shared" si="20"/>
        <v>0</v>
      </c>
      <c r="K74" s="493">
        <f t="shared" si="21"/>
        <v>0</v>
      </c>
      <c r="L74" s="493">
        <v>0</v>
      </c>
      <c r="M74" s="493">
        <f t="shared" si="22"/>
        <v>0</v>
      </c>
      <c r="N74" s="493">
        <f t="shared" si="22"/>
        <v>0</v>
      </c>
      <c r="S74" s="2261"/>
      <c r="T74" s="2261"/>
      <c r="U74" s="2261"/>
      <c r="V74" s="2261"/>
      <c r="W74" s="2261"/>
      <c r="X74" s="2261"/>
      <c r="Y74" s="2261"/>
    </row>
    <row r="75" spans="1:33" ht="48">
      <c r="A75" s="2462" t="s">
        <v>2814</v>
      </c>
      <c r="B75" s="2991">
        <f>估价对象房地状况!C19</f>
        <v>0</v>
      </c>
      <c r="C75" s="2325"/>
      <c r="D75" s="2991">
        <f t="shared" si="18"/>
        <v>0</v>
      </c>
      <c r="E75" s="2461"/>
      <c r="F75" s="2329"/>
      <c r="G75" s="2459"/>
      <c r="H75" s="2460" t="str">
        <f t="shared" si="19"/>
        <v>——</v>
      </c>
      <c r="I75" s="2991">
        <v>0.1</v>
      </c>
      <c r="J75" s="493">
        <f t="shared" si="20"/>
        <v>0</v>
      </c>
      <c r="K75" s="493">
        <f t="shared" si="21"/>
        <v>0</v>
      </c>
      <c r="L75" s="493">
        <v>0</v>
      </c>
      <c r="M75" s="493">
        <f t="shared" si="22"/>
        <v>0</v>
      </c>
      <c r="N75" s="493">
        <f t="shared" si="22"/>
        <v>0</v>
      </c>
      <c r="O75" s="2259"/>
      <c r="P75" s="2259"/>
      <c r="Q75" s="2259"/>
      <c r="AA75" s="2261"/>
      <c r="AG75" s="2259"/>
    </row>
    <row r="76" spans="1:33" ht="13.8">
      <c r="A76" s="2455" t="s">
        <v>2305</v>
      </c>
      <c r="B76" s="2991">
        <f>估价对象房地状况!C24</f>
        <v>0</v>
      </c>
      <c r="C76" s="2325"/>
      <c r="D76" s="2991">
        <f t="shared" si="18"/>
        <v>0</v>
      </c>
      <c r="E76" s="2461"/>
      <c r="F76" s="2329"/>
      <c r="G76" s="2459"/>
      <c r="H76" s="2460" t="str">
        <f t="shared" si="19"/>
        <v>——</v>
      </c>
      <c r="I76" s="2991">
        <v>0.05</v>
      </c>
      <c r="J76" s="493">
        <f t="shared" si="20"/>
        <v>0</v>
      </c>
      <c r="K76" s="493">
        <f t="shared" si="21"/>
        <v>0</v>
      </c>
      <c r="L76" s="493">
        <v>0</v>
      </c>
      <c r="M76" s="493">
        <f t="shared" si="22"/>
        <v>0</v>
      </c>
      <c r="N76" s="493">
        <f t="shared" si="22"/>
        <v>0</v>
      </c>
      <c r="O76" s="2259"/>
      <c r="P76" s="2259"/>
      <c r="Q76" s="2259"/>
      <c r="AA76" s="2261"/>
      <c r="AG76" s="2259"/>
    </row>
    <row r="77" spans="1:33" ht="26.4">
      <c r="A77" s="2455" t="s">
        <v>2298</v>
      </c>
      <c r="B77" s="2992" t="str">
        <f>估价对象房地状况!C21</f>
        <v>估价对象所在区域公共配套设施齐备情况</v>
      </c>
      <c r="C77" s="2325"/>
      <c r="D77" s="2991">
        <f t="shared" si="18"/>
        <v>0</v>
      </c>
      <c r="E77" s="2461"/>
      <c r="F77" s="2329"/>
      <c r="G77" s="2459"/>
      <c r="H77" s="2460" t="str">
        <f t="shared" si="19"/>
        <v>——</v>
      </c>
      <c r="I77" s="2991">
        <v>0.08</v>
      </c>
      <c r="J77" s="493">
        <f t="shared" si="20"/>
        <v>0</v>
      </c>
      <c r="K77" s="493">
        <f t="shared" si="21"/>
        <v>0</v>
      </c>
      <c r="L77" s="493">
        <v>0</v>
      </c>
      <c r="M77" s="493">
        <f t="shared" si="22"/>
        <v>0</v>
      </c>
      <c r="N77" s="493">
        <f t="shared" si="22"/>
        <v>0</v>
      </c>
      <c r="O77" s="2259"/>
      <c r="P77" s="2259"/>
      <c r="Q77" s="2259"/>
      <c r="AA77" s="2261"/>
      <c r="AG77" s="2259"/>
    </row>
    <row r="78" spans="1:33" ht="26.4">
      <c r="A78" s="2455" t="s">
        <v>2299</v>
      </c>
      <c r="B78" s="2992" t="str">
        <f>估价对象房地状况!C22</f>
        <v>估价对象所在区域基础设施水平</v>
      </c>
      <c r="C78" s="2325"/>
      <c r="D78" s="2991">
        <f t="shared" si="18"/>
        <v>0</v>
      </c>
      <c r="E78" s="2461"/>
      <c r="F78" s="2329"/>
      <c r="G78" s="2459"/>
      <c r="H78" s="2460" t="str">
        <f t="shared" si="19"/>
        <v>——</v>
      </c>
      <c r="I78" s="2991">
        <v>0.09</v>
      </c>
      <c r="J78" s="493">
        <f t="shared" si="20"/>
        <v>0</v>
      </c>
      <c r="K78" s="493">
        <f t="shared" si="21"/>
        <v>0</v>
      </c>
      <c r="L78" s="493">
        <v>0</v>
      </c>
      <c r="M78" s="493">
        <f t="shared" si="22"/>
        <v>0</v>
      </c>
      <c r="N78" s="493">
        <f t="shared" si="22"/>
        <v>0</v>
      </c>
      <c r="O78" s="2259"/>
      <c r="P78" s="2259"/>
      <c r="Q78" s="2259"/>
      <c r="AA78" s="2261"/>
      <c r="AG78" s="2259"/>
    </row>
    <row r="79" spans="1:33" ht="36">
      <c r="A79" s="2455" t="s">
        <v>2296</v>
      </c>
      <c r="B79" s="2464" t="s">
        <v>2297</v>
      </c>
      <c r="C79" s="2325"/>
      <c r="D79" s="2991">
        <f t="shared" si="18"/>
        <v>0</v>
      </c>
      <c r="E79" s="2461"/>
      <c r="F79" s="2329"/>
      <c r="G79" s="2459"/>
      <c r="H79" s="2460" t="str">
        <f t="shared" si="19"/>
        <v>——</v>
      </c>
      <c r="I79" s="2991">
        <v>0.05</v>
      </c>
      <c r="J79" s="493">
        <f t="shared" si="20"/>
        <v>0</v>
      </c>
      <c r="K79" s="493">
        <f t="shared" si="21"/>
        <v>0</v>
      </c>
      <c r="L79" s="493">
        <v>0</v>
      </c>
      <c r="M79" s="493">
        <f t="shared" si="22"/>
        <v>0</v>
      </c>
      <c r="N79" s="493">
        <f t="shared" si="22"/>
        <v>0</v>
      </c>
      <c r="AA79" s="2261"/>
      <c r="AG79" s="2259"/>
    </row>
    <row r="80" spans="1:33" ht="36">
      <c r="A80" s="2455" t="s">
        <v>2300</v>
      </c>
      <c r="B80" s="2991" t="str">
        <f>估价对象房地状况!C20</f>
        <v>区域自然环境：；人文环境；综合评价环境状况一般</v>
      </c>
      <c r="C80" s="2325"/>
      <c r="D80" s="2991">
        <f t="shared" si="18"/>
        <v>0</v>
      </c>
      <c r="E80" s="2461"/>
      <c r="F80" s="2329"/>
      <c r="G80" s="2459"/>
      <c r="H80" s="2460" t="str">
        <f t="shared" si="19"/>
        <v>——</v>
      </c>
      <c r="I80" s="2991">
        <v>0.12</v>
      </c>
      <c r="J80" s="493">
        <f t="shared" si="20"/>
        <v>0</v>
      </c>
      <c r="K80" s="493">
        <f t="shared" si="21"/>
        <v>0</v>
      </c>
      <c r="L80" s="493">
        <v>0</v>
      </c>
      <c r="M80" s="493">
        <f t="shared" si="22"/>
        <v>0</v>
      </c>
      <c r="N80" s="493">
        <f t="shared" si="22"/>
        <v>0</v>
      </c>
      <c r="AA80" s="2261"/>
      <c r="AG80" s="2259"/>
    </row>
    <row r="81" spans="1:33" ht="36.6" thickBot="1">
      <c r="A81" s="2466" t="s">
        <v>2306</v>
      </c>
      <c r="B81" s="2472"/>
      <c r="C81" s="2325"/>
      <c r="D81" s="2991">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4.4">
      <c r="A82" s="2449" t="s">
        <v>2307</v>
      </c>
      <c r="B82" s="2450">
        <f>1+E84</f>
        <v>1</v>
      </c>
      <c r="C82" s="2452"/>
      <c r="D82" s="2452"/>
      <c r="E82" s="2453"/>
      <c r="F82" s="2471"/>
      <c r="G82" s="2448"/>
      <c r="H82" s="2448"/>
      <c r="I82" s="2448"/>
      <c r="J82" s="2448"/>
      <c r="K82" s="2448"/>
      <c r="L82" s="2448"/>
      <c r="M82" s="2448"/>
      <c r="N82" s="2448"/>
      <c r="AA82" s="2261"/>
      <c r="AG82" s="2259"/>
    </row>
    <row r="83" spans="1:33" ht="25.2">
      <c r="A83" s="2455" t="s">
        <v>2283</v>
      </c>
      <c r="B83" s="2991"/>
      <c r="C83" s="2991" t="s">
        <v>2285</v>
      </c>
      <c r="D83" s="2991" t="s">
        <v>2286</v>
      </c>
      <c r="E83" s="2414" t="s">
        <v>2287</v>
      </c>
      <c r="F83" s="2456" t="s">
        <v>2302</v>
      </c>
      <c r="G83" s="2991" t="s">
        <v>517</v>
      </c>
      <c r="H83" s="502" t="s">
        <v>2289</v>
      </c>
      <c r="I83" s="2991" t="s">
        <v>2290</v>
      </c>
      <c r="J83" s="2990" t="s">
        <v>1956</v>
      </c>
      <c r="K83" s="2990" t="s">
        <v>1957</v>
      </c>
      <c r="L83" s="2990" t="s">
        <v>1958</v>
      </c>
      <c r="M83" s="2990" t="s">
        <v>1959</v>
      </c>
      <c r="N83" s="2990" t="s">
        <v>1960</v>
      </c>
      <c r="AA83" s="2261"/>
      <c r="AG83" s="2259"/>
    </row>
    <row r="84" spans="1:33" ht="39.6">
      <c r="A84" s="2455" t="s">
        <v>2308</v>
      </c>
      <c r="B84" s="2991" t="str">
        <f>估价对象房地状况!G15</f>
        <v>估价对象位于XX开发区，园区建设成熟度XX，产业集聚程度XX</v>
      </c>
      <c r="C84" s="2325"/>
      <c r="D84" s="2991">
        <f t="shared" ref="D84:D91" si="23">SUMIF($J$83:$N$83,C84,J84:N84)</f>
        <v>0</v>
      </c>
      <c r="E84" s="2458">
        <f>ROUND(SUM(D84:D91),4)</f>
        <v>0</v>
      </c>
      <c r="F84" s="2329" t="str">
        <f>IF(E2="工业",SUMIF(L1:L12,G2,N1:N12),"——")</f>
        <v>——</v>
      </c>
      <c r="G84" s="2459"/>
      <c r="H84" s="2460" t="str">
        <f t="shared" ref="H84:H91" si="24">IFERROR(ROUNDDOWN($F$84*I84/2,4),"——")</f>
        <v>——</v>
      </c>
      <c r="I84" s="2991">
        <v>0.26</v>
      </c>
      <c r="J84" s="493">
        <f t="shared" ref="J84:J91" si="25">K84+$G84</f>
        <v>0</v>
      </c>
      <c r="K84" s="493">
        <f t="shared" ref="K84:K91" si="26">$L84+$G84</f>
        <v>0</v>
      </c>
      <c r="L84" s="493">
        <v>0</v>
      </c>
      <c r="M84" s="493">
        <f t="shared" ref="M84:N91" si="27">L84-$G84</f>
        <v>0</v>
      </c>
      <c r="N84" s="493">
        <f t="shared" si="27"/>
        <v>0</v>
      </c>
      <c r="AA84" s="2261"/>
      <c r="AG84" s="2259"/>
    </row>
    <row r="85" spans="1:33" ht="52.8">
      <c r="A85" s="2455" t="s">
        <v>2292</v>
      </c>
      <c r="B85" s="2991" t="str">
        <f>估价对象房地状况!G16</f>
        <v>估价对象周边道路状况、公共交通通达情况、停车便捷程度，综合评价交通便捷度较好</v>
      </c>
      <c r="C85" s="2325"/>
      <c r="D85" s="2991">
        <f t="shared" si="23"/>
        <v>0</v>
      </c>
      <c r="E85" s="2461"/>
      <c r="F85" s="2329"/>
      <c r="G85" s="2459"/>
      <c r="H85" s="2460" t="str">
        <f t="shared" si="24"/>
        <v>——</v>
      </c>
      <c r="I85" s="2991">
        <v>0.3</v>
      </c>
      <c r="J85" s="493">
        <f t="shared" si="25"/>
        <v>0</v>
      </c>
      <c r="K85" s="493">
        <f t="shared" si="26"/>
        <v>0</v>
      </c>
      <c r="L85" s="493">
        <v>0</v>
      </c>
      <c r="M85" s="493">
        <f t="shared" si="27"/>
        <v>0</v>
      </c>
      <c r="N85" s="493">
        <f t="shared" si="27"/>
        <v>0</v>
      </c>
      <c r="AA85" s="2261"/>
      <c r="AG85" s="2259"/>
    </row>
    <row r="86" spans="1:33" ht="48">
      <c r="A86" s="2462" t="s">
        <v>2815</v>
      </c>
      <c r="B86" s="2991">
        <f>估价对象房地状况!G17</f>
        <v>0</v>
      </c>
      <c r="C86" s="2325"/>
      <c r="D86" s="2991">
        <f t="shared" si="23"/>
        <v>0</v>
      </c>
      <c r="E86" s="2461"/>
      <c r="F86" s="2329"/>
      <c r="G86" s="2459"/>
      <c r="H86" s="2460" t="str">
        <f t="shared" si="24"/>
        <v>——</v>
      </c>
      <c r="I86" s="2991">
        <v>0.1</v>
      </c>
      <c r="J86" s="493">
        <f t="shared" si="25"/>
        <v>0</v>
      </c>
      <c r="K86" s="493">
        <f t="shared" si="26"/>
        <v>0</v>
      </c>
      <c r="L86" s="493">
        <v>0</v>
      </c>
      <c r="M86" s="493">
        <f t="shared" si="27"/>
        <v>0</v>
      </c>
      <c r="N86" s="493">
        <f t="shared" si="27"/>
        <v>0</v>
      </c>
      <c r="AA86" s="2261"/>
      <c r="AG86" s="2259"/>
    </row>
    <row r="87" spans="1:33" ht="13.8">
      <c r="A87" s="2455" t="s">
        <v>2305</v>
      </c>
      <c r="B87" s="2991">
        <f>估价对象房地状况!G22</f>
        <v>0</v>
      </c>
      <c r="C87" s="2325"/>
      <c r="D87" s="2991">
        <f t="shared" si="23"/>
        <v>0</v>
      </c>
      <c r="E87" s="2461"/>
      <c r="F87" s="2329"/>
      <c r="G87" s="2459"/>
      <c r="H87" s="2460" t="str">
        <f t="shared" si="24"/>
        <v>——</v>
      </c>
      <c r="I87" s="2991">
        <v>0.05</v>
      </c>
      <c r="J87" s="493">
        <f t="shared" si="25"/>
        <v>0</v>
      </c>
      <c r="K87" s="493">
        <f t="shared" si="26"/>
        <v>0</v>
      </c>
      <c r="L87" s="493">
        <v>0</v>
      </c>
      <c r="M87" s="493">
        <f t="shared" si="27"/>
        <v>0</v>
      </c>
      <c r="N87" s="493">
        <f t="shared" si="27"/>
        <v>0</v>
      </c>
      <c r="AA87" s="2261"/>
      <c r="AG87" s="2259"/>
    </row>
    <row r="88" spans="1:33" ht="26.4">
      <c r="A88" s="2455" t="s">
        <v>2298</v>
      </c>
      <c r="B88" s="2992" t="str">
        <f>估价对象房地状况!G19</f>
        <v>估价对象所在区域公共配套设施齐备情况</v>
      </c>
      <c r="C88" s="2325"/>
      <c r="D88" s="2991">
        <f t="shared" si="23"/>
        <v>0</v>
      </c>
      <c r="E88" s="2461"/>
      <c r="F88" s="2329"/>
      <c r="G88" s="2459"/>
      <c r="H88" s="2460" t="str">
        <f t="shared" si="24"/>
        <v>——</v>
      </c>
      <c r="I88" s="2991">
        <v>0.06</v>
      </c>
      <c r="J88" s="493">
        <f t="shared" si="25"/>
        <v>0</v>
      </c>
      <c r="K88" s="493">
        <f t="shared" si="26"/>
        <v>0</v>
      </c>
      <c r="L88" s="493">
        <v>0</v>
      </c>
      <c r="M88" s="493">
        <f t="shared" si="27"/>
        <v>0</v>
      </c>
      <c r="N88" s="493">
        <f t="shared" si="27"/>
        <v>0</v>
      </c>
    </row>
    <row r="89" spans="1:33" ht="26.4">
      <c r="A89" s="2455" t="s">
        <v>2299</v>
      </c>
      <c r="B89" s="2992" t="str">
        <f>估价对象房地状况!G20</f>
        <v>估价对象所在区域基础设施水平</v>
      </c>
      <c r="C89" s="2325"/>
      <c r="D89" s="2991">
        <f t="shared" si="23"/>
        <v>0</v>
      </c>
      <c r="E89" s="2461"/>
      <c r="F89" s="2329"/>
      <c r="G89" s="2459"/>
      <c r="H89" s="2460" t="str">
        <f t="shared" si="24"/>
        <v>——</v>
      </c>
      <c r="I89" s="2991">
        <v>0.12</v>
      </c>
      <c r="J89" s="493">
        <f t="shared" si="25"/>
        <v>0</v>
      </c>
      <c r="K89" s="493">
        <f t="shared" si="26"/>
        <v>0</v>
      </c>
      <c r="L89" s="493">
        <v>0</v>
      </c>
      <c r="M89" s="493">
        <f t="shared" si="27"/>
        <v>0</v>
      </c>
      <c r="N89" s="493">
        <f t="shared" si="27"/>
        <v>0</v>
      </c>
    </row>
    <row r="90" spans="1:33" ht="36">
      <c r="A90" s="2455" t="s">
        <v>2296</v>
      </c>
      <c r="B90" s="2464" t="s">
        <v>2309</v>
      </c>
      <c r="C90" s="2325"/>
      <c r="D90" s="2991">
        <f t="shared" si="23"/>
        <v>0</v>
      </c>
      <c r="E90" s="2461"/>
      <c r="F90" s="2329"/>
      <c r="G90" s="2459"/>
      <c r="H90" s="2460" t="str">
        <f t="shared" si="24"/>
        <v>——</v>
      </c>
      <c r="I90" s="2991">
        <v>0.06</v>
      </c>
      <c r="J90" s="493">
        <f t="shared" si="25"/>
        <v>0</v>
      </c>
      <c r="K90" s="493">
        <f t="shared" si="26"/>
        <v>0</v>
      </c>
      <c r="L90" s="493">
        <v>0</v>
      </c>
      <c r="M90" s="493">
        <f t="shared" si="27"/>
        <v>0</v>
      </c>
      <c r="N90" s="493">
        <f t="shared" si="27"/>
        <v>0</v>
      </c>
    </row>
    <row r="91" spans="1:33" ht="40.200000000000003" thickBot="1">
      <c r="A91" s="2466" t="s">
        <v>2310</v>
      </c>
      <c r="B91" s="2468" t="str">
        <f>估价对象房地状况!G18</f>
        <v>该园区内是否有污染型企业，绿化情况，卫生条件，整体环境状况判断</v>
      </c>
      <c r="C91" s="2325"/>
      <c r="D91" s="2991">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3.8">
      <c r="A92" s="2449" t="s">
        <v>2817</v>
      </c>
      <c r="B92" s="2450">
        <f>1+E94</f>
        <v>1</v>
      </c>
      <c r="C92" s="2473"/>
      <c r="D92" s="2473"/>
      <c r="E92" s="2473"/>
      <c r="F92" s="2473"/>
      <c r="S92" s="2259"/>
      <c r="T92" s="2259"/>
      <c r="U92" s="2259"/>
      <c r="V92" s="2259"/>
      <c r="W92" s="2259"/>
      <c r="X92" s="2259"/>
      <c r="Y92" s="2259"/>
    </row>
    <row r="93" spans="1:33" s="2259" customFormat="1" ht="25.2">
      <c r="A93" s="2455" t="s">
        <v>2283</v>
      </c>
      <c r="B93" s="2991"/>
      <c r="C93" s="2991" t="s">
        <v>2285</v>
      </c>
      <c r="D93" s="2991" t="s">
        <v>2286</v>
      </c>
      <c r="E93" s="2414" t="s">
        <v>2287</v>
      </c>
      <c r="F93" s="2456" t="s">
        <v>2302</v>
      </c>
      <c r="G93" s="2991" t="s">
        <v>517</v>
      </c>
      <c r="H93" s="502" t="s">
        <v>2289</v>
      </c>
      <c r="I93" s="2991" t="s">
        <v>2290</v>
      </c>
      <c r="J93" s="2990" t="s">
        <v>1956</v>
      </c>
      <c r="K93" s="2990" t="s">
        <v>1957</v>
      </c>
      <c r="L93" s="2990" t="s">
        <v>1958</v>
      </c>
      <c r="M93" s="2990" t="s">
        <v>1959</v>
      </c>
      <c r="N93" s="2990" t="s">
        <v>1960</v>
      </c>
    </row>
    <row r="94" spans="1:33" s="2259" customFormat="1" ht="24">
      <c r="A94" s="2462" t="s">
        <v>2818</v>
      </c>
      <c r="B94" s="605"/>
      <c r="C94" s="2325"/>
      <c r="D94" s="2991">
        <f>SUMIF($J$93:$N$93,C94,J94:N94)</f>
        <v>0</v>
      </c>
      <c r="E94" s="2458">
        <f>ROUND(SUM(D94:D102),4)</f>
        <v>0</v>
      </c>
      <c r="F94" s="2329" t="str">
        <f>IF(E2="公共服务",SUMIF(L1:L12,G2,N1:N12),"——")</f>
        <v>——</v>
      </c>
      <c r="G94" s="2459"/>
      <c r="H94" s="2460" t="str">
        <f>IFERROR(ROUNDDOWN($F$94*I94/2,4),"——")</f>
        <v>——</v>
      </c>
      <c r="I94" s="2991">
        <v>0.25</v>
      </c>
      <c r="J94" s="493">
        <f t="shared" ref="J94:J102" si="28">K94+$G94</f>
        <v>0</v>
      </c>
      <c r="K94" s="493">
        <f t="shared" ref="K94:K102" si="29">$L94+$G94</f>
        <v>0</v>
      </c>
      <c r="L94" s="493">
        <v>0</v>
      </c>
      <c r="M94" s="493">
        <f t="shared" ref="M94:N102" si="30">L94-$G94</f>
        <v>0</v>
      </c>
      <c r="N94" s="493">
        <f t="shared" si="30"/>
        <v>0</v>
      </c>
    </row>
    <row r="95" spans="1:33" s="2259" customFormat="1" ht="52.8">
      <c r="A95" s="2455" t="s">
        <v>2292</v>
      </c>
      <c r="B95" s="2991" t="str">
        <f>估价对象房地状况!C18</f>
        <v>估价对象周边道路状况、公共交通通达情况、停车便捷程度，综合评价交通便捷度较好</v>
      </c>
      <c r="C95" s="2325"/>
      <c r="D95" s="2991">
        <f t="shared" ref="D95:D102" si="31">SUMIF($J$61:$N$61,C95,J95:N95)</f>
        <v>0</v>
      </c>
      <c r="E95" s="2461"/>
      <c r="F95" s="2329"/>
      <c r="G95" s="2459"/>
      <c r="H95" s="2460" t="str">
        <f>IFERROR(ROUNDDOWN($F$94*I95/2,4),"——")</f>
        <v>——</v>
      </c>
      <c r="I95" s="2991">
        <v>0.26</v>
      </c>
      <c r="J95" s="493">
        <f t="shared" si="28"/>
        <v>0</v>
      </c>
      <c r="K95" s="493">
        <f t="shared" si="29"/>
        <v>0</v>
      </c>
      <c r="L95" s="493">
        <v>0</v>
      </c>
      <c r="M95" s="493">
        <f t="shared" si="30"/>
        <v>0</v>
      </c>
      <c r="N95" s="493">
        <f t="shared" si="30"/>
        <v>0</v>
      </c>
    </row>
    <row r="96" spans="1:33" s="2259" customFormat="1" ht="48">
      <c r="A96" s="2462" t="s">
        <v>2814</v>
      </c>
      <c r="B96" s="2991">
        <f>估价对象房地状况!C19</f>
        <v>0</v>
      </c>
      <c r="C96" s="2325"/>
      <c r="D96" s="2991">
        <f t="shared" si="31"/>
        <v>0</v>
      </c>
      <c r="E96" s="2461"/>
      <c r="F96" s="2329"/>
      <c r="G96" s="2459"/>
      <c r="H96" s="2460" t="str">
        <f t="shared" ref="H96:H102" si="32">IFERROR(ROUNDDOWN($F$94*I96/2,4),"——")</f>
        <v>——</v>
      </c>
      <c r="I96" s="2991">
        <v>0.11</v>
      </c>
      <c r="J96" s="493">
        <f t="shared" si="28"/>
        <v>0</v>
      </c>
      <c r="K96" s="493">
        <f t="shared" si="29"/>
        <v>0</v>
      </c>
      <c r="L96" s="493">
        <v>0</v>
      </c>
      <c r="M96" s="493">
        <f t="shared" si="30"/>
        <v>0</v>
      </c>
      <c r="N96" s="493">
        <f t="shared" si="30"/>
        <v>0</v>
      </c>
    </row>
    <row r="97" spans="1:25" s="2259" customFormat="1" ht="37.200000000000003">
      <c r="A97" s="2455" t="s">
        <v>2293</v>
      </c>
      <c r="B97" s="2463" t="s">
        <v>2294</v>
      </c>
      <c r="C97" s="2325"/>
      <c r="D97" s="2991">
        <f t="shared" si="31"/>
        <v>0</v>
      </c>
      <c r="E97" s="2461"/>
      <c r="F97" s="2329"/>
      <c r="G97" s="2459"/>
      <c r="H97" s="2460" t="str">
        <f t="shared" si="32"/>
        <v>——</v>
      </c>
      <c r="I97" s="2991">
        <v>0.05</v>
      </c>
      <c r="J97" s="493">
        <f t="shared" si="28"/>
        <v>0</v>
      </c>
      <c r="K97" s="493">
        <f t="shared" si="29"/>
        <v>0</v>
      </c>
      <c r="L97" s="493">
        <v>0</v>
      </c>
      <c r="M97" s="493">
        <f t="shared" si="30"/>
        <v>0</v>
      </c>
      <c r="N97" s="493">
        <f t="shared" si="30"/>
        <v>0</v>
      </c>
    </row>
    <row r="98" spans="1:25" s="2259" customFormat="1" ht="24">
      <c r="A98" s="2455" t="s">
        <v>2295</v>
      </c>
      <c r="B98" s="2991">
        <f>估价对象房地状况!C24</f>
        <v>0</v>
      </c>
      <c r="C98" s="2325"/>
      <c r="D98" s="2991">
        <f t="shared" si="31"/>
        <v>0</v>
      </c>
      <c r="E98" s="2461"/>
      <c r="F98" s="2329"/>
      <c r="G98" s="2459"/>
      <c r="H98" s="2460" t="str">
        <f t="shared" si="32"/>
        <v>——</v>
      </c>
      <c r="I98" s="2991">
        <v>0.05</v>
      </c>
      <c r="J98" s="493">
        <f t="shared" si="28"/>
        <v>0</v>
      </c>
      <c r="K98" s="493">
        <f t="shared" si="29"/>
        <v>0</v>
      </c>
      <c r="L98" s="493">
        <v>0</v>
      </c>
      <c r="M98" s="493">
        <f t="shared" si="30"/>
        <v>0</v>
      </c>
      <c r="N98" s="493">
        <f t="shared" si="30"/>
        <v>0</v>
      </c>
    </row>
    <row r="99" spans="1:25" s="2259" customFormat="1" ht="36">
      <c r="A99" s="2455" t="s">
        <v>2296</v>
      </c>
      <c r="B99" s="2464" t="s">
        <v>2297</v>
      </c>
      <c r="C99" s="2325"/>
      <c r="D99" s="2991">
        <f t="shared" si="31"/>
        <v>0</v>
      </c>
      <c r="E99" s="2461"/>
      <c r="F99" s="2329"/>
      <c r="G99" s="2459"/>
      <c r="H99" s="2460" t="str">
        <f t="shared" si="32"/>
        <v>——</v>
      </c>
      <c r="I99" s="2991">
        <v>0.06</v>
      </c>
      <c r="J99" s="493">
        <f t="shared" si="28"/>
        <v>0</v>
      </c>
      <c r="K99" s="493">
        <f t="shared" si="29"/>
        <v>0</v>
      </c>
      <c r="L99" s="493">
        <v>0</v>
      </c>
      <c r="M99" s="493">
        <f t="shared" si="30"/>
        <v>0</v>
      </c>
      <c r="N99" s="493">
        <f t="shared" si="30"/>
        <v>0</v>
      </c>
    </row>
    <row r="100" spans="1:25" s="2259" customFormat="1" ht="26.4">
      <c r="A100" s="2455" t="s">
        <v>2298</v>
      </c>
      <c r="B100" s="2992" t="str">
        <f>估价对象房地状况!C21</f>
        <v>估价对象所在区域公共配套设施齐备情况</v>
      </c>
      <c r="C100" s="2325"/>
      <c r="D100" s="2991">
        <f t="shared" si="31"/>
        <v>0</v>
      </c>
      <c r="E100" s="2461"/>
      <c r="F100" s="2329"/>
      <c r="G100" s="2459"/>
      <c r="H100" s="2460" t="str">
        <f t="shared" si="32"/>
        <v>——</v>
      </c>
      <c r="I100" s="2991">
        <v>0.06</v>
      </c>
      <c r="J100" s="493">
        <f t="shared" si="28"/>
        <v>0</v>
      </c>
      <c r="K100" s="493">
        <f t="shared" si="29"/>
        <v>0</v>
      </c>
      <c r="L100" s="493">
        <v>0</v>
      </c>
      <c r="M100" s="493">
        <f t="shared" si="30"/>
        <v>0</v>
      </c>
      <c r="N100" s="493">
        <f t="shared" si="30"/>
        <v>0</v>
      </c>
    </row>
    <row r="101" spans="1:25" s="2259" customFormat="1" ht="26.4">
      <c r="A101" s="2455" t="s">
        <v>2299</v>
      </c>
      <c r="B101" s="2992" t="str">
        <f>估价对象房地状况!C22</f>
        <v>估价对象所在区域基础设施水平</v>
      </c>
      <c r="C101" s="2325"/>
      <c r="D101" s="2991">
        <f t="shared" si="31"/>
        <v>0</v>
      </c>
      <c r="E101" s="2461"/>
      <c r="F101" s="2329"/>
      <c r="G101" s="2459"/>
      <c r="H101" s="2460" t="str">
        <f t="shared" si="32"/>
        <v>——</v>
      </c>
      <c r="I101" s="2991">
        <v>0.09</v>
      </c>
      <c r="J101" s="493">
        <f t="shared" si="28"/>
        <v>0</v>
      </c>
      <c r="K101" s="493">
        <f t="shared" si="29"/>
        <v>0</v>
      </c>
      <c r="L101" s="493">
        <v>0</v>
      </c>
      <c r="M101" s="493">
        <f t="shared" si="30"/>
        <v>0</v>
      </c>
      <c r="N101" s="493">
        <f t="shared" si="30"/>
        <v>0</v>
      </c>
    </row>
    <row r="102" spans="1:25" s="2259" customFormat="1" ht="36.6" thickBot="1">
      <c r="A102" s="2466" t="s">
        <v>2300</v>
      </c>
      <c r="B102" s="2468" t="str">
        <f>估价对象房地状况!C20</f>
        <v>区域自然环境：；人文环境；综合评价环境状况一般</v>
      </c>
      <c r="C102" s="2325"/>
      <c r="D102" s="2991">
        <f t="shared" si="31"/>
        <v>0</v>
      </c>
      <c r="E102" s="487"/>
      <c r="F102" s="2329"/>
      <c r="G102" s="2459"/>
      <c r="H102" s="2460" t="str">
        <f t="shared" si="32"/>
        <v>——</v>
      </c>
      <c r="I102" s="2468">
        <v>7.0000000000000007E-2</v>
      </c>
      <c r="J102" s="493">
        <f t="shared" si="28"/>
        <v>0</v>
      </c>
      <c r="K102" s="493">
        <f t="shared" si="29"/>
        <v>0</v>
      </c>
      <c r="L102" s="493">
        <v>0</v>
      </c>
      <c r="M102" s="493">
        <f t="shared" si="30"/>
        <v>0</v>
      </c>
      <c r="N102" s="493">
        <f t="shared" si="30"/>
        <v>0</v>
      </c>
      <c r="S102" s="2261"/>
      <c r="T102" s="2261"/>
      <c r="U102" s="2261"/>
      <c r="V102" s="2261"/>
      <c r="W102" s="2261"/>
      <c r="X102" s="2261"/>
      <c r="Y102" s="2261"/>
    </row>
    <row r="103" spans="1:25" s="2259" customFormat="1" ht="13.8">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4" t="s">
        <v>2311</v>
      </c>
      <c r="B104" s="3274"/>
      <c r="C104" s="3274"/>
      <c r="D104" s="3274"/>
      <c r="E104" s="3274"/>
      <c r="F104" s="3274"/>
      <c r="G104" s="3274"/>
      <c r="H104" s="3274"/>
      <c r="I104" s="3274"/>
      <c r="J104" s="3274"/>
      <c r="K104" s="2996"/>
      <c r="L104" s="2996"/>
      <c r="M104" s="2996"/>
      <c r="N104" s="2996"/>
    </row>
    <row r="105" spans="1:25">
      <c r="A105" s="3276" t="s">
        <v>2312</v>
      </c>
      <c r="B105" s="3276" t="s">
        <v>2313</v>
      </c>
      <c r="C105" s="2422" t="s">
        <v>2314</v>
      </c>
      <c r="D105" s="2423"/>
      <c r="E105" s="2423"/>
      <c r="F105" s="2423"/>
      <c r="G105" s="2423"/>
      <c r="H105" s="2423"/>
      <c r="I105" s="2423"/>
      <c r="J105" s="2480"/>
      <c r="K105" s="2481"/>
      <c r="L105" s="2481"/>
      <c r="M105" s="2481"/>
      <c r="N105" s="2481"/>
    </row>
    <row r="106" spans="1:25">
      <c r="A106" s="3276"/>
      <c r="B106" s="3276"/>
      <c r="C106" s="2998" t="s">
        <v>2199</v>
      </c>
      <c r="D106" s="2998" t="s">
        <v>2200</v>
      </c>
      <c r="E106" s="2998" t="s">
        <v>2201</v>
      </c>
      <c r="F106" s="2998" t="s">
        <v>2202</v>
      </c>
      <c r="G106" s="2998" t="s">
        <v>2203</v>
      </c>
      <c r="H106" s="2998" t="s">
        <v>2204</v>
      </c>
      <c r="I106" s="2998" t="s">
        <v>2205</v>
      </c>
      <c r="J106" s="2998" t="s">
        <v>2206</v>
      </c>
      <c r="K106" s="2998" t="s">
        <v>2207</v>
      </c>
      <c r="L106" s="2998" t="s">
        <v>2208</v>
      </c>
      <c r="M106" s="2998" t="s">
        <v>2209</v>
      </c>
      <c r="N106" s="2998" t="s">
        <v>2210</v>
      </c>
    </row>
    <row r="107" spans="1:25">
      <c r="A107" s="3280" t="s">
        <v>2315</v>
      </c>
      <c r="B107" s="2998">
        <v>1</v>
      </c>
      <c r="C107" s="2998">
        <v>1.5206</v>
      </c>
      <c r="D107" s="2998">
        <v>1.5206</v>
      </c>
      <c r="E107" s="2998">
        <v>1.5019</v>
      </c>
      <c r="F107" s="2998">
        <v>1.5019</v>
      </c>
      <c r="G107" s="2998">
        <v>1.5019</v>
      </c>
      <c r="H107" s="2998">
        <v>1.5019</v>
      </c>
      <c r="I107" s="2998">
        <v>1.5019</v>
      </c>
      <c r="J107" s="2998">
        <v>1.5418000000000001</v>
      </c>
      <c r="K107" s="2998">
        <v>1.5418000000000001</v>
      </c>
      <c r="L107" s="2998">
        <v>1.5418000000000001</v>
      </c>
      <c r="M107" s="2998">
        <v>1.5418000000000001</v>
      </c>
      <c r="N107" s="2998">
        <v>1.5418000000000001</v>
      </c>
    </row>
    <row r="108" spans="1:25">
      <c r="A108" s="3281"/>
      <c r="B108" s="2998">
        <v>2</v>
      </c>
      <c r="C108" s="2998">
        <v>1.2072000000000001</v>
      </c>
      <c r="D108" s="2998">
        <v>1.2072000000000001</v>
      </c>
      <c r="E108" s="2998">
        <v>1.1838</v>
      </c>
      <c r="F108" s="2998">
        <v>1.1838</v>
      </c>
      <c r="G108" s="2998">
        <v>1.1838</v>
      </c>
      <c r="H108" s="2998">
        <v>1.1838</v>
      </c>
      <c r="I108" s="2998">
        <v>1.1838</v>
      </c>
      <c r="J108" s="2998">
        <v>1.1883999999999999</v>
      </c>
      <c r="K108" s="2998">
        <v>1.1883999999999999</v>
      </c>
      <c r="L108" s="2998">
        <v>1.1883999999999999</v>
      </c>
      <c r="M108" s="2998">
        <v>1.1883999999999999</v>
      </c>
      <c r="N108" s="2998">
        <v>1.1883999999999999</v>
      </c>
    </row>
    <row r="109" spans="1:25">
      <c r="A109" s="3281"/>
      <c r="B109" s="2998">
        <v>3</v>
      </c>
      <c r="C109" s="2998">
        <v>1.0430999999999999</v>
      </c>
      <c r="D109" s="2998">
        <v>1.0430999999999999</v>
      </c>
      <c r="E109" s="2998">
        <v>1.0004999999999999</v>
      </c>
      <c r="F109" s="2998">
        <v>1.0004999999999999</v>
      </c>
      <c r="G109" s="2998">
        <v>1.0004999999999999</v>
      </c>
      <c r="H109" s="2998">
        <v>1.0004999999999999</v>
      </c>
      <c r="I109" s="2998">
        <v>1.0004999999999999</v>
      </c>
      <c r="J109" s="2998">
        <v>0.96940000000000004</v>
      </c>
      <c r="K109" s="2998">
        <v>0.96940000000000004</v>
      </c>
      <c r="L109" s="2998">
        <v>0.96940000000000004</v>
      </c>
      <c r="M109" s="2998">
        <v>0.96940000000000004</v>
      </c>
      <c r="N109" s="2998">
        <v>0.96940000000000004</v>
      </c>
    </row>
    <row r="110" spans="1:25">
      <c r="A110" s="3281"/>
      <c r="B110" s="2998">
        <v>4</v>
      </c>
      <c r="C110" s="2998">
        <v>0.94389999999999996</v>
      </c>
      <c r="D110" s="2998">
        <v>0.94389999999999996</v>
      </c>
      <c r="E110" s="2998">
        <v>0.88239999999999996</v>
      </c>
      <c r="F110" s="2998">
        <v>0.88239999999999996</v>
      </c>
      <c r="G110" s="2998">
        <v>0.88239999999999996</v>
      </c>
      <c r="H110" s="2998">
        <v>0.88239999999999996</v>
      </c>
      <c r="I110" s="2998">
        <v>0.88239999999999996</v>
      </c>
      <c r="J110" s="2998">
        <v>0.82299999999999995</v>
      </c>
      <c r="K110" s="2998">
        <v>0.82299999999999995</v>
      </c>
      <c r="L110" s="2998">
        <v>0.82299999999999995</v>
      </c>
      <c r="M110" s="2998">
        <v>0.82299999999999995</v>
      </c>
      <c r="N110" s="2998">
        <v>0.82299999999999995</v>
      </c>
    </row>
    <row r="111" spans="1:25">
      <c r="A111" s="3281"/>
      <c r="B111" s="2998">
        <v>5</v>
      </c>
      <c r="C111" s="2998">
        <v>0.89959999999999996</v>
      </c>
      <c r="D111" s="2998">
        <v>0.89959999999999996</v>
      </c>
      <c r="E111" s="2998">
        <v>0.84799999999999998</v>
      </c>
      <c r="F111" s="2998">
        <v>0.84799999999999998</v>
      </c>
      <c r="G111" s="2998">
        <v>0.84799999999999998</v>
      </c>
      <c r="H111" s="2998">
        <v>0.84799999999999998</v>
      </c>
      <c r="I111" s="2998">
        <v>0.84799999999999998</v>
      </c>
      <c r="J111" s="2998">
        <v>0.74980000000000002</v>
      </c>
      <c r="K111" s="2998">
        <v>0.74980000000000002</v>
      </c>
      <c r="L111" s="2998">
        <v>0.74980000000000002</v>
      </c>
      <c r="M111" s="2998">
        <v>0.74980000000000002</v>
      </c>
      <c r="N111" s="2998">
        <v>0.74980000000000002</v>
      </c>
    </row>
    <row r="112" spans="1:25">
      <c r="A112" s="3281"/>
      <c r="B112" s="2998"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82"/>
      <c r="B113" s="2998">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5" t="s">
        <v>2316</v>
      </c>
      <c r="B114" s="3275"/>
      <c r="C114" s="3275"/>
      <c r="D114" s="3275"/>
      <c r="E114" s="3275"/>
      <c r="F114" s="3275"/>
      <c r="G114" s="3275"/>
      <c r="H114" s="3275"/>
      <c r="I114" s="3275"/>
      <c r="J114" s="3275"/>
      <c r="K114" s="2997"/>
      <c r="L114" s="2997"/>
      <c r="M114" s="2997"/>
      <c r="N114" s="2997"/>
    </row>
    <row r="116" spans="1:14" ht="13.8" thickBot="1"/>
    <row r="117" spans="1:14" ht="25.8" thickBot="1">
      <c r="A117" s="2382" t="s">
        <v>2317</v>
      </c>
      <c r="B117" s="2484">
        <f>G3</f>
        <v>2.8</v>
      </c>
      <c r="C117" s="2365" t="s">
        <v>2318</v>
      </c>
      <c r="D117" s="500">
        <f>SUMPRODUCT((A119:A123=F117)*(B118:M118=H117)*B119:M123)</f>
        <v>0</v>
      </c>
      <c r="E117" s="473" t="s">
        <v>2173</v>
      </c>
      <c r="F117" s="501" t="str">
        <f>E2</f>
        <v>商业</v>
      </c>
      <c r="G117" s="473" t="s">
        <v>2174</v>
      </c>
      <c r="H117" s="501">
        <f>G2</f>
        <v>0</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0.96599999999999997</v>
      </c>
      <c r="C119" s="502">
        <f>B119</f>
        <v>0.96599999999999997</v>
      </c>
      <c r="D119" s="502">
        <f>ROUND(0.949-0.014*B117,4)</f>
        <v>0.90980000000000005</v>
      </c>
      <c r="E119" s="502">
        <f>D119</f>
        <v>0.90980000000000005</v>
      </c>
      <c r="F119" s="502">
        <f>E119</f>
        <v>0.90980000000000005</v>
      </c>
      <c r="G119" s="502">
        <f>F119</f>
        <v>0.90980000000000005</v>
      </c>
      <c r="H119" s="502">
        <f>G119</f>
        <v>0.90980000000000005</v>
      </c>
      <c r="I119" s="502">
        <f>ROUND(0.8486-0.018*B117,4)</f>
        <v>0.79820000000000002</v>
      </c>
      <c r="J119" s="502">
        <f t="shared" ref="J119:M123" si="36">I119</f>
        <v>0.79820000000000002</v>
      </c>
      <c r="K119" s="502">
        <f t="shared" si="36"/>
        <v>0.79820000000000002</v>
      </c>
      <c r="L119" s="502">
        <f t="shared" si="36"/>
        <v>0.79820000000000002</v>
      </c>
      <c r="M119" s="504">
        <f t="shared" si="36"/>
        <v>0.79820000000000002</v>
      </c>
    </row>
    <row r="120" spans="1:14">
      <c r="A120" s="2413" t="s">
        <v>2230</v>
      </c>
      <c r="B120" s="502">
        <f>ROUND(0.993-0.0112*B117,4)</f>
        <v>0.96160000000000001</v>
      </c>
      <c r="C120" s="502">
        <f>B120</f>
        <v>0.96160000000000001</v>
      </c>
      <c r="D120" s="502">
        <f>ROUND(0.9415-0.0142*B117,4)</f>
        <v>0.90169999999999995</v>
      </c>
      <c r="E120" s="502">
        <f t="shared" ref="E120:H121" si="37">D120</f>
        <v>0.90169999999999995</v>
      </c>
      <c r="F120" s="502">
        <f t="shared" si="37"/>
        <v>0.90169999999999995</v>
      </c>
      <c r="G120" s="502">
        <f t="shared" si="37"/>
        <v>0.90169999999999995</v>
      </c>
      <c r="H120" s="502">
        <f t="shared" si="37"/>
        <v>0.90169999999999995</v>
      </c>
      <c r="I120" s="502">
        <f>ROUND(0.838-0.0182*B117,4)</f>
        <v>0.78700000000000003</v>
      </c>
      <c r="J120" s="502">
        <f t="shared" si="36"/>
        <v>0.78700000000000003</v>
      </c>
      <c r="K120" s="502">
        <f t="shared" si="36"/>
        <v>0.78700000000000003</v>
      </c>
      <c r="L120" s="502">
        <f t="shared" si="36"/>
        <v>0.78700000000000003</v>
      </c>
      <c r="M120" s="504">
        <f t="shared" si="36"/>
        <v>0.78700000000000003</v>
      </c>
    </row>
    <row r="121" spans="1:14">
      <c r="A121" s="2413" t="s">
        <v>2231</v>
      </c>
      <c r="B121" s="502">
        <f>ROUND(0.9448-0.0115*B117,4)</f>
        <v>0.91259999999999997</v>
      </c>
      <c r="C121" s="502">
        <f>B121</f>
        <v>0.91259999999999997</v>
      </c>
      <c r="D121" s="502">
        <f>ROUND(0.937-0.0145*B117,4)</f>
        <v>0.89639999999999997</v>
      </c>
      <c r="E121" s="502">
        <f t="shared" si="37"/>
        <v>0.89639999999999997</v>
      </c>
      <c r="F121" s="502">
        <f t="shared" si="37"/>
        <v>0.89639999999999997</v>
      </c>
      <c r="G121" s="502">
        <f t="shared" si="37"/>
        <v>0.89639999999999997</v>
      </c>
      <c r="H121" s="502">
        <f t="shared" si="37"/>
        <v>0.89639999999999997</v>
      </c>
      <c r="I121" s="502">
        <f>ROUND(0.7965-0.0185*B117,4)</f>
        <v>0.74470000000000003</v>
      </c>
      <c r="J121" s="502">
        <f t="shared" si="36"/>
        <v>0.74470000000000003</v>
      </c>
      <c r="K121" s="502">
        <f t="shared" si="36"/>
        <v>0.74470000000000003</v>
      </c>
      <c r="L121" s="502">
        <f t="shared" si="36"/>
        <v>0.74470000000000003</v>
      </c>
      <c r="M121" s="504">
        <f t="shared" si="36"/>
        <v>0.74470000000000003</v>
      </c>
    </row>
    <row r="122" spans="1:14" ht="13.8" thickBot="1">
      <c r="A122" s="2417" t="s">
        <v>2232</v>
      </c>
      <c r="B122" s="503">
        <f>ROUND(0.7836-0.012*B117,4)</f>
        <v>0.75</v>
      </c>
      <c r="C122" s="503">
        <f>B122</f>
        <v>0.75</v>
      </c>
      <c r="D122" s="503">
        <f>ROUND(0.753-0.015*B117,4)</f>
        <v>0.71099999999999997</v>
      </c>
      <c r="E122" s="503">
        <f>D122</f>
        <v>0.71099999999999997</v>
      </c>
      <c r="F122" s="503">
        <f>E122</f>
        <v>0.71099999999999997</v>
      </c>
      <c r="G122" s="503">
        <f>ROUND(0.6612-0.018*B117,4)</f>
        <v>0.61080000000000001</v>
      </c>
      <c r="H122" s="503">
        <f>G122</f>
        <v>0.61080000000000001</v>
      </c>
      <c r="I122" s="503">
        <f>ROUND(0.5905-0.019*B117,4)</f>
        <v>0.5373</v>
      </c>
      <c r="J122" s="503">
        <f t="shared" si="36"/>
        <v>0.5373</v>
      </c>
      <c r="K122" s="503">
        <f t="shared" si="36"/>
        <v>0.5373</v>
      </c>
      <c r="L122" s="503">
        <f t="shared" si="36"/>
        <v>0.5373</v>
      </c>
      <c r="M122" s="505">
        <f t="shared" si="36"/>
        <v>0.5373</v>
      </c>
    </row>
    <row r="123" spans="1:14">
      <c r="A123" s="2492" t="s">
        <v>2901</v>
      </c>
      <c r="B123" s="502">
        <f>ROUND(0.9404-0.0106*B117,4)</f>
        <v>0.91069999999999995</v>
      </c>
      <c r="C123" s="502">
        <f>B123</f>
        <v>0.91069999999999995</v>
      </c>
      <c r="D123" s="502">
        <f>ROUND(0.8955-0.0135*B117,4)</f>
        <v>0.85770000000000002</v>
      </c>
      <c r="E123" s="502">
        <f t="shared" ref="E123:H123" si="38">D123</f>
        <v>0.85770000000000002</v>
      </c>
      <c r="F123" s="502">
        <f t="shared" si="38"/>
        <v>0.85770000000000002</v>
      </c>
      <c r="G123" s="502">
        <f t="shared" si="38"/>
        <v>0.85770000000000002</v>
      </c>
      <c r="H123" s="502">
        <f t="shared" si="38"/>
        <v>0.85770000000000002</v>
      </c>
      <c r="I123" s="502">
        <f>ROUND(0.7632-0.0166*B117,4)</f>
        <v>0.7167</v>
      </c>
      <c r="J123" s="502">
        <f t="shared" si="36"/>
        <v>0.7167</v>
      </c>
      <c r="K123" s="502">
        <f t="shared" si="36"/>
        <v>0.7167</v>
      </c>
      <c r="L123" s="502">
        <f t="shared" si="36"/>
        <v>0.7167</v>
      </c>
      <c r="M123" s="504">
        <f t="shared" si="36"/>
        <v>0.7167</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134"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84:C91 C73:C81 C51:C59 C62:C70 C94:C103">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1875" defaultRowHeight="14.4"/>
  <cols>
    <col min="1" max="13" width="15.21875" style="2496" customWidth="1"/>
    <col min="14" max="14" width="10" style="2496" customWidth="1"/>
    <col min="15" max="16" width="8.21875" style="2496"/>
    <col min="17" max="17" width="34.109375" style="2496" customWidth="1"/>
    <col min="18" max="18" width="8.21875" style="2496" customWidth="1"/>
    <col min="19" max="19" width="8.21875" style="2496"/>
    <col min="20" max="20" width="11.6640625" style="2496" customWidth="1"/>
    <col min="21" max="16384" width="8.21875" style="2496"/>
  </cols>
  <sheetData>
    <row r="1" spans="1:13" ht="1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5.6">
      <c r="A18" s="2516" t="s">
        <v>447</v>
      </c>
      <c r="B18" s="2516"/>
      <c r="C18" s="2517"/>
      <c r="D18" s="2517"/>
      <c r="E18" s="2516"/>
      <c r="F18" s="2517"/>
      <c r="G18" s="2517"/>
    </row>
    <row r="19" spans="1:13" ht="15" thickBot="1">
      <c r="A19" s="510" t="s">
        <v>2876</v>
      </c>
      <c r="B19" s="2519" t="s">
        <v>2877</v>
      </c>
      <c r="C19" s="2519" t="s">
        <v>521</v>
      </c>
      <c r="D19" s="2520"/>
      <c r="E19" s="510" t="s">
        <v>3053</v>
      </c>
      <c r="F19" s="2521"/>
      <c r="G19" s="2521"/>
    </row>
    <row r="20" spans="1:13">
      <c r="A20" s="3294" t="s">
        <v>156</v>
      </c>
      <c r="B20" s="3301" t="s">
        <v>2893</v>
      </c>
      <c r="C20" s="2522" t="s">
        <v>2823</v>
      </c>
      <c r="D20" s="2523"/>
      <c r="E20" s="513">
        <v>1</v>
      </c>
      <c r="F20" s="2524" t="s">
        <v>2829</v>
      </c>
      <c r="G20" s="2524"/>
    </row>
    <row r="21" spans="1:13">
      <c r="A21" s="3295"/>
      <c r="B21" s="3297"/>
      <c r="C21" s="2525" t="s">
        <v>2824</v>
      </c>
      <c r="D21" s="2526"/>
      <c r="E21" s="514">
        <v>1</v>
      </c>
      <c r="F21" s="2524" t="s">
        <v>2830</v>
      </c>
      <c r="G21" s="2524"/>
    </row>
    <row r="22" spans="1:13">
      <c r="A22" s="3295"/>
      <c r="B22" s="3297"/>
      <c r="C22" s="2525" t="s">
        <v>2825</v>
      </c>
      <c r="D22" s="2526"/>
      <c r="E22" s="514">
        <v>0.9</v>
      </c>
      <c r="F22" s="2524" t="s">
        <v>2831</v>
      </c>
      <c r="G22" s="2524"/>
    </row>
    <row r="23" spans="1:13">
      <c r="A23" s="3295"/>
      <c r="B23" s="3297"/>
      <c r="C23" s="2525" t="s">
        <v>2826</v>
      </c>
      <c r="D23" s="2526"/>
      <c r="E23" s="514">
        <v>0.9</v>
      </c>
      <c r="F23" s="2524" t="s">
        <v>2832</v>
      </c>
      <c r="G23" s="2524"/>
    </row>
    <row r="24" spans="1:13">
      <c r="A24" s="3295"/>
      <c r="B24" s="3297"/>
      <c r="C24" s="2525" t="s">
        <v>2827</v>
      </c>
      <c r="D24" s="2526"/>
      <c r="E24" s="514">
        <v>0.8</v>
      </c>
      <c r="F24" s="2524" t="s">
        <v>2833</v>
      </c>
      <c r="G24" s="2524"/>
    </row>
    <row r="25" spans="1:13" ht="15" thickBot="1">
      <c r="A25" s="3296"/>
      <c r="B25" s="3302"/>
      <c r="C25" s="2527" t="s">
        <v>2828</v>
      </c>
      <c r="D25" s="2528"/>
      <c r="E25" s="515">
        <v>0.8</v>
      </c>
      <c r="F25" s="2524" t="s">
        <v>2834</v>
      </c>
      <c r="G25" s="2524"/>
    </row>
    <row r="26" spans="1:13" ht="15" thickBot="1">
      <c r="A26" s="2529" t="s">
        <v>157</v>
      </c>
      <c r="B26" s="2530" t="s">
        <v>2893</v>
      </c>
      <c r="C26" s="2531" t="s">
        <v>2837</v>
      </c>
      <c r="D26" s="2532"/>
      <c r="E26" s="516">
        <v>1</v>
      </c>
      <c r="F26" s="2524" t="s">
        <v>2835</v>
      </c>
      <c r="G26" s="2524"/>
    </row>
    <row r="27" spans="1:13">
      <c r="A27" s="3298" t="s">
        <v>2836</v>
      </c>
      <c r="B27" s="3301" t="s">
        <v>2836</v>
      </c>
      <c r="C27" s="2522" t="s">
        <v>2838</v>
      </c>
      <c r="D27" s="2523"/>
      <c r="E27" s="513">
        <v>1</v>
      </c>
      <c r="F27" s="2524" t="s">
        <v>2851</v>
      </c>
      <c r="G27" s="2524"/>
    </row>
    <row r="28" spans="1:13">
      <c r="A28" s="3299"/>
      <c r="B28" s="3297"/>
      <c r="C28" s="2525" t="s">
        <v>2839</v>
      </c>
      <c r="D28" s="2526"/>
      <c r="E28" s="514">
        <v>1</v>
      </c>
      <c r="F28" s="2524" t="s">
        <v>2852</v>
      </c>
      <c r="G28" s="2524"/>
    </row>
    <row r="29" spans="1:13">
      <c r="A29" s="3299"/>
      <c r="B29" s="3297"/>
      <c r="C29" s="2525" t="s">
        <v>2840</v>
      </c>
      <c r="D29" s="2526"/>
      <c r="E29" s="514">
        <v>0.8</v>
      </c>
      <c r="F29" s="2524" t="s">
        <v>2853</v>
      </c>
      <c r="G29" s="2524"/>
    </row>
    <row r="30" spans="1:13">
      <c r="A30" s="3299"/>
      <c r="B30" s="3297"/>
      <c r="C30" s="2525" t="s">
        <v>2841</v>
      </c>
      <c r="D30" s="2526"/>
      <c r="E30" s="514">
        <v>0.8</v>
      </c>
      <c r="F30" s="2524" t="s">
        <v>2854</v>
      </c>
      <c r="G30" s="2524"/>
    </row>
    <row r="31" spans="1:13">
      <c r="A31" s="3299"/>
      <c r="B31" s="3297"/>
      <c r="C31" s="2525" t="s">
        <v>2842</v>
      </c>
      <c r="D31" s="2526"/>
      <c r="E31" s="514">
        <v>0.8</v>
      </c>
      <c r="F31" s="2524" t="s">
        <v>2855</v>
      </c>
      <c r="G31" s="2524"/>
    </row>
    <row r="32" spans="1:13">
      <c r="A32" s="3299"/>
      <c r="B32" s="3297"/>
      <c r="C32" s="2525" t="s">
        <v>2843</v>
      </c>
      <c r="D32" s="2526"/>
      <c r="E32" s="514">
        <v>0.7</v>
      </c>
      <c r="F32" s="2524" t="s">
        <v>2856</v>
      </c>
      <c r="G32" s="2524"/>
    </row>
    <row r="33" spans="1:7">
      <c r="A33" s="3299"/>
      <c r="B33" s="3297"/>
      <c r="C33" s="2525" t="s">
        <v>2844</v>
      </c>
      <c r="D33" s="2526"/>
      <c r="E33" s="514">
        <v>0.8</v>
      </c>
      <c r="F33" s="2524" t="s">
        <v>2857</v>
      </c>
      <c r="G33" s="2524"/>
    </row>
    <row r="34" spans="1:7">
      <c r="A34" s="3299"/>
      <c r="B34" s="3297"/>
      <c r="C34" s="2525" t="s">
        <v>2845</v>
      </c>
      <c r="D34" s="2526"/>
      <c r="E34" s="514">
        <v>0.6</v>
      </c>
      <c r="F34" s="2524" t="s">
        <v>2858</v>
      </c>
      <c r="G34" s="2524"/>
    </row>
    <row r="35" spans="1:7">
      <c r="A35" s="3299"/>
      <c r="B35" s="3297"/>
      <c r="C35" s="2525" t="s">
        <v>2846</v>
      </c>
      <c r="D35" s="2526"/>
      <c r="E35" s="514">
        <v>0.2</v>
      </c>
      <c r="F35" s="2524" t="s">
        <v>2859</v>
      </c>
      <c r="G35" s="2524"/>
    </row>
    <row r="36" spans="1:7">
      <c r="A36" s="3299"/>
      <c r="B36" s="3297"/>
      <c r="C36" s="2525" t="s">
        <v>2847</v>
      </c>
      <c r="D36" s="2526"/>
      <c r="E36" s="514">
        <v>0.2</v>
      </c>
      <c r="F36" s="2524" t="s">
        <v>2860</v>
      </c>
      <c r="G36" s="2524"/>
    </row>
    <row r="37" spans="1:7">
      <c r="A37" s="3299"/>
      <c r="B37" s="3292" t="s">
        <v>2894</v>
      </c>
      <c r="C37" s="2525" t="s">
        <v>2848</v>
      </c>
      <c r="D37" s="2526"/>
      <c r="E37" s="514">
        <v>0.6</v>
      </c>
      <c r="F37" s="2524" t="s">
        <v>2861</v>
      </c>
      <c r="G37" s="2524"/>
    </row>
    <row r="38" spans="1:7">
      <c r="A38" s="3299"/>
      <c r="B38" s="3297"/>
      <c r="C38" s="2525" t="s">
        <v>2849</v>
      </c>
      <c r="D38" s="2526"/>
      <c r="E38" s="514">
        <v>0.6</v>
      </c>
      <c r="F38" s="2524" t="s">
        <v>2862</v>
      </c>
      <c r="G38" s="2524"/>
    </row>
    <row r="39" spans="1:7" ht="15" thickBot="1">
      <c r="A39" s="3300"/>
      <c r="B39" s="3302"/>
      <c r="C39" s="2527" t="s">
        <v>2850</v>
      </c>
      <c r="D39" s="2528"/>
      <c r="E39" s="515">
        <v>0.6</v>
      </c>
      <c r="F39" s="2524" t="s">
        <v>2863</v>
      </c>
      <c r="G39" s="2524"/>
    </row>
    <row r="40" spans="1:7" ht="15" thickBot="1">
      <c r="A40" s="2529" t="s">
        <v>514</v>
      </c>
      <c r="B40" s="2530" t="s">
        <v>2895</v>
      </c>
      <c r="C40" s="2531" t="s">
        <v>2864</v>
      </c>
      <c r="D40" s="2532"/>
      <c r="E40" s="516">
        <v>1</v>
      </c>
      <c r="F40" s="2524" t="s">
        <v>2865</v>
      </c>
      <c r="G40" s="2524"/>
    </row>
    <row r="41" spans="1:7">
      <c r="A41" s="3294" t="s">
        <v>158</v>
      </c>
      <c r="B41" s="3301" t="s">
        <v>2890</v>
      </c>
      <c r="C41" s="2522" t="s">
        <v>2866</v>
      </c>
      <c r="D41" s="2523"/>
      <c r="E41" s="513">
        <v>1</v>
      </c>
      <c r="F41" s="2524" t="s">
        <v>2878</v>
      </c>
      <c r="G41" s="2524"/>
    </row>
    <row r="42" spans="1:7">
      <c r="A42" s="3295"/>
      <c r="B42" s="3297"/>
      <c r="C42" s="2525" t="s">
        <v>2867</v>
      </c>
      <c r="D42" s="2526"/>
      <c r="E42" s="514">
        <v>1</v>
      </c>
      <c r="F42" s="2524" t="s">
        <v>2879</v>
      </c>
      <c r="G42" s="2524"/>
    </row>
    <row r="43" spans="1:7">
      <c r="A43" s="3295"/>
      <c r="B43" s="3293"/>
      <c r="C43" s="2525" t="s">
        <v>2868</v>
      </c>
      <c r="D43" s="2526"/>
      <c r="E43" s="514">
        <v>1.5</v>
      </c>
      <c r="F43" s="2524" t="s">
        <v>2880</v>
      </c>
      <c r="G43" s="2524"/>
    </row>
    <row r="44" spans="1:7">
      <c r="A44" s="3295"/>
      <c r="B44" s="517" t="s">
        <v>2891</v>
      </c>
      <c r="C44" s="2525" t="s">
        <v>2889</v>
      </c>
      <c r="D44" s="2526"/>
      <c r="E44" s="514">
        <v>2</v>
      </c>
      <c r="F44" s="2524" t="s">
        <v>2881</v>
      </c>
      <c r="G44" s="2524"/>
    </row>
    <row r="45" spans="1:7">
      <c r="A45" s="3295"/>
      <c r="B45" s="3292" t="s">
        <v>2892</v>
      </c>
      <c r="C45" s="2525" t="s">
        <v>2869</v>
      </c>
      <c r="D45" s="2526"/>
      <c r="E45" s="514">
        <v>1</v>
      </c>
      <c r="F45" s="2524" t="s">
        <v>2882</v>
      </c>
      <c r="G45" s="2524"/>
    </row>
    <row r="46" spans="1:7">
      <c r="A46" s="3295"/>
      <c r="B46" s="3297"/>
      <c r="C46" s="2525" t="s">
        <v>2870</v>
      </c>
      <c r="D46" s="2526"/>
      <c r="E46" s="514">
        <v>1</v>
      </c>
      <c r="F46" s="2524" t="s">
        <v>2883</v>
      </c>
      <c r="G46" s="2524"/>
    </row>
    <row r="47" spans="1:7">
      <c r="A47" s="3295"/>
      <c r="B47" s="3297"/>
      <c r="C47" s="2525" t="s">
        <v>2871</v>
      </c>
      <c r="D47" s="2526"/>
      <c r="E47" s="514">
        <v>1</v>
      </c>
      <c r="F47" s="2524" t="s">
        <v>2884</v>
      </c>
      <c r="G47" s="2524"/>
    </row>
    <row r="48" spans="1:7">
      <c r="A48" s="3295"/>
      <c r="B48" s="3297"/>
      <c r="C48" s="2525" t="s">
        <v>2872</v>
      </c>
      <c r="D48" s="2526"/>
      <c r="E48" s="514">
        <v>1</v>
      </c>
      <c r="F48" s="2524" t="s">
        <v>2885</v>
      </c>
      <c r="G48" s="2524"/>
    </row>
    <row r="49" spans="1:7">
      <c r="A49" s="3295"/>
      <c r="B49" s="3297"/>
      <c r="C49" s="2525" t="s">
        <v>2873</v>
      </c>
      <c r="D49" s="2526"/>
      <c r="E49" s="514">
        <v>1</v>
      </c>
      <c r="F49" s="2524" t="s">
        <v>2886</v>
      </c>
      <c r="G49" s="2524"/>
    </row>
    <row r="50" spans="1:7">
      <c r="A50" s="3295"/>
      <c r="B50" s="3297"/>
      <c r="C50" s="2525" t="s">
        <v>2874</v>
      </c>
      <c r="D50" s="2526"/>
      <c r="E50" s="514">
        <v>1</v>
      </c>
      <c r="F50" s="2524" t="s">
        <v>2887</v>
      </c>
      <c r="G50" s="2524"/>
    </row>
    <row r="51" spans="1:7" ht="15" thickBot="1">
      <c r="A51" s="3296"/>
      <c r="B51" s="330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92" t="s">
        <v>459</v>
      </c>
      <c r="C73" s="508" t="s">
        <v>460</v>
      </c>
      <c r="D73" s="508" t="s">
        <v>461</v>
      </c>
      <c r="E73" s="517">
        <v>0.2</v>
      </c>
      <c r="F73" s="517">
        <v>25</v>
      </c>
    </row>
    <row r="74" spans="1:7" ht="24">
      <c r="A74" s="517">
        <v>2</v>
      </c>
      <c r="B74" s="3297"/>
      <c r="C74" s="508" t="s">
        <v>2719</v>
      </c>
      <c r="D74" s="508" t="s">
        <v>2720</v>
      </c>
      <c r="E74" s="517">
        <v>0.2</v>
      </c>
      <c r="F74" s="517">
        <v>25</v>
      </c>
    </row>
    <row r="75" spans="1:7" ht="24">
      <c r="A75" s="517">
        <v>3</v>
      </c>
      <c r="B75" s="3297"/>
      <c r="C75" s="508" t="s">
        <v>2721</v>
      </c>
      <c r="D75" s="508" t="s">
        <v>2722</v>
      </c>
      <c r="E75" s="517">
        <v>0.2</v>
      </c>
      <c r="F75" s="517">
        <v>25</v>
      </c>
    </row>
    <row r="76" spans="1:7">
      <c r="A76" s="517">
        <v>4</v>
      </c>
      <c r="B76" s="3297"/>
      <c r="C76" s="508" t="s">
        <v>2723</v>
      </c>
      <c r="D76" s="508" t="s">
        <v>2724</v>
      </c>
      <c r="E76" s="517">
        <v>0.15</v>
      </c>
      <c r="F76" s="517">
        <v>20</v>
      </c>
    </row>
    <row r="77" spans="1:7" ht="24">
      <c r="A77" s="517">
        <v>5</v>
      </c>
      <c r="B77" s="3297"/>
      <c r="C77" s="508" t="s">
        <v>2725</v>
      </c>
      <c r="D77" s="508" t="s">
        <v>2726</v>
      </c>
      <c r="E77" s="517">
        <v>0.15</v>
      </c>
      <c r="F77" s="517">
        <v>20</v>
      </c>
    </row>
    <row r="78" spans="1:7" ht="24">
      <c r="A78" s="517">
        <v>6</v>
      </c>
      <c r="B78" s="3297"/>
      <c r="C78" s="508" t="s">
        <v>2727</v>
      </c>
      <c r="D78" s="508" t="s">
        <v>2728</v>
      </c>
      <c r="E78" s="517">
        <v>0.15</v>
      </c>
      <c r="F78" s="517">
        <v>20</v>
      </c>
    </row>
    <row r="79" spans="1:7" ht="24">
      <c r="A79" s="517">
        <v>7</v>
      </c>
      <c r="B79" s="3297"/>
      <c r="C79" s="508" t="s">
        <v>2729</v>
      </c>
      <c r="D79" s="508" t="s">
        <v>2730</v>
      </c>
      <c r="E79" s="517">
        <v>0.15</v>
      </c>
      <c r="F79" s="517">
        <v>20</v>
      </c>
    </row>
    <row r="80" spans="1:7" ht="24">
      <c r="A80" s="517">
        <v>8</v>
      </c>
      <c r="B80" s="3297"/>
      <c r="C80" s="508" t="s">
        <v>2731</v>
      </c>
      <c r="D80" s="508" t="s">
        <v>2732</v>
      </c>
      <c r="E80" s="517">
        <v>0.1</v>
      </c>
      <c r="F80" s="517">
        <v>15</v>
      </c>
    </row>
    <row r="81" spans="1:6" ht="24">
      <c r="A81" s="517">
        <v>9</v>
      </c>
      <c r="B81" s="3297"/>
      <c r="C81" s="508" t="s">
        <v>2733</v>
      </c>
      <c r="D81" s="508" t="s">
        <v>2734</v>
      </c>
      <c r="E81" s="517">
        <v>0.1</v>
      </c>
      <c r="F81" s="517">
        <v>15</v>
      </c>
    </row>
    <row r="82" spans="1:6" ht="24">
      <c r="A82" s="517">
        <v>10</v>
      </c>
      <c r="B82" s="3297"/>
      <c r="C82" s="508" t="s">
        <v>2735</v>
      </c>
      <c r="D82" s="508" t="s">
        <v>2736</v>
      </c>
      <c r="E82" s="517">
        <v>0.1</v>
      </c>
      <c r="F82" s="517">
        <v>15</v>
      </c>
    </row>
    <row r="83" spans="1:6" ht="24">
      <c r="A83" s="517">
        <v>11</v>
      </c>
      <c r="B83" s="3297"/>
      <c r="C83" s="508" t="s">
        <v>2737</v>
      </c>
      <c r="D83" s="508" t="s">
        <v>2738</v>
      </c>
      <c r="E83" s="517">
        <v>0.1</v>
      </c>
      <c r="F83" s="517">
        <v>15</v>
      </c>
    </row>
    <row r="84" spans="1:6" ht="24">
      <c r="A84" s="517">
        <v>12</v>
      </c>
      <c r="B84" s="3297"/>
      <c r="C84" s="508" t="s">
        <v>2739</v>
      </c>
      <c r="D84" s="508" t="s">
        <v>2740</v>
      </c>
      <c r="E84" s="517">
        <v>0.1</v>
      </c>
      <c r="F84" s="517">
        <v>15</v>
      </c>
    </row>
    <row r="85" spans="1:6" ht="24">
      <c r="A85" s="517">
        <v>13</v>
      </c>
      <c r="B85" s="3297"/>
      <c r="C85" s="508" t="s">
        <v>2741</v>
      </c>
      <c r="D85" s="508" t="s">
        <v>2742</v>
      </c>
      <c r="E85" s="517">
        <v>0.1</v>
      </c>
      <c r="F85" s="517">
        <v>15</v>
      </c>
    </row>
    <row r="86" spans="1:6" ht="24">
      <c r="A86" s="517">
        <v>14</v>
      </c>
      <c r="B86" s="3297"/>
      <c r="C86" s="508" t="s">
        <v>2743</v>
      </c>
      <c r="D86" s="508" t="s">
        <v>2744</v>
      </c>
      <c r="E86" s="517">
        <v>0.1</v>
      </c>
      <c r="F86" s="517">
        <v>15</v>
      </c>
    </row>
    <row r="87" spans="1:6" ht="24">
      <c r="A87" s="517">
        <v>15</v>
      </c>
      <c r="B87" s="3297"/>
      <c r="C87" s="508" t="s">
        <v>2745</v>
      </c>
      <c r="D87" s="508" t="s">
        <v>2746</v>
      </c>
      <c r="E87" s="517">
        <v>0.1</v>
      </c>
      <c r="F87" s="517">
        <v>15</v>
      </c>
    </row>
    <row r="88" spans="1:6" ht="24">
      <c r="A88" s="517">
        <v>16</v>
      </c>
      <c r="B88" s="3297"/>
      <c r="C88" s="508" t="s">
        <v>2747</v>
      </c>
      <c r="D88" s="508" t="s">
        <v>2748</v>
      </c>
      <c r="E88" s="517">
        <v>0.1</v>
      </c>
      <c r="F88" s="517">
        <v>15</v>
      </c>
    </row>
    <row r="89" spans="1:6" ht="24">
      <c r="A89" s="517">
        <v>17</v>
      </c>
      <c r="B89" s="3293"/>
      <c r="C89" s="508" t="s">
        <v>2749</v>
      </c>
      <c r="D89" s="508" t="s">
        <v>2750</v>
      </c>
      <c r="E89" s="517">
        <v>0.1</v>
      </c>
      <c r="F89" s="517">
        <v>15</v>
      </c>
    </row>
    <row r="90" spans="1:6">
      <c r="A90" s="517">
        <v>18</v>
      </c>
      <c r="B90" s="3292" t="s">
        <v>462</v>
      </c>
      <c r="C90" s="508" t="s">
        <v>463</v>
      </c>
      <c r="D90" s="508" t="s">
        <v>464</v>
      </c>
      <c r="E90" s="517">
        <v>0.2</v>
      </c>
      <c r="F90" s="517">
        <v>25</v>
      </c>
    </row>
    <row r="91" spans="1:6" ht="24">
      <c r="A91" s="517">
        <v>19</v>
      </c>
      <c r="B91" s="3297"/>
      <c r="C91" s="508" t="s">
        <v>2751</v>
      </c>
      <c r="D91" s="508" t="s">
        <v>467</v>
      </c>
      <c r="E91" s="517">
        <v>0.2</v>
      </c>
      <c r="F91" s="517">
        <v>25</v>
      </c>
    </row>
    <row r="92" spans="1:6">
      <c r="A92" s="517">
        <v>20</v>
      </c>
      <c r="B92" s="3297"/>
      <c r="C92" s="508" t="s">
        <v>465</v>
      </c>
      <c r="D92" s="508" t="s">
        <v>466</v>
      </c>
      <c r="E92" s="517">
        <v>0.15</v>
      </c>
      <c r="F92" s="517">
        <v>20</v>
      </c>
    </row>
    <row r="93" spans="1:6" ht="24">
      <c r="A93" s="517">
        <v>21</v>
      </c>
      <c r="B93" s="3297"/>
      <c r="C93" s="508" t="s">
        <v>2752</v>
      </c>
      <c r="D93" s="508" t="s">
        <v>468</v>
      </c>
      <c r="E93" s="517">
        <v>0.15</v>
      </c>
      <c r="F93" s="517">
        <v>20</v>
      </c>
    </row>
    <row r="94" spans="1:6" ht="24">
      <c r="A94" s="517">
        <v>22</v>
      </c>
      <c r="B94" s="3297"/>
      <c r="C94" s="508" t="s">
        <v>2754</v>
      </c>
      <c r="D94" s="508" t="s">
        <v>2755</v>
      </c>
      <c r="E94" s="517">
        <v>0.15</v>
      </c>
      <c r="F94" s="517">
        <v>20</v>
      </c>
    </row>
    <row r="95" spans="1:6" ht="36">
      <c r="A95" s="517">
        <v>23</v>
      </c>
      <c r="B95" s="3297"/>
      <c r="C95" s="508" t="s">
        <v>2756</v>
      </c>
      <c r="D95" s="508" t="s">
        <v>2757</v>
      </c>
      <c r="E95" s="517">
        <v>0.15</v>
      </c>
      <c r="F95" s="517">
        <v>20</v>
      </c>
    </row>
    <row r="96" spans="1:6" ht="24">
      <c r="A96" s="517">
        <v>24</v>
      </c>
      <c r="B96" s="3297"/>
      <c r="C96" s="508" t="s">
        <v>2758</v>
      </c>
      <c r="D96" s="508" t="s">
        <v>2759</v>
      </c>
      <c r="E96" s="517">
        <v>0.1</v>
      </c>
      <c r="F96" s="517">
        <v>15</v>
      </c>
    </row>
    <row r="97" spans="1:6" ht="24">
      <c r="A97" s="517">
        <v>25</v>
      </c>
      <c r="B97" s="3297"/>
      <c r="C97" s="508" t="s">
        <v>2753</v>
      </c>
      <c r="D97" s="508" t="s">
        <v>2760</v>
      </c>
      <c r="E97" s="517">
        <v>0.1</v>
      </c>
      <c r="F97" s="517">
        <v>15</v>
      </c>
    </row>
    <row r="98" spans="1:6" ht="24">
      <c r="A98" s="517">
        <v>26</v>
      </c>
      <c r="B98" s="3297"/>
      <c r="C98" s="508" t="s">
        <v>2761</v>
      </c>
      <c r="D98" s="508" t="s">
        <v>2762</v>
      </c>
      <c r="E98" s="517">
        <v>0.1</v>
      </c>
      <c r="F98" s="517">
        <v>15</v>
      </c>
    </row>
    <row r="99" spans="1:6" ht="24">
      <c r="A99" s="517">
        <v>27</v>
      </c>
      <c r="B99" s="3297"/>
      <c r="C99" s="508" t="s">
        <v>2763</v>
      </c>
      <c r="D99" s="508" t="s">
        <v>2764</v>
      </c>
      <c r="E99" s="517">
        <v>0.1</v>
      </c>
      <c r="F99" s="517">
        <v>15</v>
      </c>
    </row>
    <row r="100" spans="1:6" ht="24">
      <c r="A100" s="517">
        <v>28</v>
      </c>
      <c r="B100" s="3297"/>
      <c r="C100" s="508" t="s">
        <v>2765</v>
      </c>
      <c r="D100" s="508" t="s">
        <v>2766</v>
      </c>
      <c r="E100" s="517">
        <v>0.1</v>
      </c>
      <c r="F100" s="517">
        <v>15</v>
      </c>
    </row>
    <row r="101" spans="1:6" ht="24">
      <c r="A101" s="517">
        <v>29</v>
      </c>
      <c r="B101" s="3297"/>
      <c r="C101" s="508" t="s">
        <v>2767</v>
      </c>
      <c r="D101" s="508" t="s">
        <v>2768</v>
      </c>
      <c r="E101" s="517">
        <v>0.1</v>
      </c>
      <c r="F101" s="517">
        <v>15</v>
      </c>
    </row>
    <row r="102" spans="1:6" ht="24">
      <c r="A102" s="517">
        <v>30</v>
      </c>
      <c r="B102" s="3297"/>
      <c r="C102" s="508" t="s">
        <v>2769</v>
      </c>
      <c r="D102" s="508" t="s">
        <v>2770</v>
      </c>
      <c r="E102" s="517">
        <v>0.1</v>
      </c>
      <c r="F102" s="517">
        <v>15</v>
      </c>
    </row>
    <row r="103" spans="1:6" ht="24">
      <c r="A103" s="517">
        <v>31</v>
      </c>
      <c r="B103" s="3297"/>
      <c r="C103" s="508" t="s">
        <v>2771</v>
      </c>
      <c r="D103" s="508" t="s">
        <v>2772</v>
      </c>
      <c r="E103" s="517">
        <v>0.1</v>
      </c>
      <c r="F103" s="517">
        <v>15</v>
      </c>
    </row>
    <row r="104" spans="1:6" ht="24">
      <c r="A104" s="517">
        <v>32</v>
      </c>
      <c r="B104" s="3297"/>
      <c r="C104" s="508" t="s">
        <v>2773</v>
      </c>
      <c r="D104" s="508" t="s">
        <v>2774</v>
      </c>
      <c r="E104" s="517">
        <v>0.1</v>
      </c>
      <c r="F104" s="517">
        <v>15</v>
      </c>
    </row>
    <row r="105" spans="1:6" ht="24">
      <c r="A105" s="517">
        <v>33</v>
      </c>
      <c r="B105" s="3297"/>
      <c r="C105" s="508" t="s">
        <v>2775</v>
      </c>
      <c r="D105" s="508" t="s">
        <v>2776</v>
      </c>
      <c r="E105" s="517">
        <v>0.1</v>
      </c>
      <c r="F105" s="517">
        <v>15</v>
      </c>
    </row>
    <row r="106" spans="1:6" ht="24">
      <c r="A106" s="517">
        <v>34</v>
      </c>
      <c r="B106" s="3293"/>
      <c r="C106" s="508" t="s">
        <v>2777</v>
      </c>
      <c r="D106" s="508" t="s">
        <v>2778</v>
      </c>
      <c r="E106" s="517">
        <v>0.1</v>
      </c>
      <c r="F106" s="517">
        <v>15</v>
      </c>
    </row>
    <row r="107" spans="1:6" ht="36">
      <c r="A107" s="517">
        <v>35</v>
      </c>
      <c r="B107" s="3292" t="s">
        <v>469</v>
      </c>
      <c r="C107" s="517" t="s">
        <v>470</v>
      </c>
      <c r="D107" s="508" t="s">
        <v>2779</v>
      </c>
      <c r="E107" s="517">
        <v>0.15</v>
      </c>
      <c r="F107" s="517">
        <v>20</v>
      </c>
    </row>
    <row r="108" spans="1:6" ht="24">
      <c r="A108" s="517">
        <v>36</v>
      </c>
      <c r="B108" s="3297"/>
      <c r="C108" s="517" t="s">
        <v>2781</v>
      </c>
      <c r="D108" s="508" t="s">
        <v>2782</v>
      </c>
      <c r="E108" s="517">
        <v>0.15</v>
      </c>
      <c r="F108" s="517">
        <v>20</v>
      </c>
    </row>
    <row r="109" spans="1:6" ht="24">
      <c r="A109" s="517">
        <v>37</v>
      </c>
      <c r="B109" s="3297"/>
      <c r="C109" s="517" t="s">
        <v>2780</v>
      </c>
      <c r="D109" s="508" t="s">
        <v>2787</v>
      </c>
      <c r="E109" s="517">
        <v>0.15</v>
      </c>
      <c r="F109" s="517">
        <v>20</v>
      </c>
    </row>
    <row r="110" spans="1:6" ht="24">
      <c r="A110" s="517">
        <v>38</v>
      </c>
      <c r="B110" s="3297"/>
      <c r="C110" s="517" t="s">
        <v>2783</v>
      </c>
      <c r="D110" s="508" t="s">
        <v>2788</v>
      </c>
      <c r="E110" s="517">
        <v>0.1</v>
      </c>
      <c r="F110" s="517">
        <v>15</v>
      </c>
    </row>
    <row r="111" spans="1:6" ht="24">
      <c r="A111" s="517">
        <v>39</v>
      </c>
      <c r="B111" s="3297"/>
      <c r="C111" s="517" t="s">
        <v>2784</v>
      </c>
      <c r="D111" s="508" t="s">
        <v>2785</v>
      </c>
      <c r="E111" s="517">
        <v>0.1</v>
      </c>
      <c r="F111" s="517">
        <v>15</v>
      </c>
    </row>
    <row r="112" spans="1:6" ht="24">
      <c r="A112" s="517">
        <v>40</v>
      </c>
      <c r="B112" s="3293"/>
      <c r="C112" s="517" t="s">
        <v>2786</v>
      </c>
      <c r="D112" s="508" t="s">
        <v>2789</v>
      </c>
      <c r="E112" s="517">
        <v>0.1</v>
      </c>
      <c r="F112" s="517">
        <v>15</v>
      </c>
    </row>
    <row r="113" spans="1:6" ht="24">
      <c r="A113" s="517">
        <v>41</v>
      </c>
      <c r="B113" s="3291" t="s">
        <v>471</v>
      </c>
      <c r="C113" s="517" t="s">
        <v>472</v>
      </c>
      <c r="D113" s="508" t="s">
        <v>473</v>
      </c>
      <c r="E113" s="517">
        <v>0.1</v>
      </c>
      <c r="F113" s="517">
        <v>15</v>
      </c>
    </row>
    <row r="114" spans="1:6" ht="24">
      <c r="A114" s="517">
        <v>42</v>
      </c>
      <c r="B114" s="3291"/>
      <c r="C114" s="517" t="s">
        <v>474</v>
      </c>
      <c r="D114" s="508" t="s">
        <v>475</v>
      </c>
      <c r="E114" s="517">
        <v>0.1</v>
      </c>
      <c r="F114" s="517">
        <v>15</v>
      </c>
    </row>
    <row r="115" spans="1:6" ht="24">
      <c r="A115" s="517">
        <v>43</v>
      </c>
      <c r="B115" s="3291"/>
      <c r="C115" s="517" t="s">
        <v>2790</v>
      </c>
      <c r="D115" s="508" t="s">
        <v>2791</v>
      </c>
      <c r="E115" s="517">
        <v>0.1</v>
      </c>
      <c r="F115" s="517">
        <v>15</v>
      </c>
    </row>
    <row r="116" spans="1:6" ht="24">
      <c r="A116" s="517">
        <v>44</v>
      </c>
      <c r="B116" s="3292" t="s">
        <v>476</v>
      </c>
      <c r="C116" s="517" t="s">
        <v>2792</v>
      </c>
      <c r="D116" s="508" t="s">
        <v>2793</v>
      </c>
      <c r="E116" s="517">
        <v>0.1</v>
      </c>
      <c r="F116" s="517">
        <v>15</v>
      </c>
    </row>
    <row r="117" spans="1:6" ht="24">
      <c r="A117" s="517">
        <v>45</v>
      </c>
      <c r="B117" s="3293"/>
      <c r="C117" s="508" t="s">
        <v>2794</v>
      </c>
      <c r="D117" s="508" t="s">
        <v>2795</v>
      </c>
      <c r="E117" s="517">
        <v>0.1</v>
      </c>
      <c r="F117" s="517">
        <v>15</v>
      </c>
    </row>
    <row r="118" spans="1:6" ht="24">
      <c r="A118" s="517">
        <v>46</v>
      </c>
      <c r="B118" s="3292" t="s">
        <v>477</v>
      </c>
      <c r="C118" s="517" t="s">
        <v>2798</v>
      </c>
      <c r="D118" s="508" t="s">
        <v>2796</v>
      </c>
      <c r="E118" s="517">
        <v>0.1</v>
      </c>
      <c r="F118" s="517">
        <v>15</v>
      </c>
    </row>
    <row r="119" spans="1:6" ht="24">
      <c r="A119" s="517">
        <v>47</v>
      </c>
      <c r="B119" s="3293"/>
      <c r="C119" s="517" t="s">
        <v>2797</v>
      </c>
      <c r="D119" s="508" t="s">
        <v>2799</v>
      </c>
      <c r="E119" s="517">
        <v>0.1</v>
      </c>
      <c r="F119" s="517">
        <v>15</v>
      </c>
    </row>
    <row r="120" spans="1:6" ht="24">
      <c r="A120" s="517">
        <v>48</v>
      </c>
      <c r="B120" s="3292" t="s">
        <v>478</v>
      </c>
      <c r="C120" s="517" t="s">
        <v>479</v>
      </c>
      <c r="D120" s="508" t="s">
        <v>480</v>
      </c>
      <c r="E120" s="517">
        <v>0.1</v>
      </c>
      <c r="F120" s="517">
        <v>15</v>
      </c>
    </row>
    <row r="121" spans="1:6" ht="24">
      <c r="A121" s="517">
        <v>49</v>
      </c>
      <c r="B121" s="3293"/>
      <c r="C121" s="517" t="s">
        <v>2800</v>
      </c>
      <c r="D121" s="508" t="s">
        <v>2801</v>
      </c>
      <c r="E121" s="517">
        <v>0.1</v>
      </c>
      <c r="F121" s="517">
        <v>15</v>
      </c>
    </row>
    <row r="122" spans="1:6" ht="24">
      <c r="A122" s="517">
        <v>50</v>
      </c>
      <c r="B122" s="3291" t="s">
        <v>481</v>
      </c>
      <c r="C122" s="517" t="s">
        <v>482</v>
      </c>
      <c r="D122" s="508" t="s">
        <v>483</v>
      </c>
      <c r="E122" s="517">
        <v>0.1</v>
      </c>
      <c r="F122" s="517">
        <v>15</v>
      </c>
    </row>
    <row r="123" spans="1:6" ht="24">
      <c r="A123" s="517">
        <v>51</v>
      </c>
      <c r="B123" s="3291"/>
      <c r="C123" s="517" t="s">
        <v>484</v>
      </c>
      <c r="D123" s="508" t="s">
        <v>485</v>
      </c>
      <c r="E123" s="517">
        <v>0.1</v>
      </c>
      <c r="F123" s="517">
        <v>15</v>
      </c>
    </row>
    <row r="124" spans="1:6" ht="24">
      <c r="A124" s="517">
        <v>52</v>
      </c>
      <c r="B124" s="3291" t="s">
        <v>486</v>
      </c>
      <c r="C124" s="517" t="s">
        <v>487</v>
      </c>
      <c r="D124" s="508" t="s">
        <v>2802</v>
      </c>
      <c r="E124" s="517">
        <v>0.1</v>
      </c>
      <c r="F124" s="517">
        <v>15</v>
      </c>
    </row>
    <row r="125" spans="1:6" ht="24">
      <c r="A125" s="517">
        <v>53</v>
      </c>
      <c r="B125" s="3291"/>
      <c r="C125" s="517" t="s">
        <v>488</v>
      </c>
      <c r="D125" s="508" t="s">
        <v>489</v>
      </c>
      <c r="E125" s="517">
        <v>0.1</v>
      </c>
      <c r="F125" s="517">
        <v>15</v>
      </c>
    </row>
    <row r="126" spans="1:6" ht="24">
      <c r="A126" s="517">
        <v>54</v>
      </c>
      <c r="B126" s="517" t="s">
        <v>490</v>
      </c>
      <c r="C126" s="517" t="s">
        <v>491</v>
      </c>
      <c r="D126" s="508" t="s">
        <v>492</v>
      </c>
      <c r="E126" s="517">
        <v>0.1</v>
      </c>
      <c r="F126" s="517">
        <v>15</v>
      </c>
    </row>
    <row r="127" spans="1:6" ht="24">
      <c r="A127" s="517">
        <v>55</v>
      </c>
      <c r="B127" s="3291" t="s">
        <v>494</v>
      </c>
      <c r="C127" s="517" t="s">
        <v>497</v>
      </c>
      <c r="D127" s="508" t="s">
        <v>498</v>
      </c>
      <c r="E127" s="517">
        <v>0.1</v>
      </c>
      <c r="F127" s="517">
        <v>15</v>
      </c>
    </row>
    <row r="128" spans="1:6" ht="24">
      <c r="A128" s="517">
        <v>56</v>
      </c>
      <c r="B128" s="3291"/>
      <c r="C128" s="517" t="s">
        <v>499</v>
      </c>
      <c r="D128" s="508" t="s">
        <v>500</v>
      </c>
      <c r="E128" s="517">
        <v>0.1</v>
      </c>
      <c r="F128" s="517">
        <v>15</v>
      </c>
    </row>
    <row r="129" spans="1:6" ht="24">
      <c r="A129" s="517">
        <v>57</v>
      </c>
      <c r="B129" s="3291"/>
      <c r="C129" s="517" t="s">
        <v>495</v>
      </c>
      <c r="D129" s="508" t="s">
        <v>496</v>
      </c>
      <c r="E129" s="517">
        <v>0.1</v>
      </c>
      <c r="F129" s="517">
        <v>15</v>
      </c>
    </row>
    <row r="130" spans="1:6" ht="24">
      <c r="A130" s="517">
        <v>58</v>
      </c>
      <c r="B130" s="3291" t="s">
        <v>493</v>
      </c>
      <c r="C130" s="517" t="s">
        <v>2803</v>
      </c>
      <c r="D130" s="508" t="s">
        <v>2804</v>
      </c>
      <c r="E130" s="517">
        <v>0.1</v>
      </c>
      <c r="F130" s="517">
        <v>15</v>
      </c>
    </row>
    <row r="131" spans="1:6" ht="24">
      <c r="A131" s="517">
        <v>59</v>
      </c>
      <c r="B131" s="3291"/>
      <c r="C131" s="517" t="s">
        <v>2805</v>
      </c>
      <c r="D131" s="508" t="s">
        <v>2806</v>
      </c>
      <c r="E131" s="517">
        <v>0.1</v>
      </c>
      <c r="F131" s="517">
        <v>15</v>
      </c>
    </row>
    <row r="132" spans="1:6" ht="24">
      <c r="A132" s="517">
        <v>60</v>
      </c>
      <c r="B132" s="3292" t="s">
        <v>504</v>
      </c>
      <c r="C132" s="517" t="s">
        <v>505</v>
      </c>
      <c r="D132" s="508" t="s">
        <v>2809</v>
      </c>
      <c r="E132" s="517">
        <v>0.1</v>
      </c>
      <c r="F132" s="517">
        <v>15</v>
      </c>
    </row>
    <row r="133" spans="1:6" ht="24">
      <c r="A133" s="517">
        <v>61</v>
      </c>
      <c r="B133" s="3293"/>
      <c r="C133" s="517" t="s">
        <v>2807</v>
      </c>
      <c r="D133" s="508" t="s">
        <v>2808</v>
      </c>
      <c r="E133" s="517">
        <v>0.1</v>
      </c>
      <c r="F133" s="517">
        <v>15</v>
      </c>
    </row>
    <row r="134" spans="1:6" ht="24">
      <c r="A134" s="517">
        <v>62</v>
      </c>
      <c r="B134" s="517" t="s">
        <v>501</v>
      </c>
      <c r="C134" s="517" t="s">
        <v>502</v>
      </c>
      <c r="D134" s="508" t="s">
        <v>503</v>
      </c>
      <c r="E134" s="517">
        <v>0.1</v>
      </c>
      <c r="F134" s="517">
        <v>15</v>
      </c>
    </row>
    <row r="135" spans="1:6" ht="24">
      <c r="A135" s="517">
        <v>63</v>
      </c>
      <c r="B135" s="3291" t="s">
        <v>506</v>
      </c>
      <c r="C135" s="517" t="s">
        <v>507</v>
      </c>
      <c r="D135" s="508" t="s">
        <v>2811</v>
      </c>
      <c r="E135" s="517">
        <v>0.1</v>
      </c>
      <c r="F135" s="517">
        <v>15</v>
      </c>
    </row>
    <row r="136" spans="1:6" ht="24">
      <c r="A136" s="517">
        <v>64</v>
      </c>
      <c r="B136" s="3291"/>
      <c r="C136" s="517" t="s">
        <v>2810</v>
      </c>
      <c r="D136" s="508" t="s">
        <v>2812</v>
      </c>
      <c r="E136" s="517">
        <v>0.1</v>
      </c>
      <c r="F136" s="517">
        <v>15</v>
      </c>
    </row>
    <row r="137" spans="1:6" ht="24">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I17" sqref="I17"/>
    </sheetView>
  </sheetViews>
  <sheetFormatPr defaultColWidth="9" defaultRowHeight="10.8"/>
  <cols>
    <col min="1" max="13" width="9" style="447"/>
    <col min="14" max="14" width="15" style="447" customWidth="1"/>
    <col min="15" max="16384" width="9" style="447"/>
  </cols>
  <sheetData>
    <row r="1" spans="1:20" s="441" customFormat="1" ht="16.2"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1.4"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6.2"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1.2302</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1.4"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6.2"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1.4"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6.2"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1.4"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6.2"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1.1198999999999999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1.4"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3.8"/>
  <cols>
    <col min="1" max="1" width="23.33203125" style="1689" customWidth="1"/>
    <col min="2" max="2" width="12.44140625" style="1689" customWidth="1"/>
    <col min="3" max="3" width="12.109375" style="1689" customWidth="1"/>
    <col min="4" max="4" width="14.109375" style="1689" customWidth="1"/>
    <col min="5" max="5" width="12.44140625" style="1689" customWidth="1"/>
    <col min="6" max="16384" width="9" style="1689"/>
  </cols>
  <sheetData>
    <row r="1" spans="1:16" ht="21.6">
      <c r="A1" s="1684" t="s">
        <v>2339</v>
      </c>
      <c r="B1" s="2541"/>
      <c r="C1" s="2541"/>
      <c r="D1" s="2541"/>
      <c r="E1" s="2541"/>
      <c r="F1" s="2542"/>
      <c r="G1" s="2542"/>
      <c r="H1" s="2542"/>
      <c r="I1" s="2542"/>
      <c r="J1" s="2542"/>
      <c r="K1" s="2542"/>
      <c r="L1" s="2542"/>
      <c r="M1" s="2542"/>
      <c r="N1" s="2542"/>
      <c r="O1" s="2542"/>
      <c r="P1" s="2542"/>
    </row>
    <row r="2" spans="1:16" ht="15.6">
      <c r="A2" s="2543" t="s">
        <v>2331</v>
      </c>
      <c r="B2" s="1704">
        <f ca="1">SUMIF(B6:B13,"&lt;&gt;#ref!",B6:B13)</f>
        <v>2850</v>
      </c>
      <c r="C2" s="2543" t="s">
        <v>2332</v>
      </c>
      <c r="D2" s="2543" t="s">
        <v>2333</v>
      </c>
      <c r="E2" s="2544">
        <f ca="1">SUMIF(E6:E13,"&lt;&gt;#ref!",E6:E13)</f>
        <v>41059.64</v>
      </c>
      <c r="F2" s="2542"/>
      <c r="G2" s="2542"/>
      <c r="H2" s="2542"/>
      <c r="I2" s="2542"/>
      <c r="J2" s="2542"/>
      <c r="K2" s="2542"/>
      <c r="L2" s="2542"/>
      <c r="M2" s="2542"/>
      <c r="N2" s="2542"/>
      <c r="O2" s="2542"/>
      <c r="P2" s="2542"/>
    </row>
    <row r="3" spans="1:16" ht="15.6">
      <c r="A3" s="2543" t="s">
        <v>2334</v>
      </c>
      <c r="B3" s="1704">
        <f ca="1">ROUND(B2*10000/E2,0)</f>
        <v>694</v>
      </c>
      <c r="C3" s="2543" t="s">
        <v>2340</v>
      </c>
      <c r="D3" s="2542"/>
      <c r="E3" s="2542"/>
      <c r="F3" s="2542"/>
      <c r="G3" s="2542"/>
      <c r="H3" s="2542"/>
      <c r="I3" s="2542"/>
      <c r="J3" s="2542"/>
      <c r="K3" s="2542"/>
      <c r="L3" s="2542"/>
      <c r="M3" s="2542"/>
      <c r="N3" s="2542"/>
      <c r="O3" s="2542"/>
      <c r="P3" s="2542"/>
    </row>
    <row r="4" spans="1:16" ht="15.6">
      <c r="A4" s="2545"/>
      <c r="B4" s="2542"/>
      <c r="C4" s="2542"/>
      <c r="D4" s="2542"/>
      <c r="E4" s="2542"/>
      <c r="F4" s="2542"/>
      <c r="G4" s="2542"/>
      <c r="H4" s="2542"/>
      <c r="I4" s="2542"/>
      <c r="J4" s="2542"/>
      <c r="K4" s="2542"/>
      <c r="L4" s="2542"/>
      <c r="M4" s="2542"/>
      <c r="N4" s="2542"/>
      <c r="O4" s="2542"/>
      <c r="P4" s="2542"/>
    </row>
    <row r="5" spans="1:16" ht="31.2">
      <c r="A5" s="2546" t="s">
        <v>2335</v>
      </c>
      <c r="B5" s="2547" t="s">
        <v>2336</v>
      </c>
      <c r="C5" s="2548"/>
      <c r="D5" s="2542"/>
      <c r="E5" s="2549" t="s">
        <v>2337</v>
      </c>
      <c r="F5" s="2542"/>
      <c r="G5" s="2542"/>
      <c r="H5" s="2542"/>
      <c r="I5" s="2542"/>
      <c r="J5" s="2542"/>
      <c r="K5" s="2542"/>
      <c r="L5" s="2542"/>
      <c r="M5" s="2542"/>
      <c r="N5" s="2542"/>
      <c r="O5" s="2542"/>
      <c r="P5" s="2542"/>
    </row>
    <row r="6" spans="1:16" ht="15.6">
      <c r="A6" s="2550" t="s">
        <v>2338</v>
      </c>
      <c r="B6" s="1704">
        <f ca="1">SUMIF(INDIRECT("'"&amp;A6&amp;"'"&amp;"!A:A"),"总价",INDIRECT("'"&amp;A6&amp;"'"&amp;"!B:B"))</f>
        <v>2850</v>
      </c>
      <c r="C6" s="2543" t="s">
        <v>2332</v>
      </c>
      <c r="D6" s="2542"/>
      <c r="E6" s="2544">
        <f ca="1">SUMIF(INDIRECT("'"&amp;A6&amp;"'"&amp;"!C:C"),"建筑面积",INDIRECT("'"&amp;A6&amp;"'"&amp;"!D:D"))</f>
        <v>41059.64</v>
      </c>
      <c r="F6" s="2542"/>
      <c r="G6" s="2542"/>
      <c r="H6" s="2542"/>
      <c r="I6" s="2542"/>
      <c r="J6" s="2542"/>
      <c r="K6" s="2542"/>
      <c r="L6" s="2542"/>
      <c r="M6" s="2542"/>
      <c r="N6" s="2542"/>
      <c r="O6" s="2542"/>
      <c r="P6" s="2542"/>
    </row>
    <row r="7" spans="1:16" ht="15.6">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6">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6">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6">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6">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6">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6">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topLeftCell="F1" zoomScale="70" zoomScaleNormal="70" workbookViewId="0">
      <pane ySplit="12" topLeftCell="A13" activePane="bottomLeft" state="frozen"/>
      <selection activeCell="I17" sqref="I17"/>
      <selection pane="bottomLeft" activeCell="K13" sqref="K13"/>
    </sheetView>
  </sheetViews>
  <sheetFormatPr defaultColWidth="9" defaultRowHeight="13.2"/>
  <cols>
    <col min="1" max="1" width="9" style="543"/>
    <col min="2" max="7" width="9" style="543" customWidth="1"/>
    <col min="8" max="8" width="9" style="2576"/>
    <col min="9" max="9" width="9" style="543"/>
    <col min="10" max="13" width="9" style="543" customWidth="1"/>
    <col min="14" max="14" width="2.44140625" style="2575" customWidth="1"/>
    <col min="15" max="15" width="9" style="2576" customWidth="1"/>
    <col min="16" max="18" width="9" style="543" customWidth="1"/>
    <col min="19" max="19" width="2.77734375" style="2575" customWidth="1"/>
    <col min="20" max="20" width="7.109375" style="2576" customWidth="1"/>
    <col min="21" max="23" width="7.109375" style="543" customWidth="1"/>
    <col min="24" max="24" width="2.44140625" style="2575" customWidth="1"/>
    <col min="25" max="30" width="9.77734375" style="543" customWidth="1"/>
    <col min="31" max="31" width="2.44140625" style="2575" customWidth="1"/>
    <col min="32" max="37" width="9.44140625" style="543" customWidth="1"/>
    <col min="38" max="16384" width="9" style="543"/>
  </cols>
  <sheetData>
    <row r="1" spans="1:37" s="2551" customFormat="1">
      <c r="B1" s="3308" t="s">
        <v>670</v>
      </c>
      <c r="C1" s="3308"/>
      <c r="D1" s="3308"/>
      <c r="E1" s="3308"/>
      <c r="F1" s="3308"/>
      <c r="G1" s="3308"/>
      <c r="H1" s="3304" t="s">
        <v>671</v>
      </c>
      <c r="I1" s="3304"/>
      <c r="J1" s="3304"/>
      <c r="K1" s="3304"/>
      <c r="L1" s="3304"/>
      <c r="M1" s="3304"/>
      <c r="N1" s="2552"/>
      <c r="O1" s="3304" t="s">
        <v>672</v>
      </c>
      <c r="P1" s="3304"/>
      <c r="Q1" s="3304"/>
      <c r="R1" s="3304"/>
      <c r="S1" s="2552"/>
      <c r="T1" s="3304" t="s">
        <v>673</v>
      </c>
      <c r="U1" s="3304"/>
      <c r="V1" s="3304"/>
      <c r="W1" s="3304"/>
      <c r="X1" s="2552"/>
      <c r="Y1" s="3303" t="s">
        <v>674</v>
      </c>
      <c r="Z1" s="3304"/>
      <c r="AA1" s="3304"/>
      <c r="AB1" s="3304"/>
      <c r="AC1" s="3304"/>
      <c r="AD1" s="3304"/>
      <c r="AE1" s="2552"/>
      <c r="AF1" s="3303" t="s">
        <v>675</v>
      </c>
      <c r="AG1" s="3304"/>
      <c r="AH1" s="3304"/>
      <c r="AI1" s="3304"/>
      <c r="AJ1" s="3304"/>
      <c r="AK1" s="3304"/>
    </row>
    <row r="2" spans="1:37" s="2553" customFormat="1" ht="1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4">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4">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8"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4"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8"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8"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8"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8"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8"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8"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8"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8"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30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30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30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1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8" thickBot="1">
      <c r="A26" s="2578" t="s">
        <v>2369</v>
      </c>
      <c r="B26" s="2862">
        <v>439</v>
      </c>
      <c r="C26" s="2862">
        <v>327</v>
      </c>
      <c r="D26" s="2862">
        <f>C26</f>
        <v>327</v>
      </c>
      <c r="E26" s="2862"/>
      <c r="F26" s="2862">
        <v>627</v>
      </c>
      <c r="G26" s="2862">
        <v>283</v>
      </c>
      <c r="H26" s="330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30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30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1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8" thickBot="1">
      <c r="A30" s="2578" t="s">
        <v>130</v>
      </c>
      <c r="B30" s="2862">
        <v>392</v>
      </c>
      <c r="C30" s="2862">
        <v>302</v>
      </c>
      <c r="D30" s="2862">
        <f>C30</f>
        <v>302</v>
      </c>
      <c r="E30" s="2862"/>
      <c r="F30" s="2862">
        <v>553</v>
      </c>
      <c r="G30" s="2862">
        <v>266</v>
      </c>
      <c r="H30" s="330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8"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30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8"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30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8"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30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8" thickBot="1">
      <c r="A34" s="2578" t="s">
        <v>127</v>
      </c>
      <c r="B34" s="2862">
        <v>333</v>
      </c>
      <c r="C34" s="2862">
        <v>277</v>
      </c>
      <c r="D34" s="2862">
        <f t="shared" si="210"/>
        <v>277</v>
      </c>
      <c r="E34" s="2862"/>
      <c r="F34" s="2862">
        <v>459</v>
      </c>
      <c r="G34" s="2862">
        <v>249</v>
      </c>
      <c r="H34" s="330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8"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30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8"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30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8"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30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8"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8"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8"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8" hidden="1" thickBot="1">
      <c r="A42" s="2574" t="s">
        <v>682</v>
      </c>
      <c r="B42" s="2599">
        <v>299</v>
      </c>
      <c r="C42" s="2599">
        <v>252</v>
      </c>
      <c r="D42" s="2599">
        <f t="shared" si="210"/>
        <v>252</v>
      </c>
      <c r="E42" s="2599"/>
      <c r="F42" s="2599">
        <v>409</v>
      </c>
      <c r="G42" s="2600">
        <v>227</v>
      </c>
      <c r="H42" s="331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1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1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1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8" hidden="1" thickBot="1">
      <c r="A46" s="2574" t="s">
        <v>686</v>
      </c>
      <c r="B46" s="2611">
        <v>278</v>
      </c>
      <c r="C46" s="2611">
        <v>234</v>
      </c>
      <c r="D46" s="2611">
        <f t="shared" si="210"/>
        <v>234</v>
      </c>
      <c r="E46" s="2611"/>
      <c r="F46" s="2611">
        <v>379</v>
      </c>
      <c r="G46" s="2612">
        <v>220</v>
      </c>
      <c r="H46" s="330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30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30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8" hidden="1" thickBot="1">
      <c r="A49" s="2574" t="s">
        <v>689</v>
      </c>
      <c r="B49" s="543">
        <f>B48/(1+O48)</f>
        <v>275.19025476197027</v>
      </c>
      <c r="C49" s="2615">
        <v>232</v>
      </c>
      <c r="D49" s="2615">
        <f t="shared" si="210"/>
        <v>232</v>
      </c>
      <c r="E49" s="2615"/>
      <c r="F49" s="543">
        <f t="shared" si="219"/>
        <v>375.65990977608692</v>
      </c>
      <c r="G49" s="543">
        <f t="shared" si="219"/>
        <v>214.12518283971252</v>
      </c>
      <c r="H49" s="330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8" hidden="1" thickBot="1">
      <c r="A50" s="2574" t="s">
        <v>690</v>
      </c>
      <c r="B50" s="2599">
        <v>275</v>
      </c>
      <c r="C50" s="2599">
        <v>232</v>
      </c>
      <c r="D50" s="2599">
        <f t="shared" si="210"/>
        <v>232</v>
      </c>
      <c r="E50" s="2599"/>
      <c r="F50" s="2599">
        <v>376</v>
      </c>
      <c r="G50" s="2600">
        <v>213</v>
      </c>
      <c r="H50" s="330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30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8"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30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8" hidden="1" thickBot="1">
      <c r="A54" s="2574" t="s">
        <v>694</v>
      </c>
      <c r="B54" s="2599">
        <v>269</v>
      </c>
      <c r="C54" s="2599">
        <v>221</v>
      </c>
      <c r="D54" s="2599">
        <f t="shared" si="210"/>
        <v>221</v>
      </c>
      <c r="E54" s="2599"/>
      <c r="F54" s="2599">
        <v>373</v>
      </c>
      <c r="G54" s="2600">
        <v>196</v>
      </c>
      <c r="H54" s="330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30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8"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30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8" hidden="1" thickBot="1">
      <c r="A58" s="2574" t="s">
        <v>698</v>
      </c>
      <c r="B58" s="2599">
        <v>220</v>
      </c>
      <c r="C58" s="2599">
        <v>187</v>
      </c>
      <c r="D58" s="2599">
        <f t="shared" si="210"/>
        <v>187</v>
      </c>
      <c r="E58" s="2599"/>
      <c r="F58" s="2599">
        <v>301</v>
      </c>
      <c r="G58" s="2600">
        <v>168</v>
      </c>
      <c r="H58" s="330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30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30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8" hidden="1" thickBot="1">
      <c r="A62" s="2574" t="s">
        <v>702</v>
      </c>
      <c r="B62" s="2611">
        <v>214</v>
      </c>
      <c r="C62" s="2611">
        <v>188</v>
      </c>
      <c r="D62" s="2611">
        <f t="shared" si="210"/>
        <v>188</v>
      </c>
      <c r="E62" s="2611"/>
      <c r="F62" s="2611">
        <v>289</v>
      </c>
      <c r="G62" s="2612">
        <v>166</v>
      </c>
      <c r="H62" s="330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30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8"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30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8" hidden="1" thickBot="1">
      <c r="A66" s="2574" t="s">
        <v>706</v>
      </c>
      <c r="B66" s="2599">
        <v>188</v>
      </c>
      <c r="C66" s="2599">
        <v>165</v>
      </c>
      <c r="D66" s="2599">
        <f t="shared" si="210"/>
        <v>165</v>
      </c>
      <c r="E66" s="2599"/>
      <c r="F66" s="2599">
        <v>254</v>
      </c>
      <c r="G66" s="2600">
        <v>148</v>
      </c>
      <c r="H66" s="330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30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30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8" hidden="1" thickBot="1">
      <c r="A70" s="2574" t="s">
        <v>710</v>
      </c>
      <c r="B70" s="2627">
        <v>159</v>
      </c>
      <c r="C70" s="2627">
        <v>141</v>
      </c>
      <c r="D70" s="2627">
        <f t="shared" si="210"/>
        <v>141</v>
      </c>
      <c r="E70" s="2627"/>
      <c r="F70" s="2627">
        <v>195</v>
      </c>
      <c r="G70" s="2628">
        <v>122</v>
      </c>
      <c r="H70" s="330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30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30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8" hidden="1" thickBot="1">
      <c r="A74" s="2574" t="s">
        <v>714</v>
      </c>
      <c r="B74" s="2627">
        <v>138</v>
      </c>
      <c r="C74" s="2627">
        <v>131</v>
      </c>
      <c r="D74" s="2627">
        <f t="shared" si="210"/>
        <v>131</v>
      </c>
      <c r="E74" s="2627"/>
      <c r="F74" s="2627">
        <v>155</v>
      </c>
      <c r="G74" s="2628">
        <v>114</v>
      </c>
      <c r="H74" s="330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30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30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8" hidden="1" thickBot="1">
      <c r="A78" s="2574" t="s">
        <v>718</v>
      </c>
      <c r="B78" s="2611">
        <v>121</v>
      </c>
      <c r="C78" s="2611">
        <v>122</v>
      </c>
      <c r="D78" s="2611">
        <f t="shared" si="210"/>
        <v>122</v>
      </c>
      <c r="E78" s="2611"/>
      <c r="F78" s="2611">
        <v>124</v>
      </c>
      <c r="G78" s="2612">
        <v>107</v>
      </c>
      <c r="H78" s="330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30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8"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30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8" hidden="1" thickBot="1">
      <c r="A82" s="2574" t="s">
        <v>722</v>
      </c>
      <c r="B82" s="2631">
        <v>111</v>
      </c>
      <c r="C82" s="2631">
        <v>114</v>
      </c>
      <c r="D82" s="2631">
        <f t="shared" si="210"/>
        <v>114</v>
      </c>
      <c r="E82" s="2631"/>
      <c r="F82" s="2631">
        <v>108</v>
      </c>
      <c r="G82" s="2632">
        <v>104</v>
      </c>
      <c r="H82" s="330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30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306">
        <v>2003</v>
      </c>
      <c r="I84" s="2607">
        <v>2</v>
      </c>
    </row>
    <row r="85" spans="1:31" ht="13.8" hidden="1" thickBot="1">
      <c r="A85" s="2574" t="s">
        <v>725</v>
      </c>
      <c r="B85" s="2624">
        <f t="shared" si="244"/>
        <v>107.25</v>
      </c>
      <c r="C85" s="2624">
        <f t="shared" si="244"/>
        <v>108.75</v>
      </c>
      <c r="D85" s="2624">
        <f t="shared" si="210"/>
        <v>108.75</v>
      </c>
      <c r="E85" s="2624"/>
      <c r="F85" s="2624">
        <f t="shared" si="245"/>
        <v>105.75</v>
      </c>
      <c r="G85" s="2624">
        <f t="shared" si="245"/>
        <v>102.5</v>
      </c>
      <c r="H85" s="3307">
        <v>2003</v>
      </c>
      <c r="I85" s="2633">
        <v>1</v>
      </c>
    </row>
    <row r="86" spans="1:31" ht="13.8" hidden="1" thickBot="1">
      <c r="A86" s="2574" t="s">
        <v>726</v>
      </c>
      <c r="B86" s="2611">
        <v>106</v>
      </c>
      <c r="C86" s="2611">
        <v>107</v>
      </c>
      <c r="D86" s="2611">
        <f t="shared" si="210"/>
        <v>107</v>
      </c>
      <c r="E86" s="2611"/>
      <c r="F86" s="2611">
        <v>105</v>
      </c>
      <c r="G86" s="2612">
        <v>102</v>
      </c>
      <c r="H86" s="330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30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306">
        <v>2002</v>
      </c>
      <c r="I88" s="2607">
        <v>2</v>
      </c>
    </row>
    <row r="89" spans="1:31" s="2635" customFormat="1" ht="13.8" hidden="1" thickBot="1">
      <c r="A89" s="2634" t="s">
        <v>729</v>
      </c>
      <c r="B89" s="2635">
        <f t="shared" si="246"/>
        <v>103</v>
      </c>
      <c r="C89" s="2635">
        <f t="shared" si="246"/>
        <v>104</v>
      </c>
      <c r="D89" s="2635">
        <f t="shared" si="210"/>
        <v>104</v>
      </c>
      <c r="F89" s="2635">
        <f t="shared" si="247"/>
        <v>103.5</v>
      </c>
      <c r="G89" s="2635">
        <f t="shared" si="247"/>
        <v>100.5</v>
      </c>
      <c r="H89" s="3307">
        <v>2002</v>
      </c>
      <c r="I89" s="2636">
        <v>1</v>
      </c>
      <c r="N89" s="2575"/>
      <c r="O89" s="2637"/>
      <c r="S89" s="2575"/>
      <c r="T89" s="2637"/>
      <c r="X89" s="2575"/>
      <c r="AE89" s="2575"/>
    </row>
    <row r="90" spans="1:31" ht="13.8"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3.2"/>
  <cols>
    <col min="1" max="1" width="11.44140625" style="591" customWidth="1"/>
    <col min="2" max="2" width="9.2187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7" t="s">
        <v>2342</v>
      </c>
      <c r="D1" s="3318"/>
      <c r="E1" s="3318"/>
      <c r="F1" s="3318"/>
      <c r="G1" s="3318"/>
      <c r="H1" s="3318"/>
      <c r="I1" s="3318"/>
      <c r="J1" s="3318"/>
      <c r="K1" s="3318"/>
      <c r="L1" s="3318"/>
      <c r="M1" s="3318"/>
      <c r="N1" s="3318"/>
      <c r="O1" s="3318"/>
      <c r="P1" s="3318"/>
      <c r="Q1" s="3318"/>
      <c r="R1" s="3318"/>
      <c r="S1" s="331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8"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8"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8"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8"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8"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8"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8"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8"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2"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6">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4" t="s">
        <v>30</v>
      </c>
      <c r="D22" s="3315"/>
      <c r="E22" s="3315"/>
      <c r="F22" s="3315"/>
      <c r="G22" s="3315"/>
      <c r="H22" s="3315"/>
      <c r="I22" s="3315"/>
      <c r="J22" s="3315"/>
      <c r="K22" s="3315"/>
      <c r="L22" s="3315"/>
      <c r="M22" s="3315"/>
      <c r="N22" s="3315"/>
      <c r="O22" s="3315"/>
      <c r="P22" s="3315"/>
      <c r="Q22" s="331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5" customWidth="1"/>
    <col min="2" max="2" width="37.21875" style="2775" customWidth="1"/>
    <col min="3" max="3" width="11.33203125" style="2775" customWidth="1"/>
    <col min="4" max="4" width="31.77734375" style="2775" customWidth="1"/>
    <col min="5" max="5" width="0.44140625" style="2775" customWidth="1"/>
    <col min="6" max="7" width="13" style="2775" customWidth="1"/>
    <col min="8" max="16384" width="9" style="2775"/>
  </cols>
  <sheetData>
    <row r="1" spans="1:5" ht="17.399999999999999">
      <c r="A1" s="2773" t="s">
        <v>1125</v>
      </c>
      <c r="B1" s="2774"/>
      <c r="C1" s="2774"/>
      <c r="D1" s="2774"/>
      <c r="E1" s="2774"/>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7.399999999999999">
      <c r="A3" s="3007" t="str">
        <f>IF(项目基本情况!B9="房地产市场价值","估价结果一览表（市场价值不需“结果表-1”）","估价结果一览表")</f>
        <v>估价结果一览表</v>
      </c>
      <c r="B3" s="3007"/>
      <c r="C3" s="3007"/>
      <c r="D3" s="3007"/>
      <c r="E3" s="3007"/>
    </row>
    <row r="4" spans="1:5" ht="18" thickBot="1">
      <c r="A4" s="2776"/>
      <c r="B4" s="3005" t="s">
        <v>1134</v>
      </c>
      <c r="C4" s="3005"/>
      <c r="D4" s="3005"/>
      <c r="E4" s="2776"/>
    </row>
    <row r="5" spans="1:5" ht="16.2" thickTop="1">
      <c r="A5" s="2774"/>
      <c r="B5" s="3003" t="s">
        <v>1126</v>
      </c>
      <c r="C5" s="2777" t="s">
        <v>1127</v>
      </c>
      <c r="D5" s="2778" t="e">
        <f ca="1">结果表!H101</f>
        <v>#REF!</v>
      </c>
      <c r="E5" s="2774"/>
    </row>
    <row r="6" spans="1:5" ht="15.6">
      <c r="A6" s="2774"/>
      <c r="B6" s="3003"/>
      <c r="C6" s="2777" t="s">
        <v>1128</v>
      </c>
      <c r="D6" s="2778" t="e">
        <f ca="1">NUMBERSTRING(INT(D5*10000),2)&amp;"元整"</f>
        <v>#REF!</v>
      </c>
      <c r="E6" s="2774"/>
    </row>
    <row r="7" spans="1:5" ht="15.6">
      <c r="A7" s="2774"/>
      <c r="B7" s="3008"/>
      <c r="C7" s="2779" t="s">
        <v>1129</v>
      </c>
      <c r="D7" s="2780" t="e">
        <f ca="1">结果表!H102</f>
        <v>#REF!</v>
      </c>
      <c r="E7" s="2774"/>
    </row>
    <row r="8" spans="1:5" ht="15.6">
      <c r="A8" s="2774"/>
      <c r="B8" s="3009" t="str">
        <f>结果表!E103</f>
        <v>2.估价师知悉的法定优先受偿款</v>
      </c>
      <c r="C8" s="2781" t="s">
        <v>1130</v>
      </c>
      <c r="D8" s="2780">
        <f>结果表!H103</f>
        <v>0</v>
      </c>
      <c r="E8" s="2774"/>
    </row>
    <row r="9" spans="1:5" ht="15.6">
      <c r="A9" s="2774"/>
      <c r="B9" s="3011"/>
      <c r="C9" s="2777" t="s">
        <v>1128</v>
      </c>
      <c r="D9" s="2778" t="str">
        <f>NUMBERSTRING(INT(D8*10000),2)&amp;"元整"</f>
        <v>零元整</v>
      </c>
      <c r="E9" s="2774"/>
    </row>
    <row r="10" spans="1:5" ht="15.6">
      <c r="A10" s="2774"/>
      <c r="B10" s="2782" t="s">
        <v>1133</v>
      </c>
      <c r="C10" s="2783" t="s">
        <v>1131</v>
      </c>
      <c r="D10" s="2784">
        <f>结果表!H104</f>
        <v>0</v>
      </c>
      <c r="E10" s="2774"/>
    </row>
    <row r="11" spans="1:5" ht="15.6">
      <c r="A11" s="2774"/>
      <c r="B11" s="2782" t="s">
        <v>1135</v>
      </c>
      <c r="C11" s="2783" t="s">
        <v>1136</v>
      </c>
      <c r="D11" s="2784">
        <f>结果表!H105</f>
        <v>0</v>
      </c>
      <c r="E11" s="2774"/>
    </row>
    <row r="12" spans="1:5" ht="15.6">
      <c r="A12" s="2774"/>
      <c r="B12" s="2782" t="s">
        <v>1137</v>
      </c>
      <c r="C12" s="2783" t="s">
        <v>1136</v>
      </c>
      <c r="D12" s="2784">
        <f>结果表!H106</f>
        <v>0</v>
      </c>
      <c r="E12" s="2774"/>
    </row>
    <row r="13" spans="1:5" ht="15.6">
      <c r="A13" s="2774"/>
      <c r="B13" s="3002" t="str">
        <f>结果表!E107</f>
        <v>3.房地产抵押价值</v>
      </c>
      <c r="C13" s="2785" t="s">
        <v>1127</v>
      </c>
      <c r="D13" s="2786" t="e">
        <f ca="1">结果表!H107</f>
        <v>#REF!</v>
      </c>
      <c r="E13" s="2774"/>
    </row>
    <row r="14" spans="1:5" ht="15.6">
      <c r="A14" s="2774"/>
      <c r="B14" s="3003"/>
      <c r="C14" s="2777" t="s">
        <v>1128</v>
      </c>
      <c r="D14" s="2778" t="e">
        <f ca="1">NUMBERSTRING(INT(D13*10000),2)&amp;"元整"</f>
        <v>#REF!</v>
      </c>
      <c r="E14" s="2774"/>
    </row>
    <row r="15" spans="1:5" ht="15.6">
      <c r="A15" s="2774"/>
      <c r="B15" s="3008"/>
      <c r="C15" s="2779" t="s">
        <v>1138</v>
      </c>
      <c r="D15" s="2787" t="e">
        <f ca="1">结果表!H108</f>
        <v>#REF!</v>
      </c>
      <c r="E15" s="2774"/>
    </row>
    <row r="16" spans="1:5" ht="15.6">
      <c r="A16" s="2774"/>
      <c r="B16" s="3009" t="str">
        <f>结果表!E109</f>
        <v>——</v>
      </c>
      <c r="C16" s="2785" t="s">
        <v>1139</v>
      </c>
      <c r="D16" s="2788" t="str">
        <f>结果表!H109</f>
        <v>——</v>
      </c>
      <c r="E16" s="2774"/>
    </row>
    <row r="17" spans="1:5" ht="15.6">
      <c r="A17" s="2774"/>
      <c r="B17" s="3010"/>
      <c r="C17" s="2777" t="s">
        <v>1140</v>
      </c>
      <c r="D17" s="2778" t="e">
        <f>NUMBERSTRING(INT(D16*10000),2)&amp;"元整"</f>
        <v>#VALUE!</v>
      </c>
      <c r="E17" s="2774"/>
    </row>
    <row r="18" spans="1:5" ht="15.6">
      <c r="A18" s="2774"/>
      <c r="B18" s="3011"/>
      <c r="C18" s="2779" t="s">
        <v>1129</v>
      </c>
      <c r="D18" s="2787" t="str">
        <f>结果表!H110</f>
        <v>——</v>
      </c>
      <c r="E18" s="2774"/>
    </row>
    <row r="19" spans="1:5" ht="15.6">
      <c r="A19" s="2774"/>
      <c r="B19" s="3002" t="str">
        <f>结果表!E111</f>
        <v>——</v>
      </c>
      <c r="C19" s="2785" t="s">
        <v>1127</v>
      </c>
      <c r="D19" s="2780" t="str">
        <f>结果表!H111</f>
        <v>——</v>
      </c>
      <c r="E19" s="2774"/>
    </row>
    <row r="20" spans="1:5" ht="15.6">
      <c r="A20" s="2774"/>
      <c r="B20" s="3003"/>
      <c r="C20" s="2777" t="s">
        <v>1140</v>
      </c>
      <c r="D20" s="2778" t="e">
        <f>NUMBERSTRING(INT(D19*10000),2)&amp;"元整"</f>
        <v>#VALUE!</v>
      </c>
      <c r="E20" s="2774"/>
    </row>
    <row r="21" spans="1:5" ht="16.2" thickBot="1">
      <c r="A21" s="2774"/>
      <c r="B21" s="3004"/>
      <c r="C21" s="2789" t="s">
        <v>1138</v>
      </c>
      <c r="D21" s="2790" t="str">
        <f>结果表!H112</f>
        <v>——</v>
      </c>
      <c r="E21" s="2774"/>
    </row>
    <row r="22" spans="1:5" ht="14.4" thickTop="1">
      <c r="A22" s="2774"/>
      <c r="B22" s="2791" t="s">
        <v>1141</v>
      </c>
      <c r="C22" s="2774"/>
      <c r="D22" s="2774"/>
      <c r="E22" s="2774"/>
    </row>
    <row r="23" spans="1:5">
      <c r="A23" s="2774"/>
      <c r="B23" s="2774"/>
      <c r="C23" s="2774"/>
      <c r="D23" s="2774"/>
      <c r="E23" s="2774"/>
    </row>
    <row r="24" spans="1:5" ht="17.399999999999999">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3203125" defaultRowHeight="13.2"/>
  <cols>
    <col min="1" max="1" width="9.33203125" style="1205" customWidth="1"/>
    <col min="2" max="2" width="29.21875" style="1191" customWidth="1"/>
    <col min="3" max="3" width="16.44140625" style="1191" customWidth="1"/>
    <col min="4" max="4" width="18.44140625" style="1208" customWidth="1"/>
    <col min="5" max="5" width="11.21875" style="1208" customWidth="1"/>
    <col min="6" max="6" width="9.44140625" style="1191" customWidth="1"/>
    <col min="7" max="7" width="31.88671875" style="1191" customWidth="1"/>
    <col min="8" max="254" width="9" style="1191" customWidth="1"/>
    <col min="255" max="16384" width="8.33203125" style="1191"/>
  </cols>
  <sheetData>
    <row r="1" spans="1:7" s="1135" customFormat="1" ht="21">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6.2">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6.4">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6.2">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7" t="s">
        <v>97</v>
      </c>
    </row>
    <row r="43" spans="1:7" ht="13.5" customHeight="1">
      <c r="A43" s="1179" t="s">
        <v>555</v>
      </c>
      <c r="B43" s="1155" t="s">
        <v>644</v>
      </c>
      <c r="C43" s="1180" t="e">
        <f ca="1">ROUND(IF('数据-取费表'!B22&lt;=1,C39*F22*'数据-取费表'!B21/2,C39*(POWER((1+F22),'数据-取费表'!B21/2)-1)),0)</f>
        <v>#VALUE!</v>
      </c>
      <c r="D43" s="1180"/>
      <c r="E43" s="1180"/>
      <c r="F43" s="1181"/>
      <c r="G43" s="3178"/>
    </row>
    <row r="44" spans="1:7" ht="13.5" customHeight="1">
      <c r="A44" s="1179" t="s">
        <v>556</v>
      </c>
      <c r="B44" s="1155" t="s">
        <v>646</v>
      </c>
      <c r="C44" s="1180" t="e">
        <f ca="1">ROUND(IF('数据-取费表'!B22&lt;=1,C40*F22*'数据-取费表'!B21/2,C40*(POWER((1+F22),'数据-取费表'!B21/2)-1)),4)</f>
        <v>#VALUE!</v>
      </c>
      <c r="D44" s="1180"/>
      <c r="E44" s="1180"/>
      <c r="F44" s="1181"/>
      <c r="G44" s="317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8"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I17" sqref="I17"/>
    </sheetView>
  </sheetViews>
  <sheetFormatPr defaultColWidth="8.88671875" defaultRowHeight="14.4"/>
  <cols>
    <col min="1" max="7" width="8.88671875" style="563"/>
    <col min="8" max="9" width="9" style="563" customWidth="1"/>
    <col min="10" max="10" width="2.88671875" style="563" customWidth="1"/>
    <col min="11" max="16" width="8.88671875" style="563" customWidth="1"/>
    <col min="17" max="17" width="3" style="563" customWidth="1"/>
    <col min="18" max="18" width="8.88671875" style="563" customWidth="1"/>
    <col min="19" max="19" width="10.44140625" style="563" customWidth="1"/>
    <col min="20" max="22" width="8.88671875" style="563" customWidth="1"/>
    <col min="23" max="23" width="11.109375" style="563" customWidth="1"/>
    <col min="24" max="24" width="2.88671875" style="563" customWidth="1"/>
    <col min="25" max="16384" width="8.88671875" style="563"/>
  </cols>
  <sheetData>
    <row r="1" spans="1:30" s="2551" customFormat="1" ht="13.2">
      <c r="A1" s="2844">
        <f>基准地价修正!G23</f>
        <v>44889</v>
      </c>
      <c r="B1" s="2748" t="s">
        <v>3086</v>
      </c>
      <c r="C1" s="2749"/>
      <c r="D1" s="2749"/>
      <c r="E1" s="2749"/>
      <c r="F1" s="2749"/>
      <c r="G1" s="2749"/>
      <c r="H1" s="2749"/>
      <c r="I1" s="2749"/>
      <c r="J1" s="2552"/>
      <c r="K1" s="2749" t="s">
        <v>672</v>
      </c>
      <c r="L1" s="2749"/>
      <c r="M1" s="2749"/>
      <c r="N1" s="2749"/>
      <c r="O1" s="2749"/>
      <c r="P1" s="2749"/>
      <c r="Q1" s="2552"/>
      <c r="R1" s="3303" t="s">
        <v>674</v>
      </c>
      <c r="S1" s="3304"/>
      <c r="T1" s="3304"/>
      <c r="U1" s="3304"/>
      <c r="V1" s="3304"/>
      <c r="W1" s="3304"/>
      <c r="X1" s="2552"/>
      <c r="Y1" s="3303" t="s">
        <v>675</v>
      </c>
      <c r="Z1" s="3304"/>
      <c r="AA1" s="3304"/>
      <c r="AB1" s="3304"/>
      <c r="AC1" s="3304"/>
      <c r="AD1" s="3304"/>
    </row>
    <row r="2" spans="1:30" s="2553" customFormat="1" ht="1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3.2">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3.2">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3.2">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3.2">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3.2">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3.2">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3.2">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3.2">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3.2">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3.2">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ht="13.8"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5" thickTop="1"/>
    <row r="16" spans="1:30">
      <c r="I16" s="2753" t="s">
        <v>3089</v>
      </c>
    </row>
    <row r="18" spans="1:30" s="2551" customFormat="1" ht="13.2">
      <c r="B18" s="2748" t="s">
        <v>3088</v>
      </c>
      <c r="C18" s="2749"/>
      <c r="D18" s="2749"/>
      <c r="E18" s="2749"/>
      <c r="F18" s="2749"/>
      <c r="G18" s="2749"/>
      <c r="H18" s="2749"/>
      <c r="I18" s="2749"/>
      <c r="J18" s="2552"/>
      <c r="K18" s="2749" t="s">
        <v>672</v>
      </c>
      <c r="L18" s="2749"/>
      <c r="M18" s="2749"/>
      <c r="N18" s="2749"/>
      <c r="O18" s="2749"/>
      <c r="P18" s="2749"/>
      <c r="Q18" s="2552"/>
      <c r="R18" s="3303" t="s">
        <v>674</v>
      </c>
      <c r="S18" s="3304"/>
      <c r="T18" s="3304"/>
      <c r="U18" s="3304"/>
      <c r="V18" s="3304"/>
      <c r="W18" s="3304"/>
      <c r="X18" s="2552"/>
      <c r="Y18" s="3303" t="s">
        <v>675</v>
      </c>
      <c r="Z18" s="3304"/>
      <c r="AA18" s="3304"/>
      <c r="AB18" s="3304"/>
      <c r="AC18" s="3304"/>
      <c r="AD18" s="3304"/>
    </row>
    <row r="19" spans="1:30" s="2553" customFormat="1" ht="1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3.2">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3.2">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3.2">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3.2">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3.2">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3.2">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3.2">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3.2">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3.2">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3.2">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ht="13.8"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I17" sqref="I17"/>
    </sheetView>
  </sheetViews>
  <sheetFormatPr defaultColWidth="8.88671875" defaultRowHeight="10.8"/>
  <cols>
    <col min="1" max="1" width="9.6640625" style="2649" customWidth="1"/>
    <col min="2" max="2" width="18.6640625" style="2649" customWidth="1"/>
    <col min="3" max="6" width="10.21875" style="2649" customWidth="1"/>
    <col min="7" max="7" width="10.44140625" style="2649" bestFit="1" customWidth="1"/>
    <col min="8" max="8" width="8.88671875" style="2645"/>
    <col min="9" max="9" width="13.33203125" style="2645" customWidth="1"/>
    <col min="10" max="13" width="13.33203125" style="2649" customWidth="1"/>
    <col min="14" max="14" width="18.21875" style="2649" customWidth="1"/>
    <col min="15" max="17" width="15.109375" style="2649" customWidth="1"/>
    <col min="18" max="20" width="11.44140625" style="2649" customWidth="1"/>
    <col min="21" max="16384" width="8.88671875" style="2649"/>
  </cols>
  <sheetData>
    <row r="1" spans="1:20" ht="11.4" thickBot="1">
      <c r="A1" s="3320" t="s">
        <v>3039</v>
      </c>
      <c r="B1" s="3320"/>
      <c r="C1" s="3320"/>
      <c r="D1" s="3320"/>
      <c r="E1" s="3320"/>
      <c r="F1" s="3320"/>
      <c r="G1" s="332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1.4"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2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1.4" thickBot="1">
      <c r="A4" s="332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1.4"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1.4"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1.4"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1.4"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1.4"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1.4"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1.4"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1.4"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1.4"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1.4"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1.4"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1.4"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1.4"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1.4"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1.4"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1.4"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1.4"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1.4"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1.4"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1.4"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1.4"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1.4"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1.4"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activeCell="I17" sqref="I17"/>
      <selection pane="topRight" activeCell="I17" sqref="I17"/>
      <selection pane="bottomLeft" activeCell="I17" sqref="I17"/>
      <selection pane="bottomRight" activeCell="I17" sqref="I17"/>
    </sheetView>
  </sheetViews>
  <sheetFormatPr defaultColWidth="8.88671875" defaultRowHeight="14.4"/>
  <cols>
    <col min="1" max="1" width="12.6640625" style="390" customWidth="1"/>
    <col min="2" max="2" width="20" style="390" customWidth="1"/>
    <col min="3" max="7" width="8.88671875" style="399"/>
    <col min="8" max="16384" width="8.88671875" style="381"/>
  </cols>
  <sheetData>
    <row r="1" spans="1:7">
      <c r="A1" s="3324" t="s">
        <v>601</v>
      </c>
      <c r="B1" s="3324"/>
    </row>
    <row r="2" spans="1:7" ht="15" thickBot="1">
      <c r="A2" s="398"/>
      <c r="B2" s="398"/>
    </row>
    <row r="3" spans="1:7" ht="15" thickBot="1">
      <c r="A3" s="398"/>
      <c r="B3" s="398"/>
      <c r="C3" s="382" t="s">
        <v>604</v>
      </c>
      <c r="D3" s="382" t="s">
        <v>605</v>
      </c>
      <c r="E3" s="382" t="s">
        <v>606</v>
      </c>
      <c r="F3" s="382" t="s">
        <v>158</v>
      </c>
      <c r="G3" s="382" t="s">
        <v>2710</v>
      </c>
    </row>
    <row r="4" spans="1:7" ht="1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4.4"/>
  <cols>
    <col min="1" max="1" width="4.88671875" style="2688" customWidth="1"/>
    <col min="2" max="2" width="13.21875" style="2694" customWidth="1"/>
    <col min="3" max="3" width="15.6640625" style="2694" customWidth="1"/>
    <col min="4" max="4" width="9.33203125" style="2694" bestFit="1" customWidth="1"/>
    <col min="5" max="5" width="13.44140625" style="2694" customWidth="1"/>
    <col min="6" max="6" width="9" style="2694"/>
    <col min="7" max="7" width="9.33203125" style="2694" bestFit="1" customWidth="1"/>
    <col min="8" max="8" width="12.21875" style="2694" customWidth="1"/>
    <col min="9" max="9" width="9" style="2694"/>
    <col min="10" max="10" width="9.33203125" style="2694" bestFit="1" customWidth="1"/>
    <col min="11" max="11" width="4" style="2688" customWidth="1"/>
    <col min="12" max="12" width="5.109375" style="2694" customWidth="1"/>
    <col min="13" max="13" width="13.77734375" style="2694" customWidth="1"/>
    <col min="14" max="256" width="9" style="2694"/>
    <col min="257" max="257" width="4.88671875" style="2687" customWidth="1"/>
    <col min="258" max="258" width="13.21875" style="2687" customWidth="1"/>
    <col min="259" max="259" width="15.6640625" style="2687" customWidth="1"/>
    <col min="260" max="260" width="9.33203125" style="2687" bestFit="1" customWidth="1"/>
    <col min="261" max="261" width="13.44140625" style="2687" customWidth="1"/>
    <col min="262" max="262" width="9" style="2687"/>
    <col min="263" max="263" width="9.33203125" style="2687" bestFit="1" customWidth="1"/>
    <col min="264" max="265" width="9" style="2687"/>
    <col min="266" max="266" width="9.33203125" style="2687" bestFit="1" customWidth="1"/>
    <col min="267" max="267" width="4" style="2687" customWidth="1"/>
    <col min="268" max="268" width="5.109375" style="2687" customWidth="1"/>
    <col min="269" max="269" width="13.77734375" style="2687" customWidth="1"/>
    <col min="270" max="512" width="9" style="2687"/>
    <col min="513" max="513" width="4.88671875" style="2687" customWidth="1"/>
    <col min="514" max="514" width="13.21875" style="2687" customWidth="1"/>
    <col min="515" max="515" width="15.6640625" style="2687" customWidth="1"/>
    <col min="516" max="516" width="9.33203125" style="2687" bestFit="1" customWidth="1"/>
    <col min="517" max="517" width="13.44140625" style="2687" customWidth="1"/>
    <col min="518" max="518" width="9" style="2687"/>
    <col min="519" max="519" width="9.33203125" style="2687" bestFit="1" customWidth="1"/>
    <col min="520" max="521" width="9" style="2687"/>
    <col min="522" max="522" width="9.33203125" style="2687" bestFit="1" customWidth="1"/>
    <col min="523" max="523" width="4" style="2687" customWidth="1"/>
    <col min="524" max="524" width="5.109375" style="2687" customWidth="1"/>
    <col min="525" max="525" width="13.77734375" style="2687" customWidth="1"/>
    <col min="526" max="768" width="9" style="2687"/>
    <col min="769" max="769" width="4.88671875" style="2687" customWidth="1"/>
    <col min="770" max="770" width="13.21875" style="2687" customWidth="1"/>
    <col min="771" max="771" width="15.6640625" style="2687" customWidth="1"/>
    <col min="772" max="772" width="9.33203125" style="2687" bestFit="1" customWidth="1"/>
    <col min="773" max="773" width="13.44140625" style="2687" customWidth="1"/>
    <col min="774" max="774" width="9" style="2687"/>
    <col min="775" max="775" width="9.33203125" style="2687" bestFit="1" customWidth="1"/>
    <col min="776" max="777" width="9" style="2687"/>
    <col min="778" max="778" width="9.33203125" style="2687" bestFit="1" customWidth="1"/>
    <col min="779" max="779" width="4" style="2687" customWidth="1"/>
    <col min="780" max="780" width="5.109375" style="2687" customWidth="1"/>
    <col min="781" max="781" width="13.77734375" style="2687" customWidth="1"/>
    <col min="782" max="1024" width="9" style="2687"/>
    <col min="1025" max="1025" width="4.88671875" style="2687" customWidth="1"/>
    <col min="1026" max="1026" width="13.21875" style="2687" customWidth="1"/>
    <col min="1027" max="1027" width="15.6640625" style="2687" customWidth="1"/>
    <col min="1028" max="1028" width="9.33203125" style="2687" bestFit="1" customWidth="1"/>
    <col min="1029" max="1029" width="13.44140625" style="2687" customWidth="1"/>
    <col min="1030" max="1030" width="9" style="2687"/>
    <col min="1031" max="1031" width="9.33203125" style="2687" bestFit="1" customWidth="1"/>
    <col min="1032" max="1033" width="9" style="2687"/>
    <col min="1034" max="1034" width="9.33203125" style="2687" bestFit="1" customWidth="1"/>
    <col min="1035" max="1035" width="4" style="2687" customWidth="1"/>
    <col min="1036" max="1036" width="5.109375" style="2687" customWidth="1"/>
    <col min="1037" max="1037" width="13.77734375" style="2687" customWidth="1"/>
    <col min="1038" max="1280" width="9" style="2687"/>
    <col min="1281" max="1281" width="4.88671875" style="2687" customWidth="1"/>
    <col min="1282" max="1282" width="13.21875" style="2687" customWidth="1"/>
    <col min="1283" max="1283" width="15.6640625" style="2687" customWidth="1"/>
    <col min="1284" max="1284" width="9.33203125" style="2687" bestFit="1" customWidth="1"/>
    <col min="1285" max="1285" width="13.44140625" style="2687" customWidth="1"/>
    <col min="1286" max="1286" width="9" style="2687"/>
    <col min="1287" max="1287" width="9.33203125" style="2687" bestFit="1" customWidth="1"/>
    <col min="1288" max="1289" width="9" style="2687"/>
    <col min="1290" max="1290" width="9.33203125" style="2687" bestFit="1" customWidth="1"/>
    <col min="1291" max="1291" width="4" style="2687" customWidth="1"/>
    <col min="1292" max="1292" width="5.109375" style="2687" customWidth="1"/>
    <col min="1293" max="1293" width="13.77734375" style="2687" customWidth="1"/>
    <col min="1294" max="1536" width="9" style="2687"/>
    <col min="1537" max="1537" width="4.88671875" style="2687" customWidth="1"/>
    <col min="1538" max="1538" width="13.21875" style="2687" customWidth="1"/>
    <col min="1539" max="1539" width="15.6640625" style="2687" customWidth="1"/>
    <col min="1540" max="1540" width="9.33203125" style="2687" bestFit="1" customWidth="1"/>
    <col min="1541" max="1541" width="13.44140625" style="2687" customWidth="1"/>
    <col min="1542" max="1542" width="9" style="2687"/>
    <col min="1543" max="1543" width="9.33203125" style="2687" bestFit="1" customWidth="1"/>
    <col min="1544" max="1545" width="9" style="2687"/>
    <col min="1546" max="1546" width="9.33203125" style="2687" bestFit="1" customWidth="1"/>
    <col min="1547" max="1547" width="4" style="2687" customWidth="1"/>
    <col min="1548" max="1548" width="5.109375" style="2687" customWidth="1"/>
    <col min="1549" max="1549" width="13.77734375" style="2687" customWidth="1"/>
    <col min="1550" max="1792" width="9" style="2687"/>
    <col min="1793" max="1793" width="4.88671875" style="2687" customWidth="1"/>
    <col min="1794" max="1794" width="13.21875" style="2687" customWidth="1"/>
    <col min="1795" max="1795" width="15.6640625" style="2687" customWidth="1"/>
    <col min="1796" max="1796" width="9.33203125" style="2687" bestFit="1" customWidth="1"/>
    <col min="1797" max="1797" width="13.44140625" style="2687" customWidth="1"/>
    <col min="1798" max="1798" width="9" style="2687"/>
    <col min="1799" max="1799" width="9.33203125" style="2687" bestFit="1" customWidth="1"/>
    <col min="1800" max="1801" width="9" style="2687"/>
    <col min="1802" max="1802" width="9.33203125" style="2687" bestFit="1" customWidth="1"/>
    <col min="1803" max="1803" width="4" style="2687" customWidth="1"/>
    <col min="1804" max="1804" width="5.109375" style="2687" customWidth="1"/>
    <col min="1805" max="1805" width="13.77734375" style="2687" customWidth="1"/>
    <col min="1806" max="2048" width="9" style="2687"/>
    <col min="2049" max="2049" width="4.88671875" style="2687" customWidth="1"/>
    <col min="2050" max="2050" width="13.21875" style="2687" customWidth="1"/>
    <col min="2051" max="2051" width="15.6640625" style="2687" customWidth="1"/>
    <col min="2052" max="2052" width="9.33203125" style="2687" bestFit="1" customWidth="1"/>
    <col min="2053" max="2053" width="13.44140625" style="2687" customWidth="1"/>
    <col min="2054" max="2054" width="9" style="2687"/>
    <col min="2055" max="2055" width="9.33203125" style="2687" bestFit="1" customWidth="1"/>
    <col min="2056" max="2057" width="9" style="2687"/>
    <col min="2058" max="2058" width="9.33203125" style="2687" bestFit="1" customWidth="1"/>
    <col min="2059" max="2059" width="4" style="2687" customWidth="1"/>
    <col min="2060" max="2060" width="5.109375" style="2687" customWidth="1"/>
    <col min="2061" max="2061" width="13.77734375" style="2687" customWidth="1"/>
    <col min="2062" max="2304" width="9" style="2687"/>
    <col min="2305" max="2305" width="4.88671875" style="2687" customWidth="1"/>
    <col min="2306" max="2306" width="13.21875" style="2687" customWidth="1"/>
    <col min="2307" max="2307" width="15.6640625" style="2687" customWidth="1"/>
    <col min="2308" max="2308" width="9.33203125" style="2687" bestFit="1" customWidth="1"/>
    <col min="2309" max="2309" width="13.44140625" style="2687" customWidth="1"/>
    <col min="2310" max="2310" width="9" style="2687"/>
    <col min="2311" max="2311" width="9.33203125" style="2687" bestFit="1" customWidth="1"/>
    <col min="2312" max="2313" width="9" style="2687"/>
    <col min="2314" max="2314" width="9.33203125" style="2687" bestFit="1" customWidth="1"/>
    <col min="2315" max="2315" width="4" style="2687" customWidth="1"/>
    <col min="2316" max="2316" width="5.109375" style="2687" customWidth="1"/>
    <col min="2317" max="2317" width="13.77734375" style="2687" customWidth="1"/>
    <col min="2318" max="2560" width="9" style="2687"/>
    <col min="2561" max="2561" width="4.88671875" style="2687" customWidth="1"/>
    <col min="2562" max="2562" width="13.21875" style="2687" customWidth="1"/>
    <col min="2563" max="2563" width="15.6640625" style="2687" customWidth="1"/>
    <col min="2564" max="2564" width="9.33203125" style="2687" bestFit="1" customWidth="1"/>
    <col min="2565" max="2565" width="13.44140625" style="2687" customWidth="1"/>
    <col min="2566" max="2566" width="9" style="2687"/>
    <col min="2567" max="2567" width="9.33203125" style="2687" bestFit="1" customWidth="1"/>
    <col min="2568" max="2569" width="9" style="2687"/>
    <col min="2570" max="2570" width="9.33203125" style="2687" bestFit="1" customWidth="1"/>
    <col min="2571" max="2571" width="4" style="2687" customWidth="1"/>
    <col min="2572" max="2572" width="5.109375" style="2687" customWidth="1"/>
    <col min="2573" max="2573" width="13.77734375" style="2687" customWidth="1"/>
    <col min="2574" max="2816" width="9" style="2687"/>
    <col min="2817" max="2817" width="4.88671875" style="2687" customWidth="1"/>
    <col min="2818" max="2818" width="13.21875" style="2687" customWidth="1"/>
    <col min="2819" max="2819" width="15.6640625" style="2687" customWidth="1"/>
    <col min="2820" max="2820" width="9.33203125" style="2687" bestFit="1" customWidth="1"/>
    <col min="2821" max="2821" width="13.44140625" style="2687" customWidth="1"/>
    <col min="2822" max="2822" width="9" style="2687"/>
    <col min="2823" max="2823" width="9.33203125" style="2687" bestFit="1" customWidth="1"/>
    <col min="2824" max="2825" width="9" style="2687"/>
    <col min="2826" max="2826" width="9.33203125" style="2687" bestFit="1" customWidth="1"/>
    <col min="2827" max="2827" width="4" style="2687" customWidth="1"/>
    <col min="2828" max="2828" width="5.109375" style="2687" customWidth="1"/>
    <col min="2829" max="2829" width="13.77734375" style="2687" customWidth="1"/>
    <col min="2830" max="3072" width="9" style="2687"/>
    <col min="3073" max="3073" width="4.88671875" style="2687" customWidth="1"/>
    <col min="3074" max="3074" width="13.21875" style="2687" customWidth="1"/>
    <col min="3075" max="3075" width="15.6640625" style="2687" customWidth="1"/>
    <col min="3076" max="3076" width="9.33203125" style="2687" bestFit="1" customWidth="1"/>
    <col min="3077" max="3077" width="13.44140625" style="2687" customWidth="1"/>
    <col min="3078" max="3078" width="9" style="2687"/>
    <col min="3079" max="3079" width="9.33203125" style="2687" bestFit="1" customWidth="1"/>
    <col min="3080" max="3081" width="9" style="2687"/>
    <col min="3082" max="3082" width="9.33203125" style="2687" bestFit="1" customWidth="1"/>
    <col min="3083" max="3083" width="4" style="2687" customWidth="1"/>
    <col min="3084" max="3084" width="5.109375" style="2687" customWidth="1"/>
    <col min="3085" max="3085" width="13.77734375" style="2687" customWidth="1"/>
    <col min="3086" max="3328" width="9" style="2687"/>
    <col min="3329" max="3329" width="4.88671875" style="2687" customWidth="1"/>
    <col min="3330" max="3330" width="13.21875" style="2687" customWidth="1"/>
    <col min="3331" max="3331" width="15.6640625" style="2687" customWidth="1"/>
    <col min="3332" max="3332" width="9.33203125" style="2687" bestFit="1" customWidth="1"/>
    <col min="3333" max="3333" width="13.44140625" style="2687" customWidth="1"/>
    <col min="3334" max="3334" width="9" style="2687"/>
    <col min="3335" max="3335" width="9.33203125" style="2687" bestFit="1" customWidth="1"/>
    <col min="3336" max="3337" width="9" style="2687"/>
    <col min="3338" max="3338" width="9.33203125" style="2687" bestFit="1" customWidth="1"/>
    <col min="3339" max="3339" width="4" style="2687" customWidth="1"/>
    <col min="3340" max="3340" width="5.109375" style="2687" customWidth="1"/>
    <col min="3341" max="3341" width="13.77734375" style="2687" customWidth="1"/>
    <col min="3342" max="3584" width="9" style="2687"/>
    <col min="3585" max="3585" width="4.88671875" style="2687" customWidth="1"/>
    <col min="3586" max="3586" width="13.21875" style="2687" customWidth="1"/>
    <col min="3587" max="3587" width="15.6640625" style="2687" customWidth="1"/>
    <col min="3588" max="3588" width="9.33203125" style="2687" bestFit="1" customWidth="1"/>
    <col min="3589" max="3589" width="13.44140625" style="2687" customWidth="1"/>
    <col min="3590" max="3590" width="9" style="2687"/>
    <col min="3591" max="3591" width="9.33203125" style="2687" bestFit="1" customWidth="1"/>
    <col min="3592" max="3593" width="9" style="2687"/>
    <col min="3594" max="3594" width="9.33203125" style="2687" bestFit="1" customWidth="1"/>
    <col min="3595" max="3595" width="4" style="2687" customWidth="1"/>
    <col min="3596" max="3596" width="5.109375" style="2687" customWidth="1"/>
    <col min="3597" max="3597" width="13.77734375" style="2687" customWidth="1"/>
    <col min="3598" max="3840" width="9" style="2687"/>
    <col min="3841" max="3841" width="4.88671875" style="2687" customWidth="1"/>
    <col min="3842" max="3842" width="13.21875" style="2687" customWidth="1"/>
    <col min="3843" max="3843" width="15.6640625" style="2687" customWidth="1"/>
    <col min="3844" max="3844" width="9.33203125" style="2687" bestFit="1" customWidth="1"/>
    <col min="3845" max="3845" width="13.44140625" style="2687" customWidth="1"/>
    <col min="3846" max="3846" width="9" style="2687"/>
    <col min="3847" max="3847" width="9.33203125" style="2687" bestFit="1" customWidth="1"/>
    <col min="3848" max="3849" width="9" style="2687"/>
    <col min="3850" max="3850" width="9.33203125" style="2687" bestFit="1" customWidth="1"/>
    <col min="3851" max="3851" width="4" style="2687" customWidth="1"/>
    <col min="3852" max="3852" width="5.109375" style="2687" customWidth="1"/>
    <col min="3853" max="3853" width="13.77734375" style="2687" customWidth="1"/>
    <col min="3854" max="4096" width="9" style="2687"/>
    <col min="4097" max="4097" width="4.88671875" style="2687" customWidth="1"/>
    <col min="4098" max="4098" width="13.21875" style="2687" customWidth="1"/>
    <col min="4099" max="4099" width="15.6640625" style="2687" customWidth="1"/>
    <col min="4100" max="4100" width="9.33203125" style="2687" bestFit="1" customWidth="1"/>
    <col min="4101" max="4101" width="13.44140625" style="2687" customWidth="1"/>
    <col min="4102" max="4102" width="9" style="2687"/>
    <col min="4103" max="4103" width="9.33203125" style="2687" bestFit="1" customWidth="1"/>
    <col min="4104" max="4105" width="9" style="2687"/>
    <col min="4106" max="4106" width="9.33203125" style="2687" bestFit="1" customWidth="1"/>
    <col min="4107" max="4107" width="4" style="2687" customWidth="1"/>
    <col min="4108" max="4108" width="5.109375" style="2687" customWidth="1"/>
    <col min="4109" max="4109" width="13.77734375" style="2687" customWidth="1"/>
    <col min="4110" max="4352" width="9" style="2687"/>
    <col min="4353" max="4353" width="4.88671875" style="2687" customWidth="1"/>
    <col min="4354" max="4354" width="13.21875" style="2687" customWidth="1"/>
    <col min="4355" max="4355" width="15.6640625" style="2687" customWidth="1"/>
    <col min="4356" max="4356" width="9.33203125" style="2687" bestFit="1" customWidth="1"/>
    <col min="4357" max="4357" width="13.44140625" style="2687" customWidth="1"/>
    <col min="4358" max="4358" width="9" style="2687"/>
    <col min="4359" max="4359" width="9.33203125" style="2687" bestFit="1" customWidth="1"/>
    <col min="4360" max="4361" width="9" style="2687"/>
    <col min="4362" max="4362" width="9.33203125" style="2687" bestFit="1" customWidth="1"/>
    <col min="4363" max="4363" width="4" style="2687" customWidth="1"/>
    <col min="4364" max="4364" width="5.109375" style="2687" customWidth="1"/>
    <col min="4365" max="4365" width="13.77734375" style="2687" customWidth="1"/>
    <col min="4366" max="4608" width="9" style="2687"/>
    <col min="4609" max="4609" width="4.88671875" style="2687" customWidth="1"/>
    <col min="4610" max="4610" width="13.21875" style="2687" customWidth="1"/>
    <col min="4611" max="4611" width="15.6640625" style="2687" customWidth="1"/>
    <col min="4612" max="4612" width="9.33203125" style="2687" bestFit="1" customWidth="1"/>
    <col min="4613" max="4613" width="13.44140625" style="2687" customWidth="1"/>
    <col min="4614" max="4614" width="9" style="2687"/>
    <col min="4615" max="4615" width="9.33203125" style="2687" bestFit="1" customWidth="1"/>
    <col min="4616" max="4617" width="9" style="2687"/>
    <col min="4618" max="4618" width="9.33203125" style="2687" bestFit="1" customWidth="1"/>
    <col min="4619" max="4619" width="4" style="2687" customWidth="1"/>
    <col min="4620" max="4620" width="5.109375" style="2687" customWidth="1"/>
    <col min="4621" max="4621" width="13.77734375" style="2687" customWidth="1"/>
    <col min="4622" max="4864" width="9" style="2687"/>
    <col min="4865" max="4865" width="4.88671875" style="2687" customWidth="1"/>
    <col min="4866" max="4866" width="13.21875" style="2687" customWidth="1"/>
    <col min="4867" max="4867" width="15.6640625" style="2687" customWidth="1"/>
    <col min="4868" max="4868" width="9.33203125" style="2687" bestFit="1" customWidth="1"/>
    <col min="4869" max="4869" width="13.44140625" style="2687" customWidth="1"/>
    <col min="4870" max="4870" width="9" style="2687"/>
    <col min="4871" max="4871" width="9.33203125" style="2687" bestFit="1" customWidth="1"/>
    <col min="4872" max="4873" width="9" style="2687"/>
    <col min="4874" max="4874" width="9.33203125" style="2687" bestFit="1" customWidth="1"/>
    <col min="4875" max="4875" width="4" style="2687" customWidth="1"/>
    <col min="4876" max="4876" width="5.109375" style="2687" customWidth="1"/>
    <col min="4877" max="4877" width="13.77734375" style="2687" customWidth="1"/>
    <col min="4878" max="5120" width="9" style="2687"/>
    <col min="5121" max="5121" width="4.88671875" style="2687" customWidth="1"/>
    <col min="5122" max="5122" width="13.21875" style="2687" customWidth="1"/>
    <col min="5123" max="5123" width="15.6640625" style="2687" customWidth="1"/>
    <col min="5124" max="5124" width="9.33203125" style="2687" bestFit="1" customWidth="1"/>
    <col min="5125" max="5125" width="13.44140625" style="2687" customWidth="1"/>
    <col min="5126" max="5126" width="9" style="2687"/>
    <col min="5127" max="5127" width="9.33203125" style="2687" bestFit="1" customWidth="1"/>
    <col min="5128" max="5129" width="9" style="2687"/>
    <col min="5130" max="5130" width="9.33203125" style="2687" bestFit="1" customWidth="1"/>
    <col min="5131" max="5131" width="4" style="2687" customWidth="1"/>
    <col min="5132" max="5132" width="5.109375" style="2687" customWidth="1"/>
    <col min="5133" max="5133" width="13.77734375" style="2687" customWidth="1"/>
    <col min="5134" max="5376" width="9" style="2687"/>
    <col min="5377" max="5377" width="4.88671875" style="2687" customWidth="1"/>
    <col min="5378" max="5378" width="13.21875" style="2687" customWidth="1"/>
    <col min="5379" max="5379" width="15.6640625" style="2687" customWidth="1"/>
    <col min="5380" max="5380" width="9.33203125" style="2687" bestFit="1" customWidth="1"/>
    <col min="5381" max="5381" width="13.44140625" style="2687" customWidth="1"/>
    <col min="5382" max="5382" width="9" style="2687"/>
    <col min="5383" max="5383" width="9.33203125" style="2687" bestFit="1" customWidth="1"/>
    <col min="5384" max="5385" width="9" style="2687"/>
    <col min="5386" max="5386" width="9.33203125" style="2687" bestFit="1" customWidth="1"/>
    <col min="5387" max="5387" width="4" style="2687" customWidth="1"/>
    <col min="5388" max="5388" width="5.109375" style="2687" customWidth="1"/>
    <col min="5389" max="5389" width="13.77734375" style="2687" customWidth="1"/>
    <col min="5390" max="5632" width="9" style="2687"/>
    <col min="5633" max="5633" width="4.88671875" style="2687" customWidth="1"/>
    <col min="5634" max="5634" width="13.21875" style="2687" customWidth="1"/>
    <col min="5635" max="5635" width="15.6640625" style="2687" customWidth="1"/>
    <col min="5636" max="5636" width="9.33203125" style="2687" bestFit="1" customWidth="1"/>
    <col min="5637" max="5637" width="13.44140625" style="2687" customWidth="1"/>
    <col min="5638" max="5638" width="9" style="2687"/>
    <col min="5639" max="5639" width="9.33203125" style="2687" bestFit="1" customWidth="1"/>
    <col min="5640" max="5641" width="9" style="2687"/>
    <col min="5642" max="5642" width="9.33203125" style="2687" bestFit="1" customWidth="1"/>
    <col min="5643" max="5643" width="4" style="2687" customWidth="1"/>
    <col min="5644" max="5644" width="5.109375" style="2687" customWidth="1"/>
    <col min="5645" max="5645" width="13.77734375" style="2687" customWidth="1"/>
    <col min="5646" max="5888" width="9" style="2687"/>
    <col min="5889" max="5889" width="4.88671875" style="2687" customWidth="1"/>
    <col min="5890" max="5890" width="13.21875" style="2687" customWidth="1"/>
    <col min="5891" max="5891" width="15.6640625" style="2687" customWidth="1"/>
    <col min="5892" max="5892" width="9.33203125" style="2687" bestFit="1" customWidth="1"/>
    <col min="5893" max="5893" width="13.44140625" style="2687" customWidth="1"/>
    <col min="5894" max="5894" width="9" style="2687"/>
    <col min="5895" max="5895" width="9.33203125" style="2687" bestFit="1" customWidth="1"/>
    <col min="5896" max="5897" width="9" style="2687"/>
    <col min="5898" max="5898" width="9.33203125" style="2687" bestFit="1" customWidth="1"/>
    <col min="5899" max="5899" width="4" style="2687" customWidth="1"/>
    <col min="5900" max="5900" width="5.109375" style="2687" customWidth="1"/>
    <col min="5901" max="5901" width="13.77734375" style="2687" customWidth="1"/>
    <col min="5902" max="6144" width="9" style="2687"/>
    <col min="6145" max="6145" width="4.88671875" style="2687" customWidth="1"/>
    <col min="6146" max="6146" width="13.21875" style="2687" customWidth="1"/>
    <col min="6147" max="6147" width="15.6640625" style="2687" customWidth="1"/>
    <col min="6148" max="6148" width="9.33203125" style="2687" bestFit="1" customWidth="1"/>
    <col min="6149" max="6149" width="13.44140625" style="2687" customWidth="1"/>
    <col min="6150" max="6150" width="9" style="2687"/>
    <col min="6151" max="6151" width="9.33203125" style="2687" bestFit="1" customWidth="1"/>
    <col min="6152" max="6153" width="9" style="2687"/>
    <col min="6154" max="6154" width="9.33203125" style="2687" bestFit="1" customWidth="1"/>
    <col min="6155" max="6155" width="4" style="2687" customWidth="1"/>
    <col min="6156" max="6156" width="5.109375" style="2687" customWidth="1"/>
    <col min="6157" max="6157" width="13.77734375" style="2687" customWidth="1"/>
    <col min="6158" max="6400" width="9" style="2687"/>
    <col min="6401" max="6401" width="4.88671875" style="2687" customWidth="1"/>
    <col min="6402" max="6402" width="13.21875" style="2687" customWidth="1"/>
    <col min="6403" max="6403" width="15.6640625" style="2687" customWidth="1"/>
    <col min="6404" max="6404" width="9.33203125" style="2687" bestFit="1" customWidth="1"/>
    <col min="6405" max="6405" width="13.44140625" style="2687" customWidth="1"/>
    <col min="6406" max="6406" width="9" style="2687"/>
    <col min="6407" max="6407" width="9.33203125" style="2687" bestFit="1" customWidth="1"/>
    <col min="6408" max="6409" width="9" style="2687"/>
    <col min="6410" max="6410" width="9.33203125" style="2687" bestFit="1" customWidth="1"/>
    <col min="6411" max="6411" width="4" style="2687" customWidth="1"/>
    <col min="6412" max="6412" width="5.109375" style="2687" customWidth="1"/>
    <col min="6413" max="6413" width="13.77734375" style="2687" customWidth="1"/>
    <col min="6414" max="6656" width="9" style="2687"/>
    <col min="6657" max="6657" width="4.88671875" style="2687" customWidth="1"/>
    <col min="6658" max="6658" width="13.21875" style="2687" customWidth="1"/>
    <col min="6659" max="6659" width="15.6640625" style="2687" customWidth="1"/>
    <col min="6660" max="6660" width="9.33203125" style="2687" bestFit="1" customWidth="1"/>
    <col min="6661" max="6661" width="13.44140625" style="2687" customWidth="1"/>
    <col min="6662" max="6662" width="9" style="2687"/>
    <col min="6663" max="6663" width="9.33203125" style="2687" bestFit="1" customWidth="1"/>
    <col min="6664" max="6665" width="9" style="2687"/>
    <col min="6666" max="6666" width="9.33203125" style="2687" bestFit="1" customWidth="1"/>
    <col min="6667" max="6667" width="4" style="2687" customWidth="1"/>
    <col min="6668" max="6668" width="5.109375" style="2687" customWidth="1"/>
    <col min="6669" max="6669" width="13.77734375" style="2687" customWidth="1"/>
    <col min="6670" max="6912" width="9" style="2687"/>
    <col min="6913" max="6913" width="4.88671875" style="2687" customWidth="1"/>
    <col min="6914" max="6914" width="13.21875" style="2687" customWidth="1"/>
    <col min="6915" max="6915" width="15.6640625" style="2687" customWidth="1"/>
    <col min="6916" max="6916" width="9.33203125" style="2687" bestFit="1" customWidth="1"/>
    <col min="6917" max="6917" width="13.44140625" style="2687" customWidth="1"/>
    <col min="6918" max="6918" width="9" style="2687"/>
    <col min="6919" max="6919" width="9.33203125" style="2687" bestFit="1" customWidth="1"/>
    <col min="6920" max="6921" width="9" style="2687"/>
    <col min="6922" max="6922" width="9.33203125" style="2687" bestFit="1" customWidth="1"/>
    <col min="6923" max="6923" width="4" style="2687" customWidth="1"/>
    <col min="6924" max="6924" width="5.109375" style="2687" customWidth="1"/>
    <col min="6925" max="6925" width="13.77734375" style="2687" customWidth="1"/>
    <col min="6926" max="7168" width="9" style="2687"/>
    <col min="7169" max="7169" width="4.88671875" style="2687" customWidth="1"/>
    <col min="7170" max="7170" width="13.21875" style="2687" customWidth="1"/>
    <col min="7171" max="7171" width="15.6640625" style="2687" customWidth="1"/>
    <col min="7172" max="7172" width="9.33203125" style="2687" bestFit="1" customWidth="1"/>
    <col min="7173" max="7173" width="13.44140625" style="2687" customWidth="1"/>
    <col min="7174" max="7174" width="9" style="2687"/>
    <col min="7175" max="7175" width="9.33203125" style="2687" bestFit="1" customWidth="1"/>
    <col min="7176" max="7177" width="9" style="2687"/>
    <col min="7178" max="7178" width="9.33203125" style="2687" bestFit="1" customWidth="1"/>
    <col min="7179" max="7179" width="4" style="2687" customWidth="1"/>
    <col min="7180" max="7180" width="5.109375" style="2687" customWidth="1"/>
    <col min="7181" max="7181" width="13.77734375" style="2687" customWidth="1"/>
    <col min="7182" max="7424" width="9" style="2687"/>
    <col min="7425" max="7425" width="4.88671875" style="2687" customWidth="1"/>
    <col min="7426" max="7426" width="13.21875" style="2687" customWidth="1"/>
    <col min="7427" max="7427" width="15.6640625" style="2687" customWidth="1"/>
    <col min="7428" max="7428" width="9.33203125" style="2687" bestFit="1" customWidth="1"/>
    <col min="7429" max="7429" width="13.44140625" style="2687" customWidth="1"/>
    <col min="7430" max="7430" width="9" style="2687"/>
    <col min="7431" max="7431" width="9.33203125" style="2687" bestFit="1" customWidth="1"/>
    <col min="7432" max="7433" width="9" style="2687"/>
    <col min="7434" max="7434" width="9.33203125" style="2687" bestFit="1" customWidth="1"/>
    <col min="7435" max="7435" width="4" style="2687" customWidth="1"/>
    <col min="7436" max="7436" width="5.109375" style="2687" customWidth="1"/>
    <col min="7437" max="7437" width="13.77734375" style="2687" customWidth="1"/>
    <col min="7438" max="7680" width="9" style="2687"/>
    <col min="7681" max="7681" width="4.88671875" style="2687" customWidth="1"/>
    <col min="7682" max="7682" width="13.21875" style="2687" customWidth="1"/>
    <col min="7683" max="7683" width="15.6640625" style="2687" customWidth="1"/>
    <col min="7684" max="7684" width="9.33203125" style="2687" bestFit="1" customWidth="1"/>
    <col min="7685" max="7685" width="13.44140625" style="2687" customWidth="1"/>
    <col min="7686" max="7686" width="9" style="2687"/>
    <col min="7687" max="7687" width="9.33203125" style="2687" bestFit="1" customWidth="1"/>
    <col min="7688" max="7689" width="9" style="2687"/>
    <col min="7690" max="7690" width="9.33203125" style="2687" bestFit="1" customWidth="1"/>
    <col min="7691" max="7691" width="4" style="2687" customWidth="1"/>
    <col min="7692" max="7692" width="5.109375" style="2687" customWidth="1"/>
    <col min="7693" max="7693" width="13.77734375" style="2687" customWidth="1"/>
    <col min="7694" max="7936" width="9" style="2687"/>
    <col min="7937" max="7937" width="4.88671875" style="2687" customWidth="1"/>
    <col min="7938" max="7938" width="13.21875" style="2687" customWidth="1"/>
    <col min="7939" max="7939" width="15.6640625" style="2687" customWidth="1"/>
    <col min="7940" max="7940" width="9.33203125" style="2687" bestFit="1" customWidth="1"/>
    <col min="7941" max="7941" width="13.44140625" style="2687" customWidth="1"/>
    <col min="7942" max="7942" width="9" style="2687"/>
    <col min="7943" max="7943" width="9.33203125" style="2687" bestFit="1" customWidth="1"/>
    <col min="7944" max="7945" width="9" style="2687"/>
    <col min="7946" max="7946" width="9.33203125" style="2687" bestFit="1" customWidth="1"/>
    <col min="7947" max="7947" width="4" style="2687" customWidth="1"/>
    <col min="7948" max="7948" width="5.109375" style="2687" customWidth="1"/>
    <col min="7949" max="7949" width="13.77734375" style="2687" customWidth="1"/>
    <col min="7950" max="8192" width="9" style="2687"/>
    <col min="8193" max="8193" width="4.88671875" style="2687" customWidth="1"/>
    <col min="8194" max="8194" width="13.21875" style="2687" customWidth="1"/>
    <col min="8195" max="8195" width="15.6640625" style="2687" customWidth="1"/>
    <col min="8196" max="8196" width="9.33203125" style="2687" bestFit="1" customWidth="1"/>
    <col min="8197" max="8197" width="13.44140625" style="2687" customWidth="1"/>
    <col min="8198" max="8198" width="9" style="2687"/>
    <col min="8199" max="8199" width="9.33203125" style="2687" bestFit="1" customWidth="1"/>
    <col min="8200" max="8201" width="9" style="2687"/>
    <col min="8202" max="8202" width="9.33203125" style="2687" bestFit="1" customWidth="1"/>
    <col min="8203" max="8203" width="4" style="2687" customWidth="1"/>
    <col min="8204" max="8204" width="5.109375" style="2687" customWidth="1"/>
    <col min="8205" max="8205" width="13.77734375" style="2687" customWidth="1"/>
    <col min="8206" max="8448" width="9" style="2687"/>
    <col min="8449" max="8449" width="4.88671875" style="2687" customWidth="1"/>
    <col min="8450" max="8450" width="13.21875" style="2687" customWidth="1"/>
    <col min="8451" max="8451" width="15.6640625" style="2687" customWidth="1"/>
    <col min="8452" max="8452" width="9.33203125" style="2687" bestFit="1" customWidth="1"/>
    <col min="8453" max="8453" width="13.44140625" style="2687" customWidth="1"/>
    <col min="8454" max="8454" width="9" style="2687"/>
    <col min="8455" max="8455" width="9.33203125" style="2687" bestFit="1" customWidth="1"/>
    <col min="8456" max="8457" width="9" style="2687"/>
    <col min="8458" max="8458" width="9.33203125" style="2687" bestFit="1" customWidth="1"/>
    <col min="8459" max="8459" width="4" style="2687" customWidth="1"/>
    <col min="8460" max="8460" width="5.109375" style="2687" customWidth="1"/>
    <col min="8461" max="8461" width="13.77734375" style="2687" customWidth="1"/>
    <col min="8462" max="8704" width="9" style="2687"/>
    <col min="8705" max="8705" width="4.88671875" style="2687" customWidth="1"/>
    <col min="8706" max="8706" width="13.21875" style="2687" customWidth="1"/>
    <col min="8707" max="8707" width="15.6640625" style="2687" customWidth="1"/>
    <col min="8708" max="8708" width="9.33203125" style="2687" bestFit="1" customWidth="1"/>
    <col min="8709" max="8709" width="13.44140625" style="2687" customWidth="1"/>
    <col min="8710" max="8710" width="9" style="2687"/>
    <col min="8711" max="8711" width="9.33203125" style="2687" bestFit="1" customWidth="1"/>
    <col min="8712" max="8713" width="9" style="2687"/>
    <col min="8714" max="8714" width="9.33203125" style="2687" bestFit="1" customWidth="1"/>
    <col min="8715" max="8715" width="4" style="2687" customWidth="1"/>
    <col min="8716" max="8716" width="5.109375" style="2687" customWidth="1"/>
    <col min="8717" max="8717" width="13.77734375" style="2687" customWidth="1"/>
    <col min="8718" max="8960" width="9" style="2687"/>
    <col min="8961" max="8961" width="4.88671875" style="2687" customWidth="1"/>
    <col min="8962" max="8962" width="13.21875" style="2687" customWidth="1"/>
    <col min="8963" max="8963" width="15.6640625" style="2687" customWidth="1"/>
    <col min="8964" max="8964" width="9.33203125" style="2687" bestFit="1" customWidth="1"/>
    <col min="8965" max="8965" width="13.44140625" style="2687" customWidth="1"/>
    <col min="8966" max="8966" width="9" style="2687"/>
    <col min="8967" max="8967" width="9.33203125" style="2687" bestFit="1" customWidth="1"/>
    <col min="8968" max="8969" width="9" style="2687"/>
    <col min="8970" max="8970" width="9.33203125" style="2687" bestFit="1" customWidth="1"/>
    <col min="8971" max="8971" width="4" style="2687" customWidth="1"/>
    <col min="8972" max="8972" width="5.109375" style="2687" customWidth="1"/>
    <col min="8973" max="8973" width="13.77734375" style="2687" customWidth="1"/>
    <col min="8974" max="9216" width="9" style="2687"/>
    <col min="9217" max="9217" width="4.88671875" style="2687" customWidth="1"/>
    <col min="9218" max="9218" width="13.21875" style="2687" customWidth="1"/>
    <col min="9219" max="9219" width="15.6640625" style="2687" customWidth="1"/>
    <col min="9220" max="9220" width="9.33203125" style="2687" bestFit="1" customWidth="1"/>
    <col min="9221" max="9221" width="13.44140625" style="2687" customWidth="1"/>
    <col min="9222" max="9222" width="9" style="2687"/>
    <col min="9223" max="9223" width="9.33203125" style="2687" bestFit="1" customWidth="1"/>
    <col min="9224" max="9225" width="9" style="2687"/>
    <col min="9226" max="9226" width="9.33203125" style="2687" bestFit="1" customWidth="1"/>
    <col min="9227" max="9227" width="4" style="2687" customWidth="1"/>
    <col min="9228" max="9228" width="5.109375" style="2687" customWidth="1"/>
    <col min="9229" max="9229" width="13.77734375" style="2687" customWidth="1"/>
    <col min="9230" max="9472" width="9" style="2687"/>
    <col min="9473" max="9473" width="4.88671875" style="2687" customWidth="1"/>
    <col min="9474" max="9474" width="13.21875" style="2687" customWidth="1"/>
    <col min="9475" max="9475" width="15.6640625" style="2687" customWidth="1"/>
    <col min="9476" max="9476" width="9.33203125" style="2687" bestFit="1" customWidth="1"/>
    <col min="9477" max="9477" width="13.44140625" style="2687" customWidth="1"/>
    <col min="9478" max="9478" width="9" style="2687"/>
    <col min="9479" max="9479" width="9.33203125" style="2687" bestFit="1" customWidth="1"/>
    <col min="9480" max="9481" width="9" style="2687"/>
    <col min="9482" max="9482" width="9.33203125" style="2687" bestFit="1" customWidth="1"/>
    <col min="9483" max="9483" width="4" style="2687" customWidth="1"/>
    <col min="9484" max="9484" width="5.109375" style="2687" customWidth="1"/>
    <col min="9485" max="9485" width="13.77734375" style="2687" customWidth="1"/>
    <col min="9486" max="9728" width="9" style="2687"/>
    <col min="9729" max="9729" width="4.88671875" style="2687" customWidth="1"/>
    <col min="9730" max="9730" width="13.21875" style="2687" customWidth="1"/>
    <col min="9731" max="9731" width="15.6640625" style="2687" customWidth="1"/>
    <col min="9732" max="9732" width="9.33203125" style="2687" bestFit="1" customWidth="1"/>
    <col min="9733" max="9733" width="13.44140625" style="2687" customWidth="1"/>
    <col min="9734" max="9734" width="9" style="2687"/>
    <col min="9735" max="9735" width="9.33203125" style="2687" bestFit="1" customWidth="1"/>
    <col min="9736" max="9737" width="9" style="2687"/>
    <col min="9738" max="9738" width="9.33203125" style="2687" bestFit="1" customWidth="1"/>
    <col min="9739" max="9739" width="4" style="2687" customWidth="1"/>
    <col min="9740" max="9740" width="5.109375" style="2687" customWidth="1"/>
    <col min="9741" max="9741" width="13.77734375" style="2687" customWidth="1"/>
    <col min="9742" max="9984" width="9" style="2687"/>
    <col min="9985" max="9985" width="4.88671875" style="2687" customWidth="1"/>
    <col min="9986" max="9986" width="13.21875" style="2687" customWidth="1"/>
    <col min="9987" max="9987" width="15.6640625" style="2687" customWidth="1"/>
    <col min="9988" max="9988" width="9.33203125" style="2687" bestFit="1" customWidth="1"/>
    <col min="9989" max="9989" width="13.44140625" style="2687" customWidth="1"/>
    <col min="9990" max="9990" width="9" style="2687"/>
    <col min="9991" max="9991" width="9.33203125" style="2687" bestFit="1" customWidth="1"/>
    <col min="9992" max="9993" width="9" style="2687"/>
    <col min="9994" max="9994" width="9.33203125" style="2687" bestFit="1" customWidth="1"/>
    <col min="9995" max="9995" width="4" style="2687" customWidth="1"/>
    <col min="9996" max="9996" width="5.109375" style="2687" customWidth="1"/>
    <col min="9997" max="9997" width="13.77734375" style="2687" customWidth="1"/>
    <col min="9998" max="10240" width="9" style="2687"/>
    <col min="10241" max="10241" width="4.88671875" style="2687" customWidth="1"/>
    <col min="10242" max="10242" width="13.21875" style="2687" customWidth="1"/>
    <col min="10243" max="10243" width="15.6640625" style="2687" customWidth="1"/>
    <col min="10244" max="10244" width="9.33203125" style="2687" bestFit="1" customWidth="1"/>
    <col min="10245" max="10245" width="13.44140625" style="2687" customWidth="1"/>
    <col min="10246" max="10246" width="9" style="2687"/>
    <col min="10247" max="10247" width="9.33203125" style="2687" bestFit="1" customWidth="1"/>
    <col min="10248" max="10249" width="9" style="2687"/>
    <col min="10250" max="10250" width="9.33203125" style="2687" bestFit="1" customWidth="1"/>
    <col min="10251" max="10251" width="4" style="2687" customWidth="1"/>
    <col min="10252" max="10252" width="5.109375" style="2687" customWidth="1"/>
    <col min="10253" max="10253" width="13.77734375" style="2687" customWidth="1"/>
    <col min="10254" max="10496" width="9" style="2687"/>
    <col min="10497" max="10497" width="4.88671875" style="2687" customWidth="1"/>
    <col min="10498" max="10498" width="13.21875" style="2687" customWidth="1"/>
    <col min="10499" max="10499" width="15.6640625" style="2687" customWidth="1"/>
    <col min="10500" max="10500" width="9.33203125" style="2687" bestFit="1" customWidth="1"/>
    <col min="10501" max="10501" width="13.44140625" style="2687" customWidth="1"/>
    <col min="10502" max="10502" width="9" style="2687"/>
    <col min="10503" max="10503" width="9.33203125" style="2687" bestFit="1" customWidth="1"/>
    <col min="10504" max="10505" width="9" style="2687"/>
    <col min="10506" max="10506" width="9.33203125" style="2687" bestFit="1" customWidth="1"/>
    <col min="10507" max="10507" width="4" style="2687" customWidth="1"/>
    <col min="10508" max="10508" width="5.109375" style="2687" customWidth="1"/>
    <col min="10509" max="10509" width="13.77734375" style="2687" customWidth="1"/>
    <col min="10510" max="10752" width="9" style="2687"/>
    <col min="10753" max="10753" width="4.88671875" style="2687" customWidth="1"/>
    <col min="10754" max="10754" width="13.21875" style="2687" customWidth="1"/>
    <col min="10755" max="10755" width="15.6640625" style="2687" customWidth="1"/>
    <col min="10756" max="10756" width="9.33203125" style="2687" bestFit="1" customWidth="1"/>
    <col min="10757" max="10757" width="13.44140625" style="2687" customWidth="1"/>
    <col min="10758" max="10758" width="9" style="2687"/>
    <col min="10759" max="10759" width="9.33203125" style="2687" bestFit="1" customWidth="1"/>
    <col min="10760" max="10761" width="9" style="2687"/>
    <col min="10762" max="10762" width="9.33203125" style="2687" bestFit="1" customWidth="1"/>
    <col min="10763" max="10763" width="4" style="2687" customWidth="1"/>
    <col min="10764" max="10764" width="5.109375" style="2687" customWidth="1"/>
    <col min="10765" max="10765" width="13.77734375" style="2687" customWidth="1"/>
    <col min="10766" max="11008" width="9" style="2687"/>
    <col min="11009" max="11009" width="4.88671875" style="2687" customWidth="1"/>
    <col min="11010" max="11010" width="13.21875" style="2687" customWidth="1"/>
    <col min="11011" max="11011" width="15.6640625" style="2687" customWidth="1"/>
    <col min="11012" max="11012" width="9.33203125" style="2687" bestFit="1" customWidth="1"/>
    <col min="11013" max="11013" width="13.44140625" style="2687" customWidth="1"/>
    <col min="11014" max="11014" width="9" style="2687"/>
    <col min="11015" max="11015" width="9.33203125" style="2687" bestFit="1" customWidth="1"/>
    <col min="11016" max="11017" width="9" style="2687"/>
    <col min="11018" max="11018" width="9.33203125" style="2687" bestFit="1" customWidth="1"/>
    <col min="11019" max="11019" width="4" style="2687" customWidth="1"/>
    <col min="11020" max="11020" width="5.109375" style="2687" customWidth="1"/>
    <col min="11021" max="11021" width="13.77734375" style="2687" customWidth="1"/>
    <col min="11022" max="11264" width="9" style="2687"/>
    <col min="11265" max="11265" width="4.88671875" style="2687" customWidth="1"/>
    <col min="11266" max="11266" width="13.21875" style="2687" customWidth="1"/>
    <col min="11267" max="11267" width="15.6640625" style="2687" customWidth="1"/>
    <col min="11268" max="11268" width="9.33203125" style="2687" bestFit="1" customWidth="1"/>
    <col min="11269" max="11269" width="13.44140625" style="2687" customWidth="1"/>
    <col min="11270" max="11270" width="9" style="2687"/>
    <col min="11271" max="11271" width="9.33203125" style="2687" bestFit="1" customWidth="1"/>
    <col min="11272" max="11273" width="9" style="2687"/>
    <col min="11274" max="11274" width="9.33203125" style="2687" bestFit="1" customWidth="1"/>
    <col min="11275" max="11275" width="4" style="2687" customWidth="1"/>
    <col min="11276" max="11276" width="5.109375" style="2687" customWidth="1"/>
    <col min="11277" max="11277" width="13.77734375" style="2687" customWidth="1"/>
    <col min="11278" max="11520" width="9" style="2687"/>
    <col min="11521" max="11521" width="4.88671875" style="2687" customWidth="1"/>
    <col min="11522" max="11522" width="13.21875" style="2687" customWidth="1"/>
    <col min="11523" max="11523" width="15.6640625" style="2687" customWidth="1"/>
    <col min="11524" max="11524" width="9.33203125" style="2687" bestFit="1" customWidth="1"/>
    <col min="11525" max="11525" width="13.44140625" style="2687" customWidth="1"/>
    <col min="11526" max="11526" width="9" style="2687"/>
    <col min="11527" max="11527" width="9.33203125" style="2687" bestFit="1" customWidth="1"/>
    <col min="11528" max="11529" width="9" style="2687"/>
    <col min="11530" max="11530" width="9.33203125" style="2687" bestFit="1" customWidth="1"/>
    <col min="11531" max="11531" width="4" style="2687" customWidth="1"/>
    <col min="11532" max="11532" width="5.109375" style="2687" customWidth="1"/>
    <col min="11533" max="11533" width="13.77734375" style="2687" customWidth="1"/>
    <col min="11534" max="11776" width="9" style="2687"/>
    <col min="11777" max="11777" width="4.88671875" style="2687" customWidth="1"/>
    <col min="11778" max="11778" width="13.21875" style="2687" customWidth="1"/>
    <col min="11779" max="11779" width="15.6640625" style="2687" customWidth="1"/>
    <col min="11780" max="11780" width="9.33203125" style="2687" bestFit="1" customWidth="1"/>
    <col min="11781" max="11781" width="13.44140625" style="2687" customWidth="1"/>
    <col min="11782" max="11782" width="9" style="2687"/>
    <col min="11783" max="11783" width="9.33203125" style="2687" bestFit="1" customWidth="1"/>
    <col min="11784" max="11785" width="9" style="2687"/>
    <col min="11786" max="11786" width="9.33203125" style="2687" bestFit="1" customWidth="1"/>
    <col min="11787" max="11787" width="4" style="2687" customWidth="1"/>
    <col min="11788" max="11788" width="5.109375" style="2687" customWidth="1"/>
    <col min="11789" max="11789" width="13.77734375" style="2687" customWidth="1"/>
    <col min="11790" max="12032" width="9" style="2687"/>
    <col min="12033" max="12033" width="4.88671875" style="2687" customWidth="1"/>
    <col min="12034" max="12034" width="13.21875" style="2687" customWidth="1"/>
    <col min="12035" max="12035" width="15.6640625" style="2687" customWidth="1"/>
    <col min="12036" max="12036" width="9.33203125" style="2687" bestFit="1" customWidth="1"/>
    <col min="12037" max="12037" width="13.44140625" style="2687" customWidth="1"/>
    <col min="12038" max="12038" width="9" style="2687"/>
    <col min="12039" max="12039" width="9.33203125" style="2687" bestFit="1" customWidth="1"/>
    <col min="12040" max="12041" width="9" style="2687"/>
    <col min="12042" max="12042" width="9.33203125" style="2687" bestFit="1" customWidth="1"/>
    <col min="12043" max="12043" width="4" style="2687" customWidth="1"/>
    <col min="12044" max="12044" width="5.109375" style="2687" customWidth="1"/>
    <col min="12045" max="12045" width="13.77734375" style="2687" customWidth="1"/>
    <col min="12046" max="12288" width="9" style="2687"/>
    <col min="12289" max="12289" width="4.88671875" style="2687" customWidth="1"/>
    <col min="12290" max="12290" width="13.21875" style="2687" customWidth="1"/>
    <col min="12291" max="12291" width="15.6640625" style="2687" customWidth="1"/>
    <col min="12292" max="12292" width="9.33203125" style="2687" bestFit="1" customWidth="1"/>
    <col min="12293" max="12293" width="13.44140625" style="2687" customWidth="1"/>
    <col min="12294" max="12294" width="9" style="2687"/>
    <col min="12295" max="12295" width="9.33203125" style="2687" bestFit="1" customWidth="1"/>
    <col min="12296" max="12297" width="9" style="2687"/>
    <col min="12298" max="12298" width="9.33203125" style="2687" bestFit="1" customWidth="1"/>
    <col min="12299" max="12299" width="4" style="2687" customWidth="1"/>
    <col min="12300" max="12300" width="5.109375" style="2687" customWidth="1"/>
    <col min="12301" max="12301" width="13.77734375" style="2687" customWidth="1"/>
    <col min="12302" max="12544" width="9" style="2687"/>
    <col min="12545" max="12545" width="4.88671875" style="2687" customWidth="1"/>
    <col min="12546" max="12546" width="13.21875" style="2687" customWidth="1"/>
    <col min="12547" max="12547" width="15.6640625" style="2687" customWidth="1"/>
    <col min="12548" max="12548" width="9.33203125" style="2687" bestFit="1" customWidth="1"/>
    <col min="12549" max="12549" width="13.44140625" style="2687" customWidth="1"/>
    <col min="12550" max="12550" width="9" style="2687"/>
    <col min="12551" max="12551" width="9.33203125" style="2687" bestFit="1" customWidth="1"/>
    <col min="12552" max="12553" width="9" style="2687"/>
    <col min="12554" max="12554" width="9.33203125" style="2687" bestFit="1" customWidth="1"/>
    <col min="12555" max="12555" width="4" style="2687" customWidth="1"/>
    <col min="12556" max="12556" width="5.109375" style="2687" customWidth="1"/>
    <col min="12557" max="12557" width="13.77734375" style="2687" customWidth="1"/>
    <col min="12558" max="12800" width="9" style="2687"/>
    <col min="12801" max="12801" width="4.88671875" style="2687" customWidth="1"/>
    <col min="12802" max="12802" width="13.21875" style="2687" customWidth="1"/>
    <col min="12803" max="12803" width="15.6640625" style="2687" customWidth="1"/>
    <col min="12804" max="12804" width="9.33203125" style="2687" bestFit="1" customWidth="1"/>
    <col min="12805" max="12805" width="13.44140625" style="2687" customWidth="1"/>
    <col min="12806" max="12806" width="9" style="2687"/>
    <col min="12807" max="12807" width="9.33203125" style="2687" bestFit="1" customWidth="1"/>
    <col min="12808" max="12809" width="9" style="2687"/>
    <col min="12810" max="12810" width="9.33203125" style="2687" bestFit="1" customWidth="1"/>
    <col min="12811" max="12811" width="4" style="2687" customWidth="1"/>
    <col min="12812" max="12812" width="5.109375" style="2687" customWidth="1"/>
    <col min="12813" max="12813" width="13.77734375" style="2687" customWidth="1"/>
    <col min="12814" max="13056" width="9" style="2687"/>
    <col min="13057" max="13057" width="4.88671875" style="2687" customWidth="1"/>
    <col min="13058" max="13058" width="13.21875" style="2687" customWidth="1"/>
    <col min="13059" max="13059" width="15.6640625" style="2687" customWidth="1"/>
    <col min="13060" max="13060" width="9.33203125" style="2687" bestFit="1" customWidth="1"/>
    <col min="13061" max="13061" width="13.44140625" style="2687" customWidth="1"/>
    <col min="13062" max="13062" width="9" style="2687"/>
    <col min="13063" max="13063" width="9.33203125" style="2687" bestFit="1" customWidth="1"/>
    <col min="13064" max="13065" width="9" style="2687"/>
    <col min="13066" max="13066" width="9.33203125" style="2687" bestFit="1" customWidth="1"/>
    <col min="13067" max="13067" width="4" style="2687" customWidth="1"/>
    <col min="13068" max="13068" width="5.109375" style="2687" customWidth="1"/>
    <col min="13069" max="13069" width="13.77734375" style="2687" customWidth="1"/>
    <col min="13070" max="13312" width="9" style="2687"/>
    <col min="13313" max="13313" width="4.88671875" style="2687" customWidth="1"/>
    <col min="13314" max="13314" width="13.21875" style="2687" customWidth="1"/>
    <col min="13315" max="13315" width="15.6640625" style="2687" customWidth="1"/>
    <col min="13316" max="13316" width="9.33203125" style="2687" bestFit="1" customWidth="1"/>
    <col min="13317" max="13317" width="13.44140625" style="2687" customWidth="1"/>
    <col min="13318" max="13318" width="9" style="2687"/>
    <col min="13319" max="13319" width="9.33203125" style="2687" bestFit="1" customWidth="1"/>
    <col min="13320" max="13321" width="9" style="2687"/>
    <col min="13322" max="13322" width="9.33203125" style="2687" bestFit="1" customWidth="1"/>
    <col min="13323" max="13323" width="4" style="2687" customWidth="1"/>
    <col min="13324" max="13324" width="5.109375" style="2687" customWidth="1"/>
    <col min="13325" max="13325" width="13.77734375" style="2687" customWidth="1"/>
    <col min="13326" max="13568" width="9" style="2687"/>
    <col min="13569" max="13569" width="4.88671875" style="2687" customWidth="1"/>
    <col min="13570" max="13570" width="13.21875" style="2687" customWidth="1"/>
    <col min="13571" max="13571" width="15.6640625" style="2687" customWidth="1"/>
    <col min="13572" max="13572" width="9.33203125" style="2687" bestFit="1" customWidth="1"/>
    <col min="13573" max="13573" width="13.44140625" style="2687" customWidth="1"/>
    <col min="13574" max="13574" width="9" style="2687"/>
    <col min="13575" max="13575" width="9.33203125" style="2687" bestFit="1" customWidth="1"/>
    <col min="13576" max="13577" width="9" style="2687"/>
    <col min="13578" max="13578" width="9.33203125" style="2687" bestFit="1" customWidth="1"/>
    <col min="13579" max="13579" width="4" style="2687" customWidth="1"/>
    <col min="13580" max="13580" width="5.109375" style="2687" customWidth="1"/>
    <col min="13581" max="13581" width="13.77734375" style="2687" customWidth="1"/>
    <col min="13582" max="13824" width="9" style="2687"/>
    <col min="13825" max="13825" width="4.88671875" style="2687" customWidth="1"/>
    <col min="13826" max="13826" width="13.21875" style="2687" customWidth="1"/>
    <col min="13827" max="13827" width="15.6640625" style="2687" customWidth="1"/>
    <col min="13828" max="13828" width="9.33203125" style="2687" bestFit="1" customWidth="1"/>
    <col min="13829" max="13829" width="13.44140625" style="2687" customWidth="1"/>
    <col min="13830" max="13830" width="9" style="2687"/>
    <col min="13831" max="13831" width="9.33203125" style="2687" bestFit="1" customWidth="1"/>
    <col min="13832" max="13833" width="9" style="2687"/>
    <col min="13834" max="13834" width="9.33203125" style="2687" bestFit="1" customWidth="1"/>
    <col min="13835" max="13835" width="4" style="2687" customWidth="1"/>
    <col min="13836" max="13836" width="5.109375" style="2687" customWidth="1"/>
    <col min="13837" max="13837" width="13.77734375" style="2687" customWidth="1"/>
    <col min="13838" max="14080" width="9" style="2687"/>
    <col min="14081" max="14081" width="4.88671875" style="2687" customWidth="1"/>
    <col min="14082" max="14082" width="13.21875" style="2687" customWidth="1"/>
    <col min="14083" max="14083" width="15.6640625" style="2687" customWidth="1"/>
    <col min="14084" max="14084" width="9.33203125" style="2687" bestFit="1" customWidth="1"/>
    <col min="14085" max="14085" width="13.44140625" style="2687" customWidth="1"/>
    <col min="14086" max="14086" width="9" style="2687"/>
    <col min="14087" max="14087" width="9.33203125" style="2687" bestFit="1" customWidth="1"/>
    <col min="14088" max="14089" width="9" style="2687"/>
    <col min="14090" max="14090" width="9.33203125" style="2687" bestFit="1" customWidth="1"/>
    <col min="14091" max="14091" width="4" style="2687" customWidth="1"/>
    <col min="14092" max="14092" width="5.109375" style="2687" customWidth="1"/>
    <col min="14093" max="14093" width="13.77734375" style="2687" customWidth="1"/>
    <col min="14094" max="14336" width="9" style="2687"/>
    <col min="14337" max="14337" width="4.88671875" style="2687" customWidth="1"/>
    <col min="14338" max="14338" width="13.21875" style="2687" customWidth="1"/>
    <col min="14339" max="14339" width="15.6640625" style="2687" customWidth="1"/>
    <col min="14340" max="14340" width="9.33203125" style="2687" bestFit="1" customWidth="1"/>
    <col min="14341" max="14341" width="13.44140625" style="2687" customWidth="1"/>
    <col min="14342" max="14342" width="9" style="2687"/>
    <col min="14343" max="14343" width="9.33203125" style="2687" bestFit="1" customWidth="1"/>
    <col min="14344" max="14345" width="9" style="2687"/>
    <col min="14346" max="14346" width="9.33203125" style="2687" bestFit="1" customWidth="1"/>
    <col min="14347" max="14347" width="4" style="2687" customWidth="1"/>
    <col min="14348" max="14348" width="5.109375" style="2687" customWidth="1"/>
    <col min="14349" max="14349" width="13.77734375" style="2687" customWidth="1"/>
    <col min="14350" max="14592" width="9" style="2687"/>
    <col min="14593" max="14593" width="4.88671875" style="2687" customWidth="1"/>
    <col min="14594" max="14594" width="13.21875" style="2687" customWidth="1"/>
    <col min="14595" max="14595" width="15.6640625" style="2687" customWidth="1"/>
    <col min="14596" max="14596" width="9.33203125" style="2687" bestFit="1" customWidth="1"/>
    <col min="14597" max="14597" width="13.44140625" style="2687" customWidth="1"/>
    <col min="14598" max="14598" width="9" style="2687"/>
    <col min="14599" max="14599" width="9.33203125" style="2687" bestFit="1" customWidth="1"/>
    <col min="14600" max="14601" width="9" style="2687"/>
    <col min="14602" max="14602" width="9.33203125" style="2687" bestFit="1" customWidth="1"/>
    <col min="14603" max="14603" width="4" style="2687" customWidth="1"/>
    <col min="14604" max="14604" width="5.109375" style="2687" customWidth="1"/>
    <col min="14605" max="14605" width="13.77734375" style="2687" customWidth="1"/>
    <col min="14606" max="14848" width="9" style="2687"/>
    <col min="14849" max="14849" width="4.88671875" style="2687" customWidth="1"/>
    <col min="14850" max="14850" width="13.21875" style="2687" customWidth="1"/>
    <col min="14851" max="14851" width="15.6640625" style="2687" customWidth="1"/>
    <col min="14852" max="14852" width="9.33203125" style="2687" bestFit="1" customWidth="1"/>
    <col min="14853" max="14853" width="13.44140625" style="2687" customWidth="1"/>
    <col min="14854" max="14854" width="9" style="2687"/>
    <col min="14855" max="14855" width="9.33203125" style="2687" bestFit="1" customWidth="1"/>
    <col min="14856" max="14857" width="9" style="2687"/>
    <col min="14858" max="14858" width="9.33203125" style="2687" bestFit="1" customWidth="1"/>
    <col min="14859" max="14859" width="4" style="2687" customWidth="1"/>
    <col min="14860" max="14860" width="5.109375" style="2687" customWidth="1"/>
    <col min="14861" max="14861" width="13.77734375" style="2687" customWidth="1"/>
    <col min="14862" max="15104" width="9" style="2687"/>
    <col min="15105" max="15105" width="4.88671875" style="2687" customWidth="1"/>
    <col min="15106" max="15106" width="13.21875" style="2687" customWidth="1"/>
    <col min="15107" max="15107" width="15.6640625" style="2687" customWidth="1"/>
    <col min="15108" max="15108" width="9.33203125" style="2687" bestFit="1" customWidth="1"/>
    <col min="15109" max="15109" width="13.44140625" style="2687" customWidth="1"/>
    <col min="15110" max="15110" width="9" style="2687"/>
    <col min="15111" max="15111" width="9.33203125" style="2687" bestFit="1" customWidth="1"/>
    <col min="15112" max="15113" width="9" style="2687"/>
    <col min="15114" max="15114" width="9.33203125" style="2687" bestFit="1" customWidth="1"/>
    <col min="15115" max="15115" width="4" style="2687" customWidth="1"/>
    <col min="15116" max="15116" width="5.109375" style="2687" customWidth="1"/>
    <col min="15117" max="15117" width="13.77734375" style="2687" customWidth="1"/>
    <col min="15118" max="15360" width="9" style="2687"/>
    <col min="15361" max="15361" width="4.88671875" style="2687" customWidth="1"/>
    <col min="15362" max="15362" width="13.21875" style="2687" customWidth="1"/>
    <col min="15363" max="15363" width="15.6640625" style="2687" customWidth="1"/>
    <col min="15364" max="15364" width="9.33203125" style="2687" bestFit="1" customWidth="1"/>
    <col min="15365" max="15365" width="13.44140625" style="2687" customWidth="1"/>
    <col min="15366" max="15366" width="9" style="2687"/>
    <col min="15367" max="15367" width="9.33203125" style="2687" bestFit="1" customWidth="1"/>
    <col min="15368" max="15369" width="9" style="2687"/>
    <col min="15370" max="15370" width="9.33203125" style="2687" bestFit="1" customWidth="1"/>
    <col min="15371" max="15371" width="4" style="2687" customWidth="1"/>
    <col min="15372" max="15372" width="5.109375" style="2687" customWidth="1"/>
    <col min="15373" max="15373" width="13.77734375" style="2687" customWidth="1"/>
    <col min="15374" max="15616" width="9" style="2687"/>
    <col min="15617" max="15617" width="4.88671875" style="2687" customWidth="1"/>
    <col min="15618" max="15618" width="13.21875" style="2687" customWidth="1"/>
    <col min="15619" max="15619" width="15.6640625" style="2687" customWidth="1"/>
    <col min="15620" max="15620" width="9.33203125" style="2687" bestFit="1" customWidth="1"/>
    <col min="15621" max="15621" width="13.44140625" style="2687" customWidth="1"/>
    <col min="15622" max="15622" width="9" style="2687"/>
    <col min="15623" max="15623" width="9.33203125" style="2687" bestFit="1" customWidth="1"/>
    <col min="15624" max="15625" width="9" style="2687"/>
    <col min="15626" max="15626" width="9.33203125" style="2687" bestFit="1" customWidth="1"/>
    <col min="15627" max="15627" width="4" style="2687" customWidth="1"/>
    <col min="15628" max="15628" width="5.109375" style="2687" customWidth="1"/>
    <col min="15629" max="15629" width="13.77734375" style="2687" customWidth="1"/>
    <col min="15630" max="15872" width="9" style="2687"/>
    <col min="15873" max="15873" width="4.88671875" style="2687" customWidth="1"/>
    <col min="15874" max="15874" width="13.21875" style="2687" customWidth="1"/>
    <col min="15875" max="15875" width="15.6640625" style="2687" customWidth="1"/>
    <col min="15876" max="15876" width="9.33203125" style="2687" bestFit="1" customWidth="1"/>
    <col min="15877" max="15877" width="13.44140625" style="2687" customWidth="1"/>
    <col min="15878" max="15878" width="9" style="2687"/>
    <col min="15879" max="15879" width="9.33203125" style="2687" bestFit="1" customWidth="1"/>
    <col min="15880" max="15881" width="9" style="2687"/>
    <col min="15882" max="15882" width="9.33203125" style="2687" bestFit="1" customWidth="1"/>
    <col min="15883" max="15883" width="4" style="2687" customWidth="1"/>
    <col min="15884" max="15884" width="5.109375" style="2687" customWidth="1"/>
    <col min="15885" max="15885" width="13.77734375" style="2687" customWidth="1"/>
    <col min="15886" max="16128" width="9" style="2687"/>
    <col min="16129" max="16129" width="4.88671875" style="2687" customWidth="1"/>
    <col min="16130" max="16130" width="13.21875" style="2687" customWidth="1"/>
    <col min="16131" max="16131" width="15.6640625" style="2687" customWidth="1"/>
    <col min="16132" max="16132" width="9.33203125" style="2687" bestFit="1" customWidth="1"/>
    <col min="16133" max="16133" width="13.44140625" style="2687" customWidth="1"/>
    <col min="16134" max="16134" width="9" style="2687"/>
    <col min="16135" max="16135" width="9.33203125" style="2687" bestFit="1" customWidth="1"/>
    <col min="16136" max="16137" width="9" style="2687"/>
    <col min="16138" max="16138" width="9.33203125" style="2687" bestFit="1" customWidth="1"/>
    <col min="16139" max="16139" width="4" style="2687" customWidth="1"/>
    <col min="16140" max="16140" width="5.109375" style="2687" customWidth="1"/>
    <col min="16141" max="16141" width="13.77734375" style="2687" customWidth="1"/>
    <col min="16142" max="16384" width="9" style="2687"/>
  </cols>
  <sheetData>
    <row r="1" spans="1:257" s="2684" customFormat="1" ht="15" thickBot="1">
      <c r="A1" s="2677"/>
      <c r="B1" s="2678" t="s">
        <v>815</v>
      </c>
      <c r="C1" s="2831">
        <f>项目基本情况!D3</f>
        <v>44889</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6"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399999999999999">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2">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31.2">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5.6">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5.6">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5.6">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5.6">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6.8">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5.6">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5.6">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activeCell="I17" sqref="I17"/>
    </sheetView>
  </sheetViews>
  <sheetFormatPr defaultColWidth="13.21875" defaultRowHeight="14.4"/>
  <cols>
    <col min="1" max="16384" width="13.21875" style="2676"/>
  </cols>
  <sheetData>
    <row r="1" spans="1:6">
      <c r="A1" s="3325" t="s">
        <v>2706</v>
      </c>
      <c r="B1" s="3325"/>
      <c r="C1" s="3325"/>
      <c r="D1" s="3325"/>
      <c r="E1" s="3325"/>
      <c r="F1" s="332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89" customWidth="1"/>
    <col min="2" max="9" width="12.109375" style="1689" customWidth="1"/>
    <col min="10" max="16384" width="9" style="1689"/>
  </cols>
  <sheetData>
    <row r="1" spans="1:9" ht="18"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1145</v>
      </c>
      <c r="B2" s="3013" t="s">
        <v>1146</v>
      </c>
      <c r="C2" s="3013" t="s">
        <v>1147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6">
      <c r="A3" s="3014"/>
      <c r="B3" s="3014"/>
      <c r="C3" s="301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14" t="s">
        <v>1144</v>
      </c>
      <c r="B5" s="3014"/>
      <c r="C5" s="3014"/>
      <c r="D5" s="3014" t="e">
        <f ca="1">结果表!D119</f>
        <v>#REF!</v>
      </c>
      <c r="E5" s="3014"/>
      <c r="F5" s="3014" t="e">
        <f ca="1">结果表!F119</f>
        <v>#REF!</v>
      </c>
      <c r="G5" s="3014"/>
      <c r="H5" s="3014" t="e">
        <f ca="1">结果表!H119</f>
        <v>#REF!</v>
      </c>
      <c r="I5" s="3014"/>
    </row>
    <row r="6" spans="1:9" ht="15.6">
      <c r="A6" s="3015" t="str">
        <f>结果表!A120</f>
        <v>估价师知悉的法定优先受偿款</v>
      </c>
      <c r="B6" s="3015"/>
      <c r="C6" s="3015"/>
      <c r="D6" s="3015">
        <f>结果表!D120</f>
        <v>0</v>
      </c>
      <c r="E6" s="3015"/>
      <c r="F6" s="3015"/>
      <c r="G6" s="3015"/>
      <c r="H6" s="3015"/>
      <c r="I6" s="3015"/>
    </row>
    <row r="7" spans="1:9" ht="15">
      <c r="A7" s="3014" t="s">
        <v>1144</v>
      </c>
      <c r="B7" s="3014"/>
      <c r="C7" s="3014"/>
      <c r="D7" s="3016" t="str">
        <f>结果表!D121</f>
        <v>零元整</v>
      </c>
      <c r="E7" s="3017"/>
      <c r="F7" s="3017"/>
      <c r="G7" s="3017"/>
      <c r="H7" s="3017"/>
      <c r="I7" s="3018"/>
    </row>
    <row r="8" spans="1:9" ht="15.6">
      <c r="A8" s="3015" t="str">
        <f>结果表!A122</f>
        <v>房地产抵押价值</v>
      </c>
      <c r="B8" s="3015"/>
      <c r="C8" s="3015"/>
      <c r="D8" s="3015" t="e">
        <f ca="1">结果表!D122</f>
        <v>#REF!</v>
      </c>
      <c r="E8" s="3015"/>
      <c r="F8" s="3015"/>
      <c r="G8" s="3015"/>
      <c r="H8" s="3015"/>
      <c r="I8" s="3015"/>
    </row>
    <row r="9" spans="1:9" ht="15">
      <c r="A9" s="3014" t="s">
        <v>1144</v>
      </c>
      <c r="B9" s="3014"/>
      <c r="C9" s="3014"/>
      <c r="D9" s="3014" t="e">
        <f ca="1">结果表!D123</f>
        <v>#REF!</v>
      </c>
      <c r="E9" s="3014"/>
      <c r="F9" s="3014"/>
      <c r="G9" s="3014"/>
      <c r="H9" s="3014"/>
      <c r="I9" s="3014"/>
    </row>
    <row r="10" spans="1:9" ht="15.6">
      <c r="A10" s="3015" t="str">
        <f>结果表!A124</f>
        <v/>
      </c>
      <c r="B10" s="3015"/>
      <c r="C10" s="3015"/>
      <c r="D10" s="3015" t="str">
        <f>结果表!D124</f>
        <v>——</v>
      </c>
      <c r="E10" s="3015"/>
      <c r="F10" s="3015"/>
      <c r="G10" s="3015"/>
      <c r="H10" s="3015"/>
      <c r="I10" s="3015"/>
    </row>
    <row r="11" spans="1:9" ht="15">
      <c r="A11" s="3014" t="s">
        <v>1144</v>
      </c>
      <c r="B11" s="3014"/>
      <c r="C11" s="3014"/>
      <c r="D11" s="3014" t="e">
        <f>结果表!D125</f>
        <v>#VALUE!</v>
      </c>
      <c r="E11" s="3014"/>
      <c r="F11" s="3014"/>
      <c r="G11" s="3014"/>
      <c r="H11" s="3014"/>
      <c r="I11" s="3014"/>
    </row>
    <row r="12" spans="1:9" ht="15.6">
      <c r="A12" s="3015" t="str">
        <f>结果表!A126</f>
        <v/>
      </c>
      <c r="B12" s="3015"/>
      <c r="C12" s="3015"/>
      <c r="D12" s="3015" t="str">
        <f>结果表!D126</f>
        <v>——</v>
      </c>
      <c r="E12" s="3015"/>
      <c r="F12" s="3015"/>
      <c r="G12" s="3015"/>
      <c r="H12" s="3015"/>
      <c r="I12" s="3015"/>
    </row>
    <row r="13" spans="1:9" ht="15.6" thickBot="1">
      <c r="A13" s="3019" t="s">
        <v>1144</v>
      </c>
      <c r="B13" s="3019"/>
      <c r="C13" s="3019"/>
      <c r="D13" s="3019" t="e">
        <f>结果表!D127</f>
        <v>#VALUE!</v>
      </c>
      <c r="E13" s="3019"/>
      <c r="F13" s="3019"/>
      <c r="G13" s="3019"/>
      <c r="H13" s="3019"/>
      <c r="I13" s="3019"/>
    </row>
    <row r="14" spans="1:9" ht="14.4" thickTop="1">
      <c r="A14" s="3020" t="s">
        <v>1149</v>
      </c>
      <c r="B14" s="3020"/>
      <c r="C14" s="3020"/>
      <c r="D14" s="3020"/>
      <c r="E14" s="3020"/>
      <c r="F14" s="3020"/>
      <c r="G14" s="3020"/>
      <c r="H14" s="3020"/>
      <c r="I14" s="3020"/>
    </row>
    <row r="16" spans="1:9" ht="17.399999999999999">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1689" customWidth="1"/>
    <col min="2" max="3" width="22.33203125" style="1689" customWidth="1"/>
    <col min="4" max="4" width="23" style="1689" customWidth="1"/>
    <col min="5" max="16384" width="9" style="1689"/>
  </cols>
  <sheetData>
    <row r="1" spans="1:4" ht="17.399999999999999">
      <c r="A1" s="3021" t="s">
        <v>1166</v>
      </c>
      <c r="B1" s="3021"/>
      <c r="C1" s="3021"/>
      <c r="D1" s="3021"/>
    </row>
    <row r="2" spans="1:4" ht="17.399999999999999">
      <c r="A2" s="3022" t="s">
        <v>1150</v>
      </c>
      <c r="B2" s="3022"/>
      <c r="C2" s="3022"/>
      <c r="D2" s="3022"/>
    </row>
    <row r="3" spans="1:4" ht="17.399999999999999">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7.399999999999999">
      <c r="A6" s="3022" t="s">
        <v>1156</v>
      </c>
      <c r="B6" s="3022"/>
      <c r="C6" s="3022"/>
      <c r="D6" s="3022"/>
    </row>
    <row r="7" spans="1:4" ht="17.399999999999999">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7.399999999999999">
      <c r="A10" s="2802" t="s">
        <v>1158</v>
      </c>
      <c r="B10" s="2801"/>
      <c r="C10" s="2801"/>
      <c r="D10" s="2801"/>
    </row>
    <row r="11" spans="1:4" ht="30" customHeight="1">
      <c r="A11" s="3023" t="s">
        <v>1159</v>
      </c>
      <c r="B11" s="3024"/>
      <c r="C11" s="3024"/>
      <c r="D11" s="3024"/>
    </row>
    <row r="12" spans="1:4" ht="15.6">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1160</v>
      </c>
      <c r="B16" s="3027"/>
      <c r="C16" s="3027"/>
      <c r="D16" s="3027"/>
    </row>
    <row r="17" spans="1:4" ht="144" customHeight="1">
      <c r="A17" s="3027" t="s">
        <v>1161</v>
      </c>
      <c r="B17" s="3027"/>
      <c r="C17" s="3027"/>
      <c r="D17" s="3027"/>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8"/>
      <c r="C21" s="3028"/>
      <c r="D21" s="3028"/>
    </row>
    <row r="22" spans="1:4" ht="18.75" customHeight="1">
      <c r="A22" s="3029" t="s">
        <v>1162</v>
      </c>
      <c r="B22" s="3029"/>
      <c r="C22" s="3029"/>
      <c r="D22" s="3029"/>
    </row>
    <row r="23" spans="1:4">
      <c r="A23" s="2803"/>
      <c r="B23" s="1688"/>
      <c r="C23" s="1688"/>
      <c r="D23" s="1688"/>
    </row>
    <row r="24" spans="1:4">
      <c r="A24" s="2803"/>
      <c r="B24" s="1688"/>
      <c r="C24" s="1688"/>
      <c r="D24" s="1688"/>
    </row>
    <row r="25" spans="1:4" ht="17.399999999999999">
      <c r="A25" s="2804" t="s">
        <v>1163</v>
      </c>
    </row>
    <row r="26" spans="1:4" ht="17.399999999999999">
      <c r="A26" s="2805"/>
    </row>
    <row r="27" spans="1:4" ht="17.399999999999999">
      <c r="A27" s="2805" t="s">
        <v>1164</v>
      </c>
    </row>
    <row r="30" spans="1:4" ht="17.399999999999999">
      <c r="D30" s="2804" t="s">
        <v>1165</v>
      </c>
    </row>
    <row r="31" spans="1:4" ht="13.5" customHeight="1">
      <c r="C31" s="3026">
        <v>42551</v>
      </c>
      <c r="D31" s="302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73" customWidth="1"/>
    <col min="3" max="10" width="12.44140625" style="173" customWidth="1"/>
    <col min="11" max="16384" width="9" style="173"/>
  </cols>
  <sheetData>
    <row r="1" spans="1:10" ht="17.399999999999999">
      <c r="A1" s="189" t="s">
        <v>600</v>
      </c>
      <c r="B1" s="190"/>
      <c r="C1" s="190"/>
      <c r="D1" s="190"/>
      <c r="E1" s="190"/>
      <c r="F1" s="190"/>
      <c r="G1" s="190"/>
      <c r="H1" s="190"/>
      <c r="I1" s="190"/>
      <c r="J1" s="190"/>
    </row>
    <row r="2" spans="1:10" ht="17.399999999999999">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96" customWidth="1"/>
    <col min="2" max="16384" width="14.44140625" style="188"/>
  </cols>
  <sheetData>
    <row r="1" spans="1:7" s="193" customFormat="1" ht="17.399999999999999">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4.4">
      <c r="A15" s="3035" t="s">
        <v>1173</v>
      </c>
      <c r="B15" s="3030" t="s">
        <v>112</v>
      </c>
      <c r="C15" s="3031"/>
    </row>
    <row r="16" spans="1:7" ht="14.4">
      <c r="A16" s="3036"/>
      <c r="B16" s="3030" t="s">
        <v>45</v>
      </c>
      <c r="C16" s="3031"/>
    </row>
    <row r="17" spans="1:3" ht="14.4">
      <c r="A17" s="3036"/>
      <c r="B17" s="3033" t="s">
        <v>1174</v>
      </c>
      <c r="C17" s="203" t="s">
        <v>1173</v>
      </c>
    </row>
    <row r="18" spans="1:3" ht="14.4">
      <c r="A18" s="3036"/>
      <c r="B18" s="3033"/>
      <c r="C18" s="203" t="s">
        <v>1175</v>
      </c>
    </row>
    <row r="19" spans="1:3" ht="14.4">
      <c r="A19" s="3036"/>
      <c r="B19" s="3033"/>
      <c r="C19" s="203" t="s">
        <v>1176</v>
      </c>
    </row>
    <row r="20" spans="1:3" ht="14.4">
      <c r="A20" s="3037"/>
      <c r="B20" s="3032" t="s">
        <v>1177</v>
      </c>
      <c r="C20" s="3031"/>
    </row>
    <row r="21" spans="1:3" ht="14.4">
      <c r="A21" s="204" t="s">
        <v>1178</v>
      </c>
      <c r="B21" s="205"/>
      <c r="C21" s="206"/>
    </row>
    <row r="22" spans="1:3" ht="14.4">
      <c r="A22" s="3034" t="s">
        <v>1179</v>
      </c>
      <c r="B22" s="3032" t="s">
        <v>1180</v>
      </c>
      <c r="C22" s="3031"/>
    </row>
    <row r="23" spans="1:3" ht="14.4">
      <c r="A23" s="3034"/>
      <c r="B23" s="3032" t="s">
        <v>1181</v>
      </c>
      <c r="C23" s="3031"/>
    </row>
    <row r="24" spans="1:3" ht="14.4">
      <c r="A24" s="3034"/>
      <c r="B24" s="3032" t="s">
        <v>1182</v>
      </c>
      <c r="C24" s="3031"/>
    </row>
    <row r="25" spans="1:3" ht="14.4">
      <c r="A25" s="3034"/>
      <c r="B25" s="3033" t="s">
        <v>1183</v>
      </c>
      <c r="C25" s="203" t="s">
        <v>1184</v>
      </c>
    </row>
    <row r="26" spans="1:3" ht="14.4">
      <c r="A26" s="3034"/>
      <c r="B26" s="3033"/>
      <c r="C26" s="203" t="s">
        <v>1185</v>
      </c>
    </row>
    <row r="27" spans="1:3" ht="14.4">
      <c r="A27" s="3034"/>
      <c r="B27" s="3033"/>
      <c r="C27" s="203" t="s">
        <v>1186</v>
      </c>
    </row>
    <row r="28" spans="1:3" ht="14.4">
      <c r="A28" s="3034"/>
      <c r="B28" s="3033"/>
      <c r="C28" s="203" t="s">
        <v>1187</v>
      </c>
    </row>
    <row r="29" spans="1:3" ht="14.4">
      <c r="A29" s="3034"/>
      <c r="B29" s="3033"/>
      <c r="C29" s="203" t="s">
        <v>1188</v>
      </c>
    </row>
    <row r="30" spans="1:3" ht="14.4">
      <c r="A30" s="3034"/>
      <c r="B30" s="3033"/>
      <c r="C30" s="203" t="s">
        <v>1189</v>
      </c>
    </row>
    <row r="31" spans="1:3" ht="14.4">
      <c r="A31" s="3034"/>
      <c r="B31" s="3033"/>
      <c r="C31" s="203" t="s">
        <v>1190</v>
      </c>
    </row>
    <row r="32" spans="1:3" ht="14.4">
      <c r="A32" s="3034"/>
      <c r="B32" s="3033"/>
      <c r="C32" s="203" t="s">
        <v>1191</v>
      </c>
    </row>
    <row r="33" spans="1:3" ht="14.4">
      <c r="A33" s="3034"/>
      <c r="B33" s="3033"/>
      <c r="C33" s="203" t="s">
        <v>1192</v>
      </c>
    </row>
    <row r="34" spans="1:3">
      <c r="A34" s="207" t="s">
        <v>52</v>
      </c>
    </row>
    <row r="37" spans="1:3">
      <c r="A37" s="207" t="s">
        <v>1193</v>
      </c>
    </row>
    <row r="38" spans="1:3" ht="14.4">
      <c r="A38" s="208" t="s">
        <v>53</v>
      </c>
    </row>
    <row r="39" spans="1:3" ht="14.4">
      <c r="A39" s="208" t="s">
        <v>54</v>
      </c>
    </row>
    <row r="40" spans="1:3" ht="14.4">
      <c r="A40" s="208" t="s">
        <v>55</v>
      </c>
    </row>
    <row r="41" spans="1:3" ht="14.4">
      <c r="A41" s="209" t="s">
        <v>56</v>
      </c>
    </row>
    <row r="42" spans="1:3" ht="14.4">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565" customWidth="1"/>
    <col min="2" max="2" width="38.6640625" style="565" customWidth="1"/>
    <col min="3" max="3" width="26" style="565" customWidth="1"/>
    <col min="4" max="4" width="35" style="565" hidden="1" customWidth="1"/>
    <col min="5" max="5" width="30.109375" style="565" customWidth="1"/>
    <col min="6" max="6" width="35.44140625" style="565" customWidth="1"/>
    <col min="7" max="7" width="31" style="565" customWidth="1"/>
    <col min="8" max="8" width="37.44140625" style="565" hidden="1" customWidth="1"/>
    <col min="9" max="16384" width="22.6640625" style="565"/>
  </cols>
  <sheetData>
    <row r="1" spans="1:8" ht="24" customHeight="1">
      <c r="A1" s="564"/>
      <c r="B1" s="564"/>
      <c r="C1" s="564"/>
      <c r="D1" s="564"/>
      <c r="E1" s="564"/>
      <c r="F1" s="564"/>
      <c r="G1" s="564"/>
      <c r="H1" s="564"/>
    </row>
    <row r="2" spans="1:8" ht="24" customHeight="1">
      <c r="A2" s="566" t="s">
        <v>2397</v>
      </c>
      <c r="B2" s="566">
        <f ca="1">TODAY()</f>
        <v>44889</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8" t="s">
        <v>2418</v>
      </c>
      <c r="B17" s="3038"/>
      <c r="C17" s="3038"/>
      <c r="D17" s="3038"/>
      <c r="E17" s="3038"/>
      <c r="F17" s="3038"/>
      <c r="G17" s="3038"/>
      <c r="H17" s="3038"/>
    </row>
    <row r="18" spans="1:8" ht="24" customHeight="1">
      <c r="A18" s="3039" t="s">
        <v>2419</v>
      </c>
      <c r="B18" s="3039"/>
      <c r="C18" s="3039"/>
      <c r="D18" s="570"/>
      <c r="E18" s="3040" t="s">
        <v>2420</v>
      </c>
      <c r="F18" s="3039"/>
      <c r="G18" s="303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2022-03-25T05:42:40Z</cp:lastPrinted>
  <dcterms:created xsi:type="dcterms:W3CDTF">2015-07-13T07:17:23Z</dcterms:created>
  <dcterms:modified xsi:type="dcterms:W3CDTF">2022-11-24T04:24:42Z</dcterms:modified>
</cp:coreProperties>
</file>