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16" windowHeight="1041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Y6" i="1" l="1"/>
  <c r="T19" i="1"/>
  <c r="B59" i="1"/>
  <c r="F19" i="6"/>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D11" i="77" s="1"/>
  <c r="E11" i="77" s="1"/>
  <c r="E7" i="77" s="1"/>
  <c r="C27" i="77" s="1"/>
  <c r="R11" i="77"/>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Y15" i="71" s="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AA20" i="71" s="1"/>
  <c r="O20" i="71"/>
  <c r="M19" i="43"/>
  <c r="D22" i="71"/>
  <c r="AH20" i="71"/>
  <c r="AG20" i="71"/>
  <c r="AE20" i="71"/>
  <c r="AF20" i="71" s="1"/>
  <c r="AD20" i="71"/>
  <c r="AD21" i="71"/>
  <c r="AG21" i="71"/>
  <c r="AH21" i="71"/>
  <c r="AE21" i="71"/>
  <c r="AF21" i="71"/>
  <c r="N21" i="71"/>
  <c r="B21" i="71" s="1"/>
  <c r="B20" i="71" s="1"/>
  <c r="B19" i="71" s="1"/>
  <c r="B18" i="71" s="1"/>
  <c r="B17" i="71" s="1"/>
  <c r="B16" i="71" s="1"/>
  <c r="B15" i="71" s="1"/>
  <c r="B14" i="71" s="1"/>
  <c r="Q21" i="71"/>
  <c r="P21" i="71"/>
  <c r="O21" i="71"/>
  <c r="C21" i="71"/>
  <c r="C20" i="71"/>
  <c r="Q22" i="71"/>
  <c r="F21" i="71"/>
  <c r="F20" i="71"/>
  <c r="F19" i="71"/>
  <c r="P22" i="71"/>
  <c r="O22" i="71"/>
  <c r="Y20" i="71" s="1"/>
  <c r="Z20" i="71" s="1"/>
  <c r="N22" i="71"/>
  <c r="A2" i="53"/>
  <c r="K59" i="67"/>
  <c r="P61" i="67"/>
  <c r="K59" i="15"/>
  <c r="P74" i="15" s="1"/>
  <c r="P74" i="67"/>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3" i="71"/>
  <c r="P23" i="71"/>
  <c r="O23" i="71"/>
  <c r="N23" i="71"/>
  <c r="A15" i="51"/>
  <c r="B12" i="72" s="1"/>
  <c r="C76" i="9"/>
  <c r="I107" i="40"/>
  <c r="K6" i="4"/>
  <c r="N56" i="9" s="1"/>
  <c r="B22" i="31"/>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2" i="43"/>
  <c r="AF9" i="43"/>
  <c r="AE9" i="43"/>
  <c r="AE12" i="43"/>
  <c r="AD9" i="43"/>
  <c r="AC9" i="43"/>
  <c r="AC12" i="43"/>
  <c r="AB9" i="43"/>
  <c r="AB12" i="43" s="1"/>
  <c r="AA9" i="43"/>
  <c r="AA12" i="43"/>
  <c r="Z9" i="43"/>
  <c r="AA10" i="43"/>
  <c r="AC10" i="43"/>
  <c r="AE10" i="43"/>
  <c r="AG10" i="43"/>
  <c r="AI10" i="43"/>
  <c r="AH10" i="43"/>
  <c r="AJ10" i="43"/>
  <c r="K49" i="9"/>
  <c r="E107" i="9"/>
  <c r="A122" i="9" s="1"/>
  <c r="A8" i="52" s="1"/>
  <c r="B54" i="72" s="1"/>
  <c r="E111" i="9"/>
  <c r="A126" i="9" s="1"/>
  <c r="A12" i="52" s="1"/>
  <c r="B56" i="72" s="1"/>
  <c r="E109" i="9"/>
  <c r="A124" i="9" s="1"/>
  <c r="B44" i="72"/>
  <c r="B42" i="72"/>
  <c r="B69" i="72"/>
  <c r="B68" i="72"/>
  <c r="B63" i="72"/>
  <c r="B62" i="72"/>
  <c r="B16" i="72"/>
  <c r="B60" i="72"/>
  <c r="B66" i="72"/>
  <c r="B10" i="72"/>
  <c r="C53" i="10"/>
  <c r="B51" i="10"/>
  <c r="B19" i="72"/>
  <c r="A18" i="51"/>
  <c r="B13" i="72" s="1"/>
  <c r="B49" i="48"/>
  <c r="B5" i="72"/>
  <c r="I19" i="43"/>
  <c r="D86" i="71"/>
  <c r="F85" i="71"/>
  <c r="E85" i="71"/>
  <c r="E84" i="71"/>
  <c r="E83" i="71" s="1"/>
  <c r="C85" i="71"/>
  <c r="D85" i="71"/>
  <c r="B85" i="71"/>
  <c r="B84" i="71" s="1"/>
  <c r="B83" i="71" s="1"/>
  <c r="F84" i="71"/>
  <c r="F83" i="71" s="1"/>
  <c r="D82" i="71"/>
  <c r="F81" i="71"/>
  <c r="E81" i="71"/>
  <c r="E80" i="7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B73" i="71"/>
  <c r="S73" i="71" s="1"/>
  <c r="Q72" i="71"/>
  <c r="P72" i="71"/>
  <c r="O72" i="71"/>
  <c r="N72" i="71"/>
  <c r="B72" i="71"/>
  <c r="B71" i="71" s="1"/>
  <c r="Q71" i="71"/>
  <c r="P71" i="71"/>
  <c r="O71" i="71"/>
  <c r="N71" i="71"/>
  <c r="Q70" i="71"/>
  <c r="P70" i="71"/>
  <c r="O70" i="71"/>
  <c r="N70" i="71"/>
  <c r="D70" i="71"/>
  <c r="Q69" i="71"/>
  <c r="P69" i="71"/>
  <c r="O69" i="71"/>
  <c r="N69" i="71"/>
  <c r="F69" i="71"/>
  <c r="V69" i="71"/>
  <c r="E69" i="71"/>
  <c r="U69" i="71"/>
  <c r="C69" i="71"/>
  <c r="C68" i="71" s="1"/>
  <c r="D68" i="71" s="1"/>
  <c r="T69" i="71"/>
  <c r="B69" i="71"/>
  <c r="S69" i="71"/>
  <c r="Q68" i="71"/>
  <c r="P68" i="71"/>
  <c r="O68" i="71"/>
  <c r="N68" i="71"/>
  <c r="F68" i="71"/>
  <c r="F67" i="71"/>
  <c r="B68" i="71"/>
  <c r="B67" i="71"/>
  <c r="Q67" i="71"/>
  <c r="P67" i="71"/>
  <c r="O67" i="71"/>
  <c r="N67" i="71"/>
  <c r="Q66" i="71"/>
  <c r="P66" i="71"/>
  <c r="O66" i="71"/>
  <c r="N66" i="71"/>
  <c r="D66" i="71"/>
  <c r="F65" i="71"/>
  <c r="E65" i="71"/>
  <c r="U65" i="71" s="1"/>
  <c r="C65" i="71"/>
  <c r="O65" i="71" s="1"/>
  <c r="B65" i="71"/>
  <c r="S65" i="71"/>
  <c r="B64" i="71"/>
  <c r="D62" i="71"/>
  <c r="Q61" i="71"/>
  <c r="P61" i="71"/>
  <c r="O61" i="71"/>
  <c r="N61" i="71"/>
  <c r="Q60" i="71"/>
  <c r="P60" i="71"/>
  <c r="O60" i="71"/>
  <c r="N60" i="71"/>
  <c r="Q59" i="71"/>
  <c r="P59" i="71"/>
  <c r="O59" i="71"/>
  <c r="C60" i="71" s="1"/>
  <c r="N59" i="71"/>
  <c r="Q58" i="71"/>
  <c r="F59" i="71" s="1"/>
  <c r="F60" i="71"/>
  <c r="F61" i="71"/>
  <c r="V61" i="71" s="1"/>
  <c r="P58" i="71"/>
  <c r="E59" i="71"/>
  <c r="E60" i="71" s="1"/>
  <c r="O58" i="71"/>
  <c r="C59" i="71" s="1"/>
  <c r="D59" i="71" s="1"/>
  <c r="N58" i="71"/>
  <c r="B59" i="71"/>
  <c r="B60" i="7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c r="B57" i="7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D51" i="71" s="1"/>
  <c r="N50" i="71"/>
  <c r="B51" i="71"/>
  <c r="B52" i="71" s="1"/>
  <c r="B53" i="71"/>
  <c r="S53" i="71" s="1"/>
  <c r="D50" i="71"/>
  <c r="Q49" i="71"/>
  <c r="P49" i="71"/>
  <c r="O49" i="71"/>
  <c r="N49" i="71"/>
  <c r="Q48" i="71"/>
  <c r="P48" i="71"/>
  <c r="O48" i="71"/>
  <c r="N48" i="71"/>
  <c r="Q47" i="71"/>
  <c r="P47" i="71"/>
  <c r="O47" i="71"/>
  <c r="N47" i="71"/>
  <c r="Q46" i="71"/>
  <c r="F47" i="71"/>
  <c r="F48" i="71" s="1"/>
  <c r="F49" i="71" s="1"/>
  <c r="V49" i="71" s="1"/>
  <c r="P46" i="71"/>
  <c r="E47" i="71" s="1"/>
  <c r="O46" i="71"/>
  <c r="C47" i="71" s="1"/>
  <c r="D47" i="71" s="1"/>
  <c r="N46" i="71"/>
  <c r="B47" i="7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c r="O42" i="71"/>
  <c r="C43" i="71" s="1"/>
  <c r="C44" i="71" s="1"/>
  <c r="D44" i="71" s="1"/>
  <c r="N42" i="71"/>
  <c r="B43" i="71"/>
  <c r="B44" i="71"/>
  <c r="B45" i="71" s="1"/>
  <c r="S45" i="71" s="1"/>
  <c r="D42" i="71"/>
  <c r="Q41" i="71"/>
  <c r="P41" i="71"/>
  <c r="O41" i="71"/>
  <c r="N41" i="71"/>
  <c r="Q40" i="71"/>
  <c r="P40" i="71"/>
  <c r="O40" i="71"/>
  <c r="N40" i="71"/>
  <c r="Q39" i="71"/>
  <c r="P39" i="71"/>
  <c r="O39" i="71"/>
  <c r="N39" i="71"/>
  <c r="F39" i="71"/>
  <c r="F40" i="71" s="1"/>
  <c r="F41" i="71"/>
  <c r="V41" i="71" s="1"/>
  <c r="Q38" i="71"/>
  <c r="P38" i="71"/>
  <c r="E39" i="71"/>
  <c r="E40" i="71" s="1"/>
  <c r="E41" i="71" s="1"/>
  <c r="U41" i="71" s="1"/>
  <c r="O38" i="71"/>
  <c r="C39" i="71"/>
  <c r="N38" i="71"/>
  <c r="B39" i="71" s="1"/>
  <c r="B40" i="71" s="1"/>
  <c r="B41" i="71" s="1"/>
  <c r="S41" i="71"/>
  <c r="D38" i="71"/>
  <c r="Q37" i="71"/>
  <c r="P37" i="71"/>
  <c r="O37" i="71"/>
  <c r="N37" i="71"/>
  <c r="Q36" i="71"/>
  <c r="P36" i="71"/>
  <c r="O36" i="71"/>
  <c r="N36" i="71"/>
  <c r="X36" i="71"/>
  <c r="Q35" i="71"/>
  <c r="AB35" i="71"/>
  <c r="P35" i="71"/>
  <c r="O35" i="71"/>
  <c r="Y35" i="71" s="1"/>
  <c r="Z35" i="71" s="1"/>
  <c r="N35" i="71"/>
  <c r="Q34" i="71"/>
  <c r="P34" i="71"/>
  <c r="O34" i="71"/>
  <c r="C35" i="71" s="1"/>
  <c r="N34" i="71"/>
  <c r="D34" i="71"/>
  <c r="Q33" i="71"/>
  <c r="P33" i="71"/>
  <c r="O33" i="71"/>
  <c r="N33" i="71"/>
  <c r="Q32" i="71"/>
  <c r="AB31" i="71" s="1"/>
  <c r="P32" i="71"/>
  <c r="O32" i="71"/>
  <c r="Y32" i="71"/>
  <c r="Z32" i="71" s="1"/>
  <c r="N32" i="71"/>
  <c r="X32" i="71" s="1"/>
  <c r="Q31" i="71"/>
  <c r="P31" i="71"/>
  <c r="O31" i="71"/>
  <c r="N31" i="71"/>
  <c r="Q30" i="71"/>
  <c r="P30" i="71"/>
  <c r="O30" i="71"/>
  <c r="N30" i="71"/>
  <c r="D30" i="71"/>
  <c r="Q29" i="71"/>
  <c r="P29" i="71"/>
  <c r="O29" i="71"/>
  <c r="N29" i="71"/>
  <c r="Q28" i="71"/>
  <c r="P28" i="71"/>
  <c r="AA26" i="71" s="1"/>
  <c r="O28" i="71"/>
  <c r="Y28" i="71" s="1"/>
  <c r="Z28" i="71" s="1"/>
  <c r="N28" i="71"/>
  <c r="Q27" i="71"/>
  <c r="P27" i="71"/>
  <c r="O27" i="71"/>
  <c r="N27" i="71"/>
  <c r="F27" i="71"/>
  <c r="F28" i="71"/>
  <c r="F29" i="71" s="1"/>
  <c r="V29" i="71" s="1"/>
  <c r="Q26" i="71"/>
  <c r="P26" i="71"/>
  <c r="O26" i="71"/>
  <c r="Y24" i="71" s="1"/>
  <c r="Z24" i="71" s="1"/>
  <c r="N26" i="71"/>
  <c r="D26" i="71"/>
  <c r="O25" i="71"/>
  <c r="N25" i="71"/>
  <c r="B27" i="71"/>
  <c r="B28" i="71"/>
  <c r="B29" i="71"/>
  <c r="S29" i="71"/>
  <c r="E27" i="71"/>
  <c r="E28" i="71" s="1"/>
  <c r="E29" i="71" s="1"/>
  <c r="U29" i="71" s="1"/>
  <c r="B31" i="71"/>
  <c r="B35" i="71"/>
  <c r="B36" i="71" s="1"/>
  <c r="B37" i="71" s="1"/>
  <c r="S37" i="71" s="1"/>
  <c r="X34" i="71"/>
  <c r="N65" i="71"/>
  <c r="E31" i="71"/>
  <c r="E32" i="71" s="1"/>
  <c r="E33" i="71" s="1"/>
  <c r="U33" i="71" s="1"/>
  <c r="AA30" i="71"/>
  <c r="C31" i="71"/>
  <c r="X33" i="71"/>
  <c r="AA33" i="71"/>
  <c r="Y34" i="71"/>
  <c r="Z34" i="71" s="1"/>
  <c r="X35" i="71"/>
  <c r="C25" i="71"/>
  <c r="D35" i="71"/>
  <c r="D43" i="71"/>
  <c r="C48" i="71"/>
  <c r="D48" i="71" s="1"/>
  <c r="P25" i="71"/>
  <c r="E25" i="71" s="1"/>
  <c r="E56" i="71"/>
  <c r="E57" i="71" s="1"/>
  <c r="U57" i="71" s="1"/>
  <c r="E61" i="71"/>
  <c r="U61" i="71"/>
  <c r="Q25" i="71"/>
  <c r="T65" i="71"/>
  <c r="D65" i="71"/>
  <c r="C64" i="71"/>
  <c r="E68" i="71"/>
  <c r="E67" i="71"/>
  <c r="D69" i="71"/>
  <c r="E72" i="71"/>
  <c r="E71" i="71"/>
  <c r="C76" i="71"/>
  <c r="E76" i="71"/>
  <c r="E75" i="71"/>
  <c r="D77" i="71"/>
  <c r="C80" i="71"/>
  <c r="C84" i="71"/>
  <c r="C83" i="71" s="1"/>
  <c r="D83" i="71" s="1"/>
  <c r="F25" i="71"/>
  <c r="F24" i="71"/>
  <c r="F23" i="71" s="1"/>
  <c r="AA24" i="71"/>
  <c r="C63" i="71"/>
  <c r="D80" i="71"/>
  <c r="C79" i="71"/>
  <c r="D79" i="71"/>
  <c r="D84" i="71"/>
  <c r="D76" i="71"/>
  <c r="C75" i="71"/>
  <c r="D75" i="71" s="1"/>
  <c r="C67" i="71"/>
  <c r="D67" i="71" s="1"/>
  <c r="C49" i="71"/>
  <c r="O63"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s="1"/>
  <c r="A12" i="70"/>
  <c r="E12" i="70"/>
  <c r="A13" i="70"/>
  <c r="E13" i="70" s="1"/>
  <c r="A6" i="70"/>
  <c r="Q25" i="40"/>
  <c r="Z25" i="40" s="1"/>
  <c r="D94" i="40"/>
  <c r="E94" i="40"/>
  <c r="F25" i="40"/>
  <c r="AA25" i="40" s="1"/>
  <c r="Q29" i="39"/>
  <c r="Z29" i="39" s="1"/>
  <c r="D102" i="39"/>
  <c r="E102" i="39" s="1"/>
  <c r="F102" i="39" s="1"/>
  <c r="G102" i="39" s="1"/>
  <c r="F29" i="39"/>
  <c r="AA29" i="39" s="1"/>
  <c r="Q18" i="36"/>
  <c r="Z18" i="36" s="1"/>
  <c r="D66" i="36"/>
  <c r="E66" i="36"/>
  <c r="F66" i="36" s="1"/>
  <c r="G66" i="36" s="1"/>
  <c r="H18" i="36"/>
  <c r="U18" i="36" s="1"/>
  <c r="AB18" i="36"/>
  <c r="F18" i="36"/>
  <c r="AA18" i="36" s="1"/>
  <c r="C18" i="36"/>
  <c r="Q18" i="35"/>
  <c r="Z18" i="35" s="1"/>
  <c r="D68" i="35"/>
  <c r="E68" i="35"/>
  <c r="F18" i="35"/>
  <c r="S18" i="35" s="1"/>
  <c r="AA18" i="35"/>
  <c r="C18" i="35"/>
  <c r="Q21" i="37"/>
  <c r="Z21" i="37" s="1"/>
  <c r="D77" i="37"/>
  <c r="E77" i="37" s="1"/>
  <c r="C21" i="37"/>
  <c r="Q21" i="34"/>
  <c r="Z21" i="34" s="1"/>
  <c r="D84" i="34"/>
  <c r="E84" i="34"/>
  <c r="F21" i="34"/>
  <c r="AA21" i="34" s="1"/>
  <c r="C21" i="34"/>
  <c r="Q21" i="33"/>
  <c r="Z21" i="33" s="1"/>
  <c r="D83" i="33"/>
  <c r="E83" i="33" s="1"/>
  <c r="F83" i="33" s="1"/>
  <c r="C21" i="33"/>
  <c r="C21" i="21"/>
  <c r="Q21" i="21"/>
  <c r="Z21" i="21" s="1"/>
  <c r="H19" i="21"/>
  <c r="D83" i="21"/>
  <c r="F21" i="21"/>
  <c r="AA21" i="21" s="1"/>
  <c r="D81" i="21"/>
  <c r="G20" i="20"/>
  <c r="C25" i="40" s="1"/>
  <c r="C22" i="20"/>
  <c r="B75" i="43"/>
  <c r="B55" i="43"/>
  <c r="B66" i="43"/>
  <c r="C29" i="39"/>
  <c r="S25" i="40"/>
  <c r="S18" i="36"/>
  <c r="F94" i="40"/>
  <c r="G94" i="40" s="1"/>
  <c r="H25" i="40"/>
  <c r="J25" i="40"/>
  <c r="H29" i="39"/>
  <c r="AB29" i="39" s="1"/>
  <c r="J29" i="39"/>
  <c r="AC29" i="39" s="1"/>
  <c r="J18" i="36"/>
  <c r="F68" i="35"/>
  <c r="G68" i="35" s="1"/>
  <c r="H18" i="35"/>
  <c r="J18" i="35"/>
  <c r="AC18" i="35" s="1"/>
  <c r="F77" i="37"/>
  <c r="H21" i="37"/>
  <c r="F21" i="37"/>
  <c r="AA21" i="37" s="1"/>
  <c r="F84" i="34"/>
  <c r="G84" i="34" s="1"/>
  <c r="H21" i="34"/>
  <c r="H21" i="33"/>
  <c r="U21" i="33" s="1"/>
  <c r="F21" i="33"/>
  <c r="E83" i="21"/>
  <c r="F83" i="21" s="1"/>
  <c r="G83" i="21" s="1"/>
  <c r="S21" i="21"/>
  <c r="H1" i="69"/>
  <c r="AC25" i="40"/>
  <c r="W25" i="40"/>
  <c r="U29" i="39"/>
  <c r="W29" i="39"/>
  <c r="AB21" i="37"/>
  <c r="U21" i="37"/>
  <c r="S21" i="37"/>
  <c r="AB21" i="34"/>
  <c r="U21" i="34"/>
  <c r="AB21" i="33"/>
  <c r="AA21" i="33"/>
  <c r="S21" i="33"/>
  <c r="AB18" i="35"/>
  <c r="U18" i="35"/>
  <c r="W18" i="35"/>
  <c r="G77" i="37"/>
  <c r="J21" i="37"/>
  <c r="AC21" i="37" s="1"/>
  <c r="J21" i="34"/>
  <c r="G83" i="33"/>
  <c r="J21" i="33"/>
  <c r="AC21" i="33" s="1"/>
  <c r="H21" i="21"/>
  <c r="F38" i="69"/>
  <c r="E37" i="69"/>
  <c r="F36" i="69"/>
  <c r="F35" i="69"/>
  <c r="F21" i="69"/>
  <c r="F40" i="69" s="1"/>
  <c r="F20" i="69"/>
  <c r="F39" i="69" s="1"/>
  <c r="E10" i="69"/>
  <c r="E9" i="69"/>
  <c r="C7" i="69"/>
  <c r="W21" i="37"/>
  <c r="W21" i="33"/>
  <c r="J21" i="21"/>
  <c r="F38" i="68"/>
  <c r="E37" i="68"/>
  <c r="F36" i="68"/>
  <c r="F35" i="68"/>
  <c r="F21" i="68"/>
  <c r="F40" i="68" s="1"/>
  <c r="F20" i="68"/>
  <c r="F39" i="68" s="1"/>
  <c r="E10" i="68"/>
  <c r="E9" i="68"/>
  <c r="C7"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M10" i="1" s="1"/>
  <c r="O10" i="1" s="1"/>
  <c r="P10"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c r="AX65" i="3"/>
  <c r="AW65" i="3"/>
  <c r="AV65" i="3"/>
  <c r="AC65" i="3"/>
  <c r="H65" i="3"/>
  <c r="G65" i="3" s="1"/>
  <c r="BT64" i="3"/>
  <c r="BS64" i="3"/>
  <c r="BR64" i="3"/>
  <c r="BQ64" i="3"/>
  <c r="BP64" i="3"/>
  <c r="BO64" i="3"/>
  <c r="BN64" i="3"/>
  <c r="BL64" i="3" s="1"/>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Z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L182" i="3" s="1"/>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A170" i="3" s="1"/>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AZ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BC255" i="3"/>
  <c r="BB255" i="3"/>
  <c r="AZ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AZ252" i="3" s="1"/>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AZ248" i="3" s="1"/>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AZ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AZ211" i="3" s="1"/>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AZ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AZ483" i="3" s="1"/>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AZ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s="1"/>
  <c r="R260" i="31"/>
  <c r="S260" i="31" s="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S284" i="31" s="1"/>
  <c r="R285" i="31"/>
  <c r="S285" i="31" s="1"/>
  <c r="R286" i="31"/>
  <c r="R287" i="31"/>
  <c r="S287" i="31" s="1"/>
  <c r="R288" i="31"/>
  <c r="R289" i="31"/>
  <c r="S289" i="31"/>
  <c r="R290" i="31"/>
  <c r="R291" i="31"/>
  <c r="S291" i="31" s="1"/>
  <c r="R292" i="31"/>
  <c r="S292" i="31" s="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S316" i="31" s="1"/>
  <c r="R317" i="31"/>
  <c r="S317" i="31" s="1"/>
  <c r="R318" i="31"/>
  <c r="R319" i="31"/>
  <c r="S319" i="31" s="1"/>
  <c r="R320" i="31"/>
  <c r="R321" i="31"/>
  <c r="S321" i="31"/>
  <c r="R322" i="31"/>
  <c r="R323" i="31"/>
  <c r="S323" i="31" s="1"/>
  <c r="R324" i="31"/>
  <c r="S324" i="31" s="1"/>
  <c r="R325" i="31"/>
  <c r="S325" i="31" s="1"/>
  <c r="R326" i="31"/>
  <c r="R327" i="31"/>
  <c r="S327" i="31" s="1"/>
  <c r="R328" i="31"/>
  <c r="R329" i="31"/>
  <c r="S329" i="31"/>
  <c r="R330" i="31"/>
  <c r="R331" i="31"/>
  <c r="S331" i="31" s="1"/>
  <c r="R332" i="31"/>
  <c r="S332" i="31" s="1"/>
  <c r="R333" i="31"/>
  <c r="S333" i="31" s="1"/>
  <c r="R334" i="31"/>
  <c r="R335" i="31"/>
  <c r="S335" i="31" s="1"/>
  <c r="R336" i="31"/>
  <c r="R337" i="31"/>
  <c r="S337" i="31"/>
  <c r="R338" i="31"/>
  <c r="R339" i="31"/>
  <c r="S339" i="31" s="1"/>
  <c r="R340" i="31"/>
  <c r="S340" i="31" s="1"/>
  <c r="R341" i="31"/>
  <c r="S341" i="31" s="1"/>
  <c r="R342" i="31"/>
  <c r="R343" i="31"/>
  <c r="S343" i="31" s="1"/>
  <c r="R344" i="31"/>
  <c r="R345" i="31"/>
  <c r="S345" i="31"/>
  <c r="R346" i="31"/>
  <c r="R347" i="31"/>
  <c r="S347" i="31" s="1"/>
  <c r="R348" i="31"/>
  <c r="S348" i="31" s="1"/>
  <c r="R349" i="31"/>
  <c r="S349" i="31" s="1"/>
  <c r="R350" i="31"/>
  <c r="R351" i="31"/>
  <c r="S351" i="31" s="1"/>
  <c r="R352" i="31"/>
  <c r="R353" i="31"/>
  <c r="S353" i="31"/>
  <c r="R354" i="31"/>
  <c r="R355" i="31"/>
  <c r="S355" i="31" s="1"/>
  <c r="R356" i="31"/>
  <c r="S356" i="31" s="1"/>
  <c r="R357" i="31"/>
  <c r="S357" i="31" s="1"/>
  <c r="R358" i="31"/>
  <c r="R359" i="31"/>
  <c r="S359" i="31" s="1"/>
  <c r="R360" i="31"/>
  <c r="R361" i="31"/>
  <c r="S361" i="31"/>
  <c r="R362" i="31"/>
  <c r="R363" i="31"/>
  <c r="S363" i="31" s="1"/>
  <c r="R364" i="31"/>
  <c r="S364" i="31" s="1"/>
  <c r="R365" i="31"/>
  <c r="S365" i="31" s="1"/>
  <c r="R366" i="31"/>
  <c r="R367" i="31"/>
  <c r="S367" i="31" s="1"/>
  <c r="R368" i="31"/>
  <c r="R369" i="31"/>
  <c r="S369" i="31"/>
  <c r="R370" i="31"/>
  <c r="R371" i="31"/>
  <c r="S371" i="31" s="1"/>
  <c r="R372" i="31"/>
  <c r="S372" i="31" s="1"/>
  <c r="R373" i="31"/>
  <c r="S373" i="31" s="1"/>
  <c r="R374" i="31"/>
  <c r="R375" i="31"/>
  <c r="S375" i="31" s="1"/>
  <c r="R376" i="31"/>
  <c r="R377" i="31"/>
  <c r="S377" i="31"/>
  <c r="R378" i="31"/>
  <c r="R379" i="31"/>
  <c r="S379" i="31" s="1"/>
  <c r="R380" i="31"/>
  <c r="S380" i="31" s="1"/>
  <c r="R381" i="31"/>
  <c r="S381" i="31" s="1"/>
  <c r="R382" i="31"/>
  <c r="R383" i="31"/>
  <c r="S383" i="31" s="1"/>
  <c r="R384" i="31"/>
  <c r="R385" i="31"/>
  <c r="S385" i="31"/>
  <c r="R386" i="31"/>
  <c r="R387" i="31"/>
  <c r="S387" i="31" s="1"/>
  <c r="R388" i="31"/>
  <c r="S388" i="31" s="1"/>
  <c r="R389" i="31"/>
  <c r="S389" i="31" s="1"/>
  <c r="R390" i="31"/>
  <c r="R391" i="31"/>
  <c r="S391" i="31" s="1"/>
  <c r="R392" i="31"/>
  <c r="R393" i="31"/>
  <c r="S393" i="31"/>
  <c r="R394" i="31"/>
  <c r="R395" i="31"/>
  <c r="S395" i="31" s="1"/>
  <c r="R396" i="31"/>
  <c r="S396" i="31" s="1"/>
  <c r="R397" i="31"/>
  <c r="S397" i="31" s="1"/>
  <c r="R398" i="31"/>
  <c r="R399" i="31"/>
  <c r="S399" i="31" s="1"/>
  <c r="R400" i="31"/>
  <c r="R401" i="31"/>
  <c r="S401" i="31"/>
  <c r="R402" i="31"/>
  <c r="R403" i="31"/>
  <c r="S403" i="31" s="1"/>
  <c r="R404" i="31"/>
  <c r="S404" i="31" s="1"/>
  <c r="R405" i="31"/>
  <c r="S405" i="31" s="1"/>
  <c r="R406" i="31"/>
  <c r="R407" i="31"/>
  <c r="S407" i="31" s="1"/>
  <c r="R408" i="31"/>
  <c r="R409" i="31"/>
  <c r="S409" i="31"/>
  <c r="R410" i="31"/>
  <c r="R411" i="31"/>
  <c r="S411" i="31" s="1"/>
  <c r="R412" i="31"/>
  <c r="S412" i="31" s="1"/>
  <c r="R413" i="31"/>
  <c r="S413" i="31" s="1"/>
  <c r="R414" i="31"/>
  <c r="R415" i="31"/>
  <c r="S415" i="31" s="1"/>
  <c r="R416" i="31"/>
  <c r="R417" i="31"/>
  <c r="S417" i="31"/>
  <c r="R418" i="31"/>
  <c r="R419" i="31"/>
  <c r="S419" i="31" s="1"/>
  <c r="R420" i="31"/>
  <c r="S420" i="31" s="1"/>
  <c r="R421" i="31"/>
  <c r="S421" i="31" s="1"/>
  <c r="R422" i="31"/>
  <c r="R423" i="31"/>
  <c r="S423" i="31" s="1"/>
  <c r="R424" i="31"/>
  <c r="R425" i="31"/>
  <c r="R426" i="31"/>
  <c r="S426" i="31" s="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93" i="9" s="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5" i="3" s="1"/>
  <c r="BO17" i="3"/>
  <c r="BN13" i="3"/>
  <c r="BN14" i="3"/>
  <c r="BN15" i="3"/>
  <c r="BN5" i="3" s="1"/>
  <c r="BN16" i="3"/>
  <c r="BN17" i="3"/>
  <c r="BP13" i="3"/>
  <c r="BP14" i="3"/>
  <c r="BP15" i="3"/>
  <c r="BP16" i="3"/>
  <c r="BP17" i="3"/>
  <c r="E19" i="6"/>
  <c r="E20" i="6"/>
  <c r="E21" i="6"/>
  <c r="K8" i="1"/>
  <c r="M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4" i="31"/>
  <c r="S312" i="31"/>
  <c r="S310" i="31"/>
  <c r="S308" i="31"/>
  <c r="S306" i="31"/>
  <c r="S304" i="31"/>
  <c r="S302" i="31"/>
  <c r="S300" i="31"/>
  <c r="S298" i="31"/>
  <c r="S296" i="31"/>
  <c r="S294" i="31"/>
  <c r="S290" i="31"/>
  <c r="S288" i="31"/>
  <c r="S286" i="31"/>
  <c r="S282" i="31"/>
  <c r="S280" i="31"/>
  <c r="S278" i="31"/>
  <c r="S276" i="31"/>
  <c r="S274" i="31"/>
  <c r="S272" i="31"/>
  <c r="S270" i="31"/>
  <c r="S268" i="31"/>
  <c r="S266" i="31"/>
  <c r="S264" i="31"/>
  <c r="S262"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0" i="31"/>
  <c r="S498" i="31"/>
  <c r="S467" i="31"/>
  <c r="S465" i="31"/>
  <c r="S464" i="31"/>
  <c r="S463" i="31"/>
  <c r="S461" i="31"/>
  <c r="S460" i="31"/>
  <c r="S459" i="31"/>
  <c r="S457" i="31"/>
  <c r="S456" i="31"/>
  <c r="S455" i="31"/>
  <c r="S453" i="31"/>
  <c r="S452" i="31"/>
  <c r="S451"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8" i="31"/>
  <c r="S449" i="31"/>
  <c r="S507" i="31"/>
  <c r="S508" i="31"/>
  <c r="S509" i="31"/>
  <c r="S511" i="31"/>
  <c r="S512" i="31"/>
  <c r="S513" i="31"/>
  <c r="I48" i="37"/>
  <c r="J48" i="37" s="1"/>
  <c r="G48" i="37"/>
  <c r="H48" i="37" s="1"/>
  <c r="E48" i="37"/>
  <c r="F48" i="37"/>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L550" i="3" s="1"/>
  <c r="BP550" i="3"/>
  <c r="BQ550" i="3"/>
  <c r="BR550" i="3"/>
  <c r="BS550" i="3"/>
  <c r="BT550" i="3"/>
  <c r="H551" i="3"/>
  <c r="G551" i="3"/>
  <c r="AC551" i="3"/>
  <c r="BB551" i="3"/>
  <c r="BC551" i="3"/>
  <c r="BD551" i="3"/>
  <c r="BA551" i="3" s="1"/>
  <c r="AZ551" i="3" s="1"/>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L553" i="3" s="1"/>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c r="H26" i="35" s="1"/>
  <c r="U26" i="35" s="1"/>
  <c r="J31" i="35"/>
  <c r="H31" i="35"/>
  <c r="F31" i="35"/>
  <c r="D87" i="35"/>
  <c r="E87" i="35" s="1"/>
  <c r="F87" i="35" s="1"/>
  <c r="G87" i="35" s="1"/>
  <c r="H87" i="35" s="1"/>
  <c r="I87" i="35" s="1"/>
  <c r="J87" i="35" s="1"/>
  <c r="K87" i="35" s="1"/>
  <c r="L87" i="35"/>
  <c r="M87" i="35" s="1"/>
  <c r="H34" i="37"/>
  <c r="D101" i="37"/>
  <c r="F34" i="37"/>
  <c r="D99" i="37"/>
  <c r="E99" i="37" s="1"/>
  <c r="F99" i="37" s="1"/>
  <c r="G99" i="37" s="1"/>
  <c r="H99" i="37" s="1"/>
  <c r="I99" i="37" s="1"/>
  <c r="J99" i="37" s="1"/>
  <c r="K99" i="37" s="1"/>
  <c r="L99" i="37" s="1"/>
  <c r="M99" i="37" s="1"/>
  <c r="H42" i="34"/>
  <c r="AB42" i="34" s="1"/>
  <c r="J42" i="34"/>
  <c r="W42" i="34" s="1"/>
  <c r="F42" i="34"/>
  <c r="J38" i="34"/>
  <c r="D114" i="34"/>
  <c r="F38" i="34"/>
  <c r="S38" i="34"/>
  <c r="D112" i="34"/>
  <c r="E112" i="34" s="1"/>
  <c r="F112" i="34" s="1"/>
  <c r="G112" i="34" s="1"/>
  <c r="H112" i="34" s="1"/>
  <c r="I112" i="34" s="1"/>
  <c r="J112" i="34" s="1"/>
  <c r="K112" i="34"/>
  <c r="L112" i="34" s="1"/>
  <c r="M112" i="34" s="1"/>
  <c r="F40" i="33"/>
  <c r="J41" i="33"/>
  <c r="W41" i="33" s="1"/>
  <c r="D113" i="33"/>
  <c r="F37" i="33"/>
  <c r="D111" i="33"/>
  <c r="E111" i="33"/>
  <c r="F111" i="33"/>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c r="L76" i="40" s="1"/>
  <c r="M76" i="40" s="1"/>
  <c r="B120" i="40"/>
  <c r="B118" i="40"/>
  <c r="J39" i="40" s="1"/>
  <c r="B116" i="40"/>
  <c r="F38" i="40"/>
  <c r="D115" i="40"/>
  <c r="E115" i="40" s="1"/>
  <c r="F115" i="40" s="1"/>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s="1"/>
  <c r="J38" i="40"/>
  <c r="AC38" i="40" s="1"/>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c r="Q28" i="37"/>
  <c r="Z28" i="37" s="1"/>
  <c r="Q27" i="37"/>
  <c r="Z27" i="37"/>
  <c r="Q26" i="37"/>
  <c r="Z26" i="37" s="1"/>
  <c r="Q25" i="37"/>
  <c r="Z25" i="37" s="1"/>
  <c r="J25" i="37"/>
  <c r="AC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c r="F8" i="37"/>
  <c r="J31" i="36"/>
  <c r="H31" i="36"/>
  <c r="AB31" i="36"/>
  <c r="F31" i="36"/>
  <c r="S31" i="36" s="1"/>
  <c r="M86" i="36"/>
  <c r="L86" i="36"/>
  <c r="K86" i="36"/>
  <c r="J86" i="36"/>
  <c r="I86" i="36"/>
  <c r="H86" i="36"/>
  <c r="G86" i="36"/>
  <c r="F86" i="36"/>
  <c r="E86" i="36"/>
  <c r="D86" i="36"/>
  <c r="C86" i="36"/>
  <c r="D85" i="36"/>
  <c r="H29" i="36"/>
  <c r="D81" i="36"/>
  <c r="E81" i="36" s="1"/>
  <c r="F81" i="36" s="1"/>
  <c r="G81" i="36"/>
  <c r="H81" i="36"/>
  <c r="I81" i="36" s="1"/>
  <c r="J81" i="36" s="1"/>
  <c r="K81" i="36" s="1"/>
  <c r="L81" i="36" s="1"/>
  <c r="M81" i="36" s="1"/>
  <c r="F79" i="36"/>
  <c r="E79" i="36"/>
  <c r="D79" i="36"/>
  <c r="C79" i="36"/>
  <c r="B93" i="36"/>
  <c r="H33" i="36"/>
  <c r="U33" i="36" s="1"/>
  <c r="B91" i="36"/>
  <c r="F32" i="36" s="1"/>
  <c r="B95" i="36"/>
  <c r="H34" i="36"/>
  <c r="D83" i="36"/>
  <c r="E83" i="36" s="1"/>
  <c r="F83" i="36" s="1"/>
  <c r="G83" i="36" s="1"/>
  <c r="H83" i="36" s="1"/>
  <c r="I83" i="36" s="1"/>
  <c r="J83" i="36" s="1"/>
  <c r="K83" i="36" s="1"/>
  <c r="L83" i="36" s="1"/>
  <c r="M83" i="36" s="1"/>
  <c r="D78" i="36"/>
  <c r="E78" i="36"/>
  <c r="F78" i="36"/>
  <c r="G78" i="36" s="1"/>
  <c r="H78" i="36" s="1"/>
  <c r="I78" i="36"/>
  <c r="J78" i="36" s="1"/>
  <c r="K78" i="36" s="1"/>
  <c r="L78" i="36" s="1"/>
  <c r="M78" i="36" s="1"/>
  <c r="B75" i="36"/>
  <c r="B73" i="36"/>
  <c r="J24" i="36" s="1"/>
  <c r="AC24" i="36" s="1"/>
  <c r="B71" i="36"/>
  <c r="H23" i="36" s="1"/>
  <c r="D70" i="36"/>
  <c r="H22" i="36"/>
  <c r="AB22" i="36"/>
  <c r="D68" i="36"/>
  <c r="E68" i="36" s="1"/>
  <c r="F68" i="36" s="1"/>
  <c r="G68" i="36"/>
  <c r="D64" i="36"/>
  <c r="E64" i="36" s="1"/>
  <c r="F64" i="36" s="1"/>
  <c r="G64" i="36" s="1"/>
  <c r="J16" i="36"/>
  <c r="W16" i="36" s="1"/>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c r="J28" i="36"/>
  <c r="Q27" i="36"/>
  <c r="Z27" i="36"/>
  <c r="Q26" i="36"/>
  <c r="Z26" i="36" s="1"/>
  <c r="H26" i="36"/>
  <c r="AB26" i="36"/>
  <c r="Q25" i="36"/>
  <c r="Z25" i="36" s="1"/>
  <c r="Q24" i="36"/>
  <c r="Z24" i="36"/>
  <c r="H24" i="36"/>
  <c r="AB24" i="36" s="1"/>
  <c r="Q23" i="36"/>
  <c r="Z23" i="36"/>
  <c r="J23" i="36"/>
  <c r="AB23" i="36"/>
  <c r="F23" i="36"/>
  <c r="AA23" i="36" s="1"/>
  <c r="Q22" i="36"/>
  <c r="Z22" i="36"/>
  <c r="J22" i="36"/>
  <c r="AC22" i="36" s="1"/>
  <c r="Q20" i="36"/>
  <c r="Z20" i="36"/>
  <c r="Q16" i="36"/>
  <c r="Z16" i="36" s="1"/>
  <c r="Q14" i="36"/>
  <c r="Z14" i="36"/>
  <c r="Q13" i="36"/>
  <c r="Z13" i="36" s="1"/>
  <c r="Q12" i="36"/>
  <c r="Z12" i="36"/>
  <c r="Q11" i="36"/>
  <c r="Z11" i="36"/>
  <c r="Q10" i="36"/>
  <c r="Z10" i="36" s="1"/>
  <c r="F10" i="36"/>
  <c r="AA10" i="36"/>
  <c r="Q9" i="36"/>
  <c r="Z9" i="36" s="1"/>
  <c r="J9" i="36"/>
  <c r="AC9" i="36" s="1"/>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B99" i="35"/>
  <c r="B97" i="35"/>
  <c r="B77" i="35"/>
  <c r="B75" i="35"/>
  <c r="J24" i="35" s="1"/>
  <c r="AC24" i="35" s="1"/>
  <c r="B73" i="35"/>
  <c r="B57" i="35"/>
  <c r="B61" i="35"/>
  <c r="B59" i="35"/>
  <c r="B131" i="34"/>
  <c r="B129" i="34"/>
  <c r="B127" i="34"/>
  <c r="B99" i="34"/>
  <c r="B97" i="34"/>
  <c r="B95" i="34"/>
  <c r="B93" i="34"/>
  <c r="B75" i="34"/>
  <c r="B73" i="34"/>
  <c r="B71" i="34"/>
  <c r="F12" i="34" s="1"/>
  <c r="B130" i="33"/>
  <c r="B128" i="33"/>
  <c r="H45" i="33" s="1"/>
  <c r="B126" i="33"/>
  <c r="B98" i="33"/>
  <c r="B96" i="33"/>
  <c r="B94" i="33"/>
  <c r="B74" i="33"/>
  <c r="B72" i="33"/>
  <c r="B70" i="33"/>
  <c r="H12" i="33" s="1"/>
  <c r="J12" i="33"/>
  <c r="D96" i="35"/>
  <c r="E96" i="35"/>
  <c r="F96" i="35" s="1"/>
  <c r="G96" i="35" s="1"/>
  <c r="D94" i="35"/>
  <c r="E94" i="35"/>
  <c r="F94" i="35" s="1"/>
  <c r="G94" i="35"/>
  <c r="H94" i="35" s="1"/>
  <c r="I94" i="35" s="1"/>
  <c r="J94" i="35" s="1"/>
  <c r="K94" i="35" s="1"/>
  <c r="L94" i="35" s="1"/>
  <c r="M94" i="35"/>
  <c r="D84" i="35"/>
  <c r="E84" i="35" s="1"/>
  <c r="F84" i="35" s="1"/>
  <c r="G84" i="35" s="1"/>
  <c r="H84" i="35"/>
  <c r="I84" i="35" s="1"/>
  <c r="J84" i="35" s="1"/>
  <c r="K84" i="35" s="1"/>
  <c r="L84" i="35" s="1"/>
  <c r="M84" i="35" s="1"/>
  <c r="D80" i="35"/>
  <c r="E80" i="35"/>
  <c r="F80" i="35" s="1"/>
  <c r="G80" i="35" s="1"/>
  <c r="H80" i="35" s="1"/>
  <c r="I80" i="35"/>
  <c r="J80" i="35" s="1"/>
  <c r="K80" i="35" s="1"/>
  <c r="L80" i="35" s="1"/>
  <c r="M80" i="35" s="1"/>
  <c r="D72" i="35"/>
  <c r="E72" i="35" s="1"/>
  <c r="F72" i="35" s="1"/>
  <c r="G72" i="35" s="1"/>
  <c r="D70" i="35"/>
  <c r="E70" i="35"/>
  <c r="F70" i="35" s="1"/>
  <c r="G70" i="35" s="1"/>
  <c r="D66" i="35"/>
  <c r="E66" i="35"/>
  <c r="F66" i="35" s="1"/>
  <c r="G66" i="35" s="1"/>
  <c r="D64" i="35"/>
  <c r="E64" i="35" s="1"/>
  <c r="F64" i="35" s="1"/>
  <c r="G64" i="35" s="1"/>
  <c r="J14" i="35"/>
  <c r="F56" i="35"/>
  <c r="G56" i="35"/>
  <c r="H56" i="35" s="1"/>
  <c r="I56" i="35" s="1"/>
  <c r="C53" i="35"/>
  <c r="J9" i="35"/>
  <c r="P39" i="35"/>
  <c r="P38" i="35"/>
  <c r="V37" i="35"/>
  <c r="T37" i="35"/>
  <c r="R37" i="35"/>
  <c r="P37" i="35"/>
  <c r="Q36" i="35"/>
  <c r="Z36" i="35"/>
  <c r="Q35" i="35"/>
  <c r="Z35" i="35"/>
  <c r="Q34" i="35"/>
  <c r="Z34" i="35" s="1"/>
  <c r="H34" i="35"/>
  <c r="Q33" i="35"/>
  <c r="Z33" i="35"/>
  <c r="Q32" i="35"/>
  <c r="Z32" i="35"/>
  <c r="H32" i="35"/>
  <c r="AB32" i="35"/>
  <c r="F32" i="35"/>
  <c r="AA32" i="35"/>
  <c r="Q31" i="35"/>
  <c r="Z31" i="35"/>
  <c r="AB31" i="35"/>
  <c r="AA31" i="35"/>
  <c r="Q30" i="35"/>
  <c r="Z30" i="35" s="1"/>
  <c r="Q29" i="35"/>
  <c r="Z29" i="35"/>
  <c r="Q28" i="35"/>
  <c r="Z28" i="35" s="1"/>
  <c r="J28" i="35"/>
  <c r="AC28" i="35"/>
  <c r="H28" i="35"/>
  <c r="AB28" i="35" s="1"/>
  <c r="F28" i="35"/>
  <c r="AA28" i="35"/>
  <c r="Q27" i="35"/>
  <c r="Z27" i="35" s="1"/>
  <c r="Q26" i="35"/>
  <c r="Z26" i="35" s="1"/>
  <c r="Q25" i="35"/>
  <c r="Z25" i="35" s="1"/>
  <c r="Q24" i="35"/>
  <c r="Z24" i="35" s="1"/>
  <c r="Q23" i="35"/>
  <c r="Z23" i="35" s="1"/>
  <c r="Q22" i="35"/>
  <c r="Z22" i="35" s="1"/>
  <c r="Q20" i="35"/>
  <c r="Z20" i="35"/>
  <c r="Q16" i="35"/>
  <c r="Z16" i="35" s="1"/>
  <c r="Q14" i="35"/>
  <c r="Z14" i="35" s="1"/>
  <c r="Q13" i="35"/>
  <c r="Z13" i="35" s="1"/>
  <c r="Q12" i="35"/>
  <c r="Z12" i="35" s="1"/>
  <c r="Q11" i="35"/>
  <c r="Z11" i="35"/>
  <c r="Q10" i="35"/>
  <c r="Z10" i="35" s="1"/>
  <c r="Q9" i="35"/>
  <c r="Z9" i="35" s="1"/>
  <c r="J8" i="35"/>
  <c r="W8" i="35" s="1"/>
  <c r="H8" i="35"/>
  <c r="AB8" i="35"/>
  <c r="F8" i="35"/>
  <c r="AA8" i="35" s="1"/>
  <c r="D120" i="34"/>
  <c r="E120" i="34"/>
  <c r="F120" i="34"/>
  <c r="G120" i="34" s="1"/>
  <c r="H120" i="34" s="1"/>
  <c r="I120" i="34" s="1"/>
  <c r="J120" i="34" s="1"/>
  <c r="K120" i="34" s="1"/>
  <c r="L120" i="34"/>
  <c r="M120" i="34" s="1"/>
  <c r="D90" i="34"/>
  <c r="E90" i="34" s="1"/>
  <c r="F90" i="34"/>
  <c r="G90" i="34" s="1"/>
  <c r="H90" i="34" s="1"/>
  <c r="I90" i="34" s="1"/>
  <c r="J90" i="34" s="1"/>
  <c r="K90" i="34" s="1"/>
  <c r="L90" i="34" s="1"/>
  <c r="M90" i="34" s="1"/>
  <c r="C15" i="34"/>
  <c r="F67" i="34"/>
  <c r="G67" i="34"/>
  <c r="D126" i="34"/>
  <c r="E126" i="34"/>
  <c r="F126" i="34"/>
  <c r="G126" i="34"/>
  <c r="D124" i="34"/>
  <c r="E124" i="34"/>
  <c r="F124" i="34"/>
  <c r="G124" i="34"/>
  <c r="H124" i="34" s="1"/>
  <c r="I124" i="34" s="1"/>
  <c r="J124" i="34" s="1"/>
  <c r="K124" i="34" s="1"/>
  <c r="L124" i="34" s="1"/>
  <c r="M124" i="34" s="1"/>
  <c r="H43" i="34"/>
  <c r="AB43" i="34" s="1"/>
  <c r="D118" i="34"/>
  <c r="E118" i="34"/>
  <c r="F118" i="34"/>
  <c r="G118" i="34" s="1"/>
  <c r="D116" i="34"/>
  <c r="E116" i="34"/>
  <c r="F116" i="34" s="1"/>
  <c r="G116" i="34" s="1"/>
  <c r="H116" i="34" s="1"/>
  <c r="I116" i="34" s="1"/>
  <c r="J116" i="34"/>
  <c r="K116" i="34" s="1"/>
  <c r="L116" i="34" s="1"/>
  <c r="M116" i="34" s="1"/>
  <c r="F110" i="34"/>
  <c r="E110" i="34"/>
  <c r="D110" i="34"/>
  <c r="C110" i="34"/>
  <c r="D109" i="34"/>
  <c r="E109" i="34"/>
  <c r="F109" i="34" s="1"/>
  <c r="G109" i="34"/>
  <c r="H109" i="34" s="1"/>
  <c r="I109" i="34" s="1"/>
  <c r="J109" i="34" s="1"/>
  <c r="K109" i="34" s="1"/>
  <c r="L109" i="34"/>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s="1"/>
  <c r="G92" i="34" s="1"/>
  <c r="H92" i="34" s="1"/>
  <c r="I92" i="34" s="1"/>
  <c r="J92" i="34"/>
  <c r="K92" i="34" s="1"/>
  <c r="L92" i="34" s="1"/>
  <c r="M92" i="34" s="1"/>
  <c r="B91" i="34"/>
  <c r="B89" i="34"/>
  <c r="J27" i="34"/>
  <c r="AC27" i="34" s="1"/>
  <c r="D88" i="34"/>
  <c r="E88" i="34"/>
  <c r="F88" i="34" s="1"/>
  <c r="G88" i="34"/>
  <c r="H88" i="34"/>
  <c r="I88" i="34" s="1"/>
  <c r="J88" i="34" s="1"/>
  <c r="K88" i="34" s="1"/>
  <c r="L88" i="34" s="1"/>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S34" i="34" s="1"/>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s="1"/>
  <c r="Q12" i="34"/>
  <c r="Z12" i="34" s="1"/>
  <c r="J12" i="34"/>
  <c r="H12" i="34"/>
  <c r="S12" i="34"/>
  <c r="Q11" i="34"/>
  <c r="Z11" i="34" s="1"/>
  <c r="Q10" i="34"/>
  <c r="Z10" i="34"/>
  <c r="F10" i="34"/>
  <c r="AA10" i="34" s="1"/>
  <c r="Q9" i="34"/>
  <c r="Z9" i="34"/>
  <c r="J9" i="34"/>
  <c r="J8" i="34"/>
  <c r="H8" i="34"/>
  <c r="U8" i="34" s="1"/>
  <c r="F8" i="34"/>
  <c r="D121" i="33"/>
  <c r="E121" i="33"/>
  <c r="F121" i="33" s="1"/>
  <c r="F109" i="33"/>
  <c r="E109" i="33"/>
  <c r="D109" i="33"/>
  <c r="C109" i="33"/>
  <c r="D91" i="33"/>
  <c r="E91" i="33"/>
  <c r="B88" i="33"/>
  <c r="J26" i="33"/>
  <c r="W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c r="G108" i="33" s="1"/>
  <c r="D106" i="33"/>
  <c r="E106" i="33"/>
  <c r="M102" i="33"/>
  <c r="L102" i="33"/>
  <c r="K102" i="33"/>
  <c r="J102" i="33"/>
  <c r="I102" i="33"/>
  <c r="H102" i="33"/>
  <c r="G102" i="33"/>
  <c r="F102" i="33"/>
  <c r="E102" i="33"/>
  <c r="D102" i="33"/>
  <c r="C102" i="33"/>
  <c r="D101" i="33"/>
  <c r="E101" i="33" s="1"/>
  <c r="B92" i="33"/>
  <c r="F28" i="33" s="1"/>
  <c r="B90" i="33"/>
  <c r="D87" i="33"/>
  <c r="E87" i="33" s="1"/>
  <c r="D85" i="33"/>
  <c r="E85" i="33"/>
  <c r="D81" i="33"/>
  <c r="E81" i="33" s="1"/>
  <c r="D79" i="33"/>
  <c r="E79" i="33"/>
  <c r="D77" i="33"/>
  <c r="E77" i="33" s="1"/>
  <c r="F77" i="33"/>
  <c r="G77" i="33" s="1"/>
  <c r="D69" i="33"/>
  <c r="E69" i="33" s="1"/>
  <c r="F69" i="33"/>
  <c r="G69" i="33" s="1"/>
  <c r="H69" i="33" s="1"/>
  <c r="I69" i="33" s="1"/>
  <c r="J69" i="33" s="1"/>
  <c r="K69" i="33"/>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c r="Q42" i="33"/>
  <c r="Z42" i="33" s="1"/>
  <c r="J42" i="33"/>
  <c r="AC42" i="33"/>
  <c r="AC41" i="33"/>
  <c r="Q41" i="33"/>
  <c r="Z41" i="33"/>
  <c r="Q40" i="33"/>
  <c r="Z40" i="33" s="1"/>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U12" i="33"/>
  <c r="Q11" i="33"/>
  <c r="Z11" i="33" s="1"/>
  <c r="Q10" i="33"/>
  <c r="Z10" i="33"/>
  <c r="Q9" i="33"/>
  <c r="Z9" i="33" s="1"/>
  <c r="H9" i="33"/>
  <c r="AB9" i="33"/>
  <c r="J8" i="33"/>
  <c r="AC8" i="33"/>
  <c r="H8" i="33"/>
  <c r="AB8" i="33"/>
  <c r="F8" i="33"/>
  <c r="AA8" i="33"/>
  <c r="M102" i="21"/>
  <c r="D102" i="21"/>
  <c r="E102" i="21"/>
  <c r="F102" i="21"/>
  <c r="G102" i="21"/>
  <c r="H102" i="21"/>
  <c r="I102" i="21"/>
  <c r="J102" i="21"/>
  <c r="K102" i="21"/>
  <c r="L102" i="21"/>
  <c r="C102" i="21"/>
  <c r="C63" i="21"/>
  <c r="F9" i="21" s="1"/>
  <c r="G18" i="20"/>
  <c r="B88" i="43"/>
  <c r="G19" i="20"/>
  <c r="B85" i="43" s="1"/>
  <c r="G16" i="20"/>
  <c r="B82" i="43"/>
  <c r="G15" i="20"/>
  <c r="C24" i="20"/>
  <c r="B73" i="43"/>
  <c r="C21" i="20"/>
  <c r="C27" i="39" s="1"/>
  <c r="B74" i="43"/>
  <c r="C20" i="20"/>
  <c r="B77" i="43"/>
  <c r="C18" i="20"/>
  <c r="C21" i="39" s="1"/>
  <c r="B71" i="43"/>
  <c r="C17" i="20"/>
  <c r="B59" i="43"/>
  <c r="C16" i="20"/>
  <c r="C17" i="39"/>
  <c r="C15" i="20"/>
  <c r="B70" i="43"/>
  <c r="E54" i="21"/>
  <c r="F54" i="21"/>
  <c r="I54" i="21"/>
  <c r="J54" i="21"/>
  <c r="G54" i="21"/>
  <c r="H54" i="21"/>
  <c r="D125" i="21"/>
  <c r="E125" i="21"/>
  <c r="F125" i="21"/>
  <c r="G125" i="21"/>
  <c r="D123" i="21"/>
  <c r="E123" i="21"/>
  <c r="F123" i="21"/>
  <c r="G123" i="21" s="1"/>
  <c r="F42" i="21"/>
  <c r="D119" i="21"/>
  <c r="F40" i="21"/>
  <c r="D117" i="21"/>
  <c r="E117" i="21"/>
  <c r="F117" i="21"/>
  <c r="G117" i="21" s="1"/>
  <c r="D115" i="21"/>
  <c r="E115" i="21"/>
  <c r="F115" i="21"/>
  <c r="G115" i="21" s="1"/>
  <c r="H115" i="21" s="1"/>
  <c r="I115" i="21" s="1"/>
  <c r="J115" i="21"/>
  <c r="K115" i="21" s="1"/>
  <c r="L115" i="21" s="1"/>
  <c r="M115" i="21" s="1"/>
  <c r="D113" i="21"/>
  <c r="E113" i="21" s="1"/>
  <c r="F113" i="21" s="1"/>
  <c r="G113" i="21" s="1"/>
  <c r="H113" i="21"/>
  <c r="D110" i="21"/>
  <c r="E110" i="21" s="1"/>
  <c r="F110" i="21" s="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c r="D101" i="21"/>
  <c r="E101" i="21" s="1"/>
  <c r="F101" i="21" s="1"/>
  <c r="G101" i="21"/>
  <c r="H101" i="21" s="1"/>
  <c r="I101" i="21" s="1"/>
  <c r="J101" i="21" s="1"/>
  <c r="K101" i="21" s="1"/>
  <c r="L101" i="21" s="1"/>
  <c r="M101" i="21" s="1"/>
  <c r="D89" i="21"/>
  <c r="E89" i="21"/>
  <c r="F89" i="21"/>
  <c r="G89" i="21" s="1"/>
  <c r="H89" i="21" s="1"/>
  <c r="I89" i="21" s="1"/>
  <c r="J89" i="2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66" i="21"/>
  <c r="E66" i="21" s="1"/>
  <c r="F66" i="21" s="1"/>
  <c r="G66" i="21"/>
  <c r="H66" i="21" s="1"/>
  <c r="I66" i="21" s="1"/>
  <c r="D111" i="21"/>
  <c r="E111" i="21"/>
  <c r="F111" i="21"/>
  <c r="C111" i="21"/>
  <c r="D79" i="21"/>
  <c r="E79" i="21"/>
  <c r="F79" i="21"/>
  <c r="G79" i="21" s="1"/>
  <c r="D85" i="21"/>
  <c r="F19" i="21"/>
  <c r="E81" i="21"/>
  <c r="F81" i="21"/>
  <c r="G81" i="21"/>
  <c r="D77" i="21"/>
  <c r="E77" i="21" s="1"/>
  <c r="B130" i="21"/>
  <c r="B128" i="21"/>
  <c r="J45" i="21"/>
  <c r="B126" i="21"/>
  <c r="B98" i="21"/>
  <c r="B96" i="21"/>
  <c r="B94" i="21"/>
  <c r="J29" i="21"/>
  <c r="B92" i="21"/>
  <c r="B90" i="21"/>
  <c r="J27" i="21"/>
  <c r="W27" i="21" s="1"/>
  <c r="B74" i="21"/>
  <c r="B72" i="21"/>
  <c r="H13" i="21"/>
  <c r="AB13" i="21" s="1"/>
  <c r="B70" i="2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C7" i="12"/>
  <c r="BB12" i="3"/>
  <c r="F7" i="12"/>
  <c r="D7" i="12"/>
  <c r="E7" i="12"/>
  <c r="G7" i="12"/>
  <c r="K5" i="3"/>
  <c r="I4" i="6"/>
  <c r="G3" i="43"/>
  <c r="J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c r="F43" i="21"/>
  <c r="S43" i="21" s="1"/>
  <c r="H38" i="21"/>
  <c r="U38" i="21"/>
  <c r="H43" i="21"/>
  <c r="F38" i="21"/>
  <c r="S38" i="21"/>
  <c r="F36" i="21"/>
  <c r="S36" i="21" s="1"/>
  <c r="F39" i="21"/>
  <c r="AA39" i="21"/>
  <c r="J40" i="21"/>
  <c r="W40" i="21" s="1"/>
  <c r="H35" i="21"/>
  <c r="AB35" i="21"/>
  <c r="J8" i="21"/>
  <c r="AC8" i="21" s="1"/>
  <c r="H8" i="21"/>
  <c r="U8" i="21"/>
  <c r="H10" i="21"/>
  <c r="AB10" i="21" s="1"/>
  <c r="H39" i="21"/>
  <c r="U39" i="21"/>
  <c r="J34" i="21"/>
  <c r="W34" i="21" s="1"/>
  <c r="H36" i="21"/>
  <c r="U36" i="21"/>
  <c r="F35" i="21"/>
  <c r="J10" i="21"/>
  <c r="AC10" i="21"/>
  <c r="H26" i="21"/>
  <c r="AB26" i="21" s="1"/>
  <c r="AB19" i="21"/>
  <c r="J19" i="21"/>
  <c r="W19" i="21"/>
  <c r="H12" i="21"/>
  <c r="AB12" i="21"/>
  <c r="J26" i="21"/>
  <c r="W26" i="21"/>
  <c r="F26" i="21"/>
  <c r="S26" i="21"/>
  <c r="AB41" i="21"/>
  <c r="S41" i="21"/>
  <c r="AA41" i="21"/>
  <c r="F45" i="39"/>
  <c r="J45" i="39"/>
  <c r="W45" i="39"/>
  <c r="J44" i="39"/>
  <c r="AC44" i="39" s="1"/>
  <c r="F36" i="39"/>
  <c r="S36" i="39"/>
  <c r="H36" i="39"/>
  <c r="J35" i="39"/>
  <c r="AC35" i="39"/>
  <c r="F35" i="39"/>
  <c r="AA35" i="39" s="1"/>
  <c r="J36" i="39"/>
  <c r="AC36" i="39"/>
  <c r="U9" i="39"/>
  <c r="W40" i="39"/>
  <c r="W25" i="37"/>
  <c r="U30" i="37"/>
  <c r="W31" i="37"/>
  <c r="E103" i="37"/>
  <c r="F103" i="37"/>
  <c r="G103" i="37"/>
  <c r="H103" i="37"/>
  <c r="I103" i="37" s="1"/>
  <c r="J103" i="37" s="1"/>
  <c r="K103" i="37" s="1"/>
  <c r="L103" i="37"/>
  <c r="M103" i="37" s="1"/>
  <c r="F39" i="37"/>
  <c r="S39" i="37"/>
  <c r="F29" i="36"/>
  <c r="AA29" i="36"/>
  <c r="W8" i="36"/>
  <c r="F16" i="36"/>
  <c r="AA16" i="36" s="1"/>
  <c r="U9" i="36"/>
  <c r="S30" i="36"/>
  <c r="AA31" i="36"/>
  <c r="AC31" i="36"/>
  <c r="W31" i="36"/>
  <c r="U31" i="36"/>
  <c r="J33" i="36"/>
  <c r="W33" i="36"/>
  <c r="H22" i="35"/>
  <c r="AB22" i="35"/>
  <c r="AC27" i="35"/>
  <c r="W28" i="35"/>
  <c r="U31" i="35"/>
  <c r="W22" i="35"/>
  <c r="S31" i="35"/>
  <c r="F36" i="34"/>
  <c r="J35" i="34"/>
  <c r="AC35" i="34" s="1"/>
  <c r="U34" i="34"/>
  <c r="H39" i="33"/>
  <c r="AB39" i="33"/>
  <c r="F26" i="33"/>
  <c r="AA26" i="33"/>
  <c r="U33" i="33"/>
  <c r="U35" i="33"/>
  <c r="S40" i="33"/>
  <c r="W33" i="33"/>
  <c r="W39" i="33"/>
  <c r="H39" i="37"/>
  <c r="AB39" i="37"/>
  <c r="F11" i="40"/>
  <c r="AA11" i="40" s="1"/>
  <c r="H11" i="40"/>
  <c r="AB11" i="40"/>
  <c r="W8" i="40"/>
  <c r="AA9" i="40"/>
  <c r="U9" i="40"/>
  <c r="S34" i="40"/>
  <c r="U38" i="40"/>
  <c r="S40"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c r="E100" i="39"/>
  <c r="H19" i="39"/>
  <c r="AB19" i="39" s="1"/>
  <c r="F19" i="39"/>
  <c r="AA19" i="39" s="1"/>
  <c r="H17" i="39"/>
  <c r="F17" i="39"/>
  <c r="AA17" i="39" s="1"/>
  <c r="J23" i="40"/>
  <c r="AC23" i="40"/>
  <c r="F21" i="40"/>
  <c r="J21" i="40"/>
  <c r="W21" i="40"/>
  <c r="H42" i="39"/>
  <c r="AB42" i="39" s="1"/>
  <c r="J34" i="39"/>
  <c r="AC34" i="39" s="1"/>
  <c r="J31" i="39"/>
  <c r="F100" i="39"/>
  <c r="H27" i="39"/>
  <c r="U27" i="39" s="1"/>
  <c r="J19" i="39"/>
  <c r="AC19" i="39" s="1"/>
  <c r="J17" i="39"/>
  <c r="J27" i="39"/>
  <c r="F27" i="39"/>
  <c r="F11" i="21"/>
  <c r="S11" i="21" s="1"/>
  <c r="U34" i="21"/>
  <c r="C25" i="39"/>
  <c r="H11" i="39"/>
  <c r="S40" i="39"/>
  <c r="C15" i="39"/>
  <c r="H32" i="33"/>
  <c r="AB32" i="33"/>
  <c r="H11" i="21"/>
  <c r="J11" i="21"/>
  <c r="W11" i="21"/>
  <c r="H37" i="40"/>
  <c r="U37" i="40" s="1"/>
  <c r="H36" i="40"/>
  <c r="AB36" i="40"/>
  <c r="F35" i="40"/>
  <c r="AA35" i="40" s="1"/>
  <c r="H23" i="40"/>
  <c r="AB23" i="40"/>
  <c r="H17" i="40"/>
  <c r="U17" i="40" s="1"/>
  <c r="J15" i="40"/>
  <c r="W15" i="40"/>
  <c r="J11" i="40"/>
  <c r="AB8" i="39"/>
  <c r="AB12" i="33"/>
  <c r="AA12" i="34"/>
  <c r="W32" i="40"/>
  <c r="S44" i="39"/>
  <c r="F37" i="39"/>
  <c r="AA37" i="39"/>
  <c r="J34" i="36"/>
  <c r="J30" i="35"/>
  <c r="W30" i="35"/>
  <c r="H30" i="35"/>
  <c r="AB30" i="35"/>
  <c r="F22" i="35"/>
  <c r="AA22" i="35"/>
  <c r="H10" i="35"/>
  <c r="U10" i="35"/>
  <c r="AC16" i="36"/>
  <c r="F33" i="36"/>
  <c r="AA33" i="36" s="1"/>
  <c r="W30" i="36"/>
  <c r="H16" i="36"/>
  <c r="AB16" i="36" s="1"/>
  <c r="E85" i="36"/>
  <c r="F85" i="36"/>
  <c r="G85" i="36"/>
  <c r="H85" i="36" s="1"/>
  <c r="I85" i="36" s="1"/>
  <c r="J85" i="36" s="1"/>
  <c r="K85" i="36" s="1"/>
  <c r="L85" i="36" s="1"/>
  <c r="M85" i="36" s="1"/>
  <c r="J29" i="36"/>
  <c r="AC29" i="36"/>
  <c r="F12" i="36"/>
  <c r="F24" i="36"/>
  <c r="AA24" i="36"/>
  <c r="F34" i="36"/>
  <c r="S34" i="36"/>
  <c r="S10" i="36"/>
  <c r="AB8" i="36"/>
  <c r="S8" i="36"/>
  <c r="U8" i="35"/>
  <c r="F14" i="35"/>
  <c r="AA14" i="35"/>
  <c r="J32" i="35"/>
  <c r="AC32" i="35"/>
  <c r="J16" i="35"/>
  <c r="AC16" i="35"/>
  <c r="H16" i="35"/>
  <c r="U16" i="35"/>
  <c r="F16" i="35"/>
  <c r="S16" i="35"/>
  <c r="H14" i="35"/>
  <c r="AB14" i="35"/>
  <c r="J29" i="35"/>
  <c r="H33" i="35"/>
  <c r="AB33" i="35" s="1"/>
  <c r="AC8" i="35"/>
  <c r="J20" i="35"/>
  <c r="W20" i="35" s="1"/>
  <c r="F35" i="37"/>
  <c r="S35" i="37"/>
  <c r="E101" i="37"/>
  <c r="F101" i="37" s="1"/>
  <c r="G101" i="37" s="1"/>
  <c r="H101" i="37" s="1"/>
  <c r="I101" i="37" s="1"/>
  <c r="J101" i="37" s="1"/>
  <c r="K101" i="37" s="1"/>
  <c r="L101" i="37" s="1"/>
  <c r="M101" i="37"/>
  <c r="J34" i="37"/>
  <c r="W34" i="37" s="1"/>
  <c r="S10" i="37"/>
  <c r="AA39" i="37"/>
  <c r="AB34" i="37"/>
  <c r="J33" i="37"/>
  <c r="AC33" i="37"/>
  <c r="U42" i="34"/>
  <c r="H40" i="34"/>
  <c r="E114" i="34"/>
  <c r="H36" i="34"/>
  <c r="U36" i="34" s="1"/>
  <c r="F37" i="34"/>
  <c r="AA37" i="34"/>
  <c r="S35" i="34"/>
  <c r="F28" i="34"/>
  <c r="AA28" i="34" s="1"/>
  <c r="F27" i="34"/>
  <c r="AA27" i="34"/>
  <c r="F25" i="34"/>
  <c r="S25" i="34" s="1"/>
  <c r="H23" i="34"/>
  <c r="AB23" i="34" s="1"/>
  <c r="U23" i="34"/>
  <c r="J23" i="34"/>
  <c r="F19" i="34"/>
  <c r="H17" i="34"/>
  <c r="U17" i="34"/>
  <c r="F15" i="34"/>
  <c r="S15" i="34" s="1"/>
  <c r="J15" i="34"/>
  <c r="H15" i="34"/>
  <c r="AB15" i="34"/>
  <c r="J28" i="34"/>
  <c r="W28" i="34"/>
  <c r="F41" i="33"/>
  <c r="S38" i="33"/>
  <c r="E113" i="33"/>
  <c r="F113" i="33" s="1"/>
  <c r="G113" i="33" s="1"/>
  <c r="H113" i="33" s="1"/>
  <c r="I113" i="33" s="1"/>
  <c r="J113" i="33" s="1"/>
  <c r="K113" i="33" s="1"/>
  <c r="L113" i="33" s="1"/>
  <c r="M113" i="33" s="1"/>
  <c r="F32" i="33"/>
  <c r="AA32" i="33" s="1"/>
  <c r="J19" i="33"/>
  <c r="AC19" i="33"/>
  <c r="J15" i="33"/>
  <c r="F11" i="33"/>
  <c r="AA11" i="33"/>
  <c r="S26" i="33"/>
  <c r="U40" i="33"/>
  <c r="U8" i="33"/>
  <c r="S8" i="33"/>
  <c r="F37" i="40"/>
  <c r="AA37" i="40"/>
  <c r="F36" i="40"/>
  <c r="AA36" i="40"/>
  <c r="H28" i="40"/>
  <c r="U28" i="40"/>
  <c r="F23" i="40"/>
  <c r="AA23" i="40"/>
  <c r="F17" i="40"/>
  <c r="AA17" i="40"/>
  <c r="J17" i="40"/>
  <c r="W17" i="40"/>
  <c r="F15" i="40"/>
  <c r="S15" i="40"/>
  <c r="H15" i="40"/>
  <c r="AB15" i="40"/>
  <c r="AB30" i="36"/>
  <c r="U30" i="35"/>
  <c r="U33" i="35"/>
  <c r="F29" i="35"/>
  <c r="S29" i="35" s="1"/>
  <c r="H29" i="35"/>
  <c r="AB29" i="35"/>
  <c r="H33" i="37"/>
  <c r="F33" i="37"/>
  <c r="AA33" i="37"/>
  <c r="U34" i="37"/>
  <c r="W33" i="37"/>
  <c r="S34" i="37"/>
  <c r="AA34" i="37"/>
  <c r="J43" i="34"/>
  <c r="J40" i="34"/>
  <c r="F114" i="34"/>
  <c r="G114" i="34"/>
  <c r="H114" i="34" s="1"/>
  <c r="I114" i="34" s="1"/>
  <c r="J114" i="34" s="1"/>
  <c r="K114" i="34"/>
  <c r="L114" i="34" s="1"/>
  <c r="M114" i="34" s="1"/>
  <c r="H38" i="34"/>
  <c r="AB38" i="34"/>
  <c r="J36" i="34"/>
  <c r="W36" i="34"/>
  <c r="H37" i="34"/>
  <c r="U37" i="34"/>
  <c r="H25" i="34"/>
  <c r="AB25" i="34"/>
  <c r="J25" i="34"/>
  <c r="AC25" i="34"/>
  <c r="F23" i="34"/>
  <c r="AA23" i="34"/>
  <c r="J19" i="34"/>
  <c r="AC19" i="34" s="1"/>
  <c r="F17" i="34"/>
  <c r="AA17" i="34"/>
  <c r="J17" i="34"/>
  <c r="AB17" i="34"/>
  <c r="AA15" i="34"/>
  <c r="H37" i="33"/>
  <c r="H15" i="33"/>
  <c r="AB15" i="33" s="1"/>
  <c r="H11" i="33"/>
  <c r="U11" i="33" s="1"/>
  <c r="AB11" i="33"/>
  <c r="F28" i="40"/>
  <c r="AA28" i="40" s="1"/>
  <c r="AA29" i="35"/>
  <c r="AA42" i="34"/>
  <c r="S42" i="34"/>
  <c r="AA38" i="34"/>
  <c r="J37" i="34"/>
  <c r="AC37" i="34" s="1"/>
  <c r="J11" i="33"/>
  <c r="W11" i="33"/>
  <c r="S28" i="34"/>
  <c r="U23" i="40"/>
  <c r="H123" i="21"/>
  <c r="I123" i="21" s="1"/>
  <c r="J123" i="21" s="1"/>
  <c r="K123" i="21" s="1"/>
  <c r="L123" i="21" s="1"/>
  <c r="M123" i="21" s="1"/>
  <c r="J42" i="21"/>
  <c r="AC42" i="21" s="1"/>
  <c r="H42" i="21"/>
  <c r="J44" i="34"/>
  <c r="W44" i="34" s="1"/>
  <c r="F44" i="34"/>
  <c r="AA44" i="34"/>
  <c r="J10" i="35"/>
  <c r="W10" i="35"/>
  <c r="J14" i="21"/>
  <c r="W14" i="21"/>
  <c r="F14" i="21"/>
  <c r="S14" i="21" s="1"/>
  <c r="H14" i="21"/>
  <c r="U14" i="21" s="1"/>
  <c r="H28" i="21"/>
  <c r="F28" i="21"/>
  <c r="AA28" i="21"/>
  <c r="J28" i="21"/>
  <c r="W28" i="21" s="1"/>
  <c r="H30" i="21"/>
  <c r="F30" i="21"/>
  <c r="S30" i="21" s="1"/>
  <c r="J30" i="21"/>
  <c r="AC30" i="21"/>
  <c r="J44" i="21"/>
  <c r="AC44" i="21" s="1"/>
  <c r="H44" i="21"/>
  <c r="F44" i="21"/>
  <c r="AA44" i="21" s="1"/>
  <c r="H46" i="21"/>
  <c r="U46" i="21"/>
  <c r="J46" i="21"/>
  <c r="W46" i="21" s="1"/>
  <c r="F46" i="21"/>
  <c r="E119" i="21"/>
  <c r="F119" i="21" s="1"/>
  <c r="G119" i="21" s="1"/>
  <c r="H119" i="21"/>
  <c r="I119" i="21" s="1"/>
  <c r="J119" i="21" s="1"/>
  <c r="K119" i="21" s="1"/>
  <c r="L119" i="21" s="1"/>
  <c r="M119" i="21"/>
  <c r="H26" i="33"/>
  <c r="U26" i="33"/>
  <c r="H28" i="33"/>
  <c r="U28" i="33"/>
  <c r="AA28" i="33"/>
  <c r="J28" i="33"/>
  <c r="F33" i="35"/>
  <c r="S33" i="35"/>
  <c r="J33" i="35"/>
  <c r="AC33" i="35" s="1"/>
  <c r="F30" i="35"/>
  <c r="S30" i="35"/>
  <c r="E89" i="35"/>
  <c r="F89" i="35" s="1"/>
  <c r="G89" i="35" s="1"/>
  <c r="H89" i="35" s="1"/>
  <c r="I89" i="35" s="1"/>
  <c r="J89" i="35" s="1"/>
  <c r="K89" i="35" s="1"/>
  <c r="L89" i="35" s="1"/>
  <c r="M89" i="35" s="1"/>
  <c r="H10" i="36"/>
  <c r="AB10" i="36" s="1"/>
  <c r="J14" i="36"/>
  <c r="H14" i="36"/>
  <c r="F28" i="36"/>
  <c r="AA28" i="36"/>
  <c r="J13" i="21"/>
  <c r="AC13" i="21" s="1"/>
  <c r="H27" i="21"/>
  <c r="F27" i="21"/>
  <c r="AA27" i="21" s="1"/>
  <c r="H29" i="21"/>
  <c r="U29" i="21"/>
  <c r="F31" i="21"/>
  <c r="F45" i="21"/>
  <c r="AA45" i="21" s="1"/>
  <c r="J13" i="33"/>
  <c r="H13" i="33"/>
  <c r="AB13" i="33"/>
  <c r="F13" i="33"/>
  <c r="J31" i="33"/>
  <c r="W31" i="33" s="1"/>
  <c r="H31" i="33"/>
  <c r="F31" i="33"/>
  <c r="H30" i="34"/>
  <c r="F30" i="34"/>
  <c r="S30" i="34"/>
  <c r="J30" i="34"/>
  <c r="W30" i="34"/>
  <c r="H46" i="34"/>
  <c r="F46" i="34"/>
  <c r="J46" i="34"/>
  <c r="H11" i="35"/>
  <c r="J11" i="35"/>
  <c r="AC11" i="35"/>
  <c r="F11" i="35"/>
  <c r="J26" i="36"/>
  <c r="W26" i="36"/>
  <c r="H28" i="36"/>
  <c r="H32" i="36"/>
  <c r="AB32" i="36"/>
  <c r="J32" i="36"/>
  <c r="J11" i="36"/>
  <c r="AC11" i="36"/>
  <c r="H11" i="36"/>
  <c r="F11" i="36"/>
  <c r="AA11" i="36"/>
  <c r="H13" i="36"/>
  <c r="J13" i="36"/>
  <c r="F13" i="36"/>
  <c r="S13" i="36"/>
  <c r="E89" i="37"/>
  <c r="F89" i="37" s="1"/>
  <c r="G89" i="37"/>
  <c r="H89" i="37" s="1"/>
  <c r="I89" i="37"/>
  <c r="J89" i="37" s="1"/>
  <c r="K89" i="37" s="1"/>
  <c r="L89" i="37" s="1"/>
  <c r="M89" i="37" s="1"/>
  <c r="J29" i="37"/>
  <c r="W29" i="37"/>
  <c r="F29" i="37"/>
  <c r="S29" i="37" s="1"/>
  <c r="F105" i="37"/>
  <c r="H36" i="37"/>
  <c r="AB36" i="37"/>
  <c r="F107" i="37"/>
  <c r="J37" i="37"/>
  <c r="AC37" i="37"/>
  <c r="H37" i="37"/>
  <c r="H40" i="37"/>
  <c r="U40" i="37"/>
  <c r="J40" i="37"/>
  <c r="F40" i="37"/>
  <c r="AA40" i="37"/>
  <c r="AC12" i="40"/>
  <c r="W12" i="40"/>
  <c r="H14" i="33"/>
  <c r="U14" i="33"/>
  <c r="F14" i="33"/>
  <c r="J14" i="33"/>
  <c r="H30" i="33"/>
  <c r="AB30" i="33"/>
  <c r="F30" i="33"/>
  <c r="J30" i="33"/>
  <c r="H44" i="33"/>
  <c r="J44" i="33"/>
  <c r="AC44" i="33" s="1"/>
  <c r="F44" i="33"/>
  <c r="S44" i="33"/>
  <c r="J46" i="33"/>
  <c r="AC46" i="33" s="1"/>
  <c r="F46" i="33"/>
  <c r="AA46" i="33"/>
  <c r="H46" i="33"/>
  <c r="AB46" i="33" s="1"/>
  <c r="H13" i="34"/>
  <c r="U13" i="34"/>
  <c r="J13" i="34"/>
  <c r="W13" i="34" s="1"/>
  <c r="F13" i="34"/>
  <c r="AA13" i="34"/>
  <c r="J29" i="34"/>
  <c r="AC29" i="34" s="1"/>
  <c r="F29" i="34"/>
  <c r="S29" i="34" s="1"/>
  <c r="H29" i="34"/>
  <c r="AB29" i="34" s="1"/>
  <c r="J31" i="34"/>
  <c r="AC31" i="34" s="1"/>
  <c r="H31" i="34"/>
  <c r="AB31" i="34"/>
  <c r="F31" i="34"/>
  <c r="S31" i="34" s="1"/>
  <c r="H45" i="34"/>
  <c r="U45" i="34" s="1"/>
  <c r="J45" i="34"/>
  <c r="W45" i="34" s="1"/>
  <c r="F45" i="34"/>
  <c r="S45" i="34"/>
  <c r="H47" i="34"/>
  <c r="U47" i="34" s="1"/>
  <c r="F47" i="34"/>
  <c r="J47" i="34"/>
  <c r="AC47" i="34" s="1"/>
  <c r="F13" i="35"/>
  <c r="AA13" i="35" s="1"/>
  <c r="S13" i="35"/>
  <c r="J13" i="35"/>
  <c r="AC13" i="35" s="1"/>
  <c r="H13" i="35"/>
  <c r="J25" i="35"/>
  <c r="J35" i="35"/>
  <c r="F35" i="35"/>
  <c r="AA35" i="35" s="1"/>
  <c r="H35" i="35"/>
  <c r="AB35" i="35"/>
  <c r="J25" i="36"/>
  <c r="W25" i="36" s="1"/>
  <c r="F25" i="36"/>
  <c r="H25" i="36"/>
  <c r="H13" i="37"/>
  <c r="AB13" i="37"/>
  <c r="F13" i="37"/>
  <c r="S13" i="37" s="1"/>
  <c r="J13" i="37"/>
  <c r="F28" i="37"/>
  <c r="AA28" i="37" s="1"/>
  <c r="H38" i="37"/>
  <c r="AB38" i="37" s="1"/>
  <c r="J38" i="37"/>
  <c r="AC38" i="37" s="1"/>
  <c r="F38" i="37"/>
  <c r="S38" i="37"/>
  <c r="F43" i="39"/>
  <c r="AA43" i="39" s="1"/>
  <c r="H43" i="39"/>
  <c r="AB43" i="39" s="1"/>
  <c r="J14" i="39"/>
  <c r="AC14" i="39" s="1"/>
  <c r="F14" i="39"/>
  <c r="H14" i="39"/>
  <c r="AB14" i="39"/>
  <c r="F12" i="40"/>
  <c r="S12" i="40"/>
  <c r="H12" i="40"/>
  <c r="AB12" i="40"/>
  <c r="H30" i="40"/>
  <c r="AB30" i="40"/>
  <c r="F33" i="40"/>
  <c r="AA33" i="40"/>
  <c r="H33" i="40"/>
  <c r="U33" i="40"/>
  <c r="J35" i="40"/>
  <c r="AC35" i="40"/>
  <c r="J37" i="40"/>
  <c r="AC37" i="40"/>
  <c r="H13" i="40"/>
  <c r="U13" i="40"/>
  <c r="J13" i="40"/>
  <c r="AC13" i="40" s="1"/>
  <c r="W13" i="40"/>
  <c r="F13" i="40"/>
  <c r="AA13" i="40"/>
  <c r="F14" i="37"/>
  <c r="AA14" i="37" s="1"/>
  <c r="S14" i="37"/>
  <c r="F27" i="37"/>
  <c r="AA27" i="37"/>
  <c r="F13" i="39"/>
  <c r="J13" i="39"/>
  <c r="H13" i="39"/>
  <c r="H14" i="40"/>
  <c r="J14" i="40"/>
  <c r="W14" i="40" s="1"/>
  <c r="F14" i="40"/>
  <c r="AA14" i="40"/>
  <c r="J14" i="37"/>
  <c r="AC14" i="37" s="1"/>
  <c r="J27" i="37"/>
  <c r="AC27" i="37" s="1"/>
  <c r="AA44" i="33"/>
  <c r="U31" i="34"/>
  <c r="U46" i="33"/>
  <c r="J36" i="37"/>
  <c r="AC36" i="37"/>
  <c r="G105" i="37"/>
  <c r="J10" i="36"/>
  <c r="AB26" i="33"/>
  <c r="W31" i="34"/>
  <c r="AC13" i="36"/>
  <c r="W13" i="36"/>
  <c r="S11" i="36"/>
  <c r="W11" i="36"/>
  <c r="W11" i="35"/>
  <c r="AC30" i="34"/>
  <c r="AB31" i="33"/>
  <c r="U31" i="33"/>
  <c r="U13" i="33"/>
  <c r="AC28" i="21"/>
  <c r="S44" i="34"/>
  <c r="F17" i="21"/>
  <c r="H17" i="21"/>
  <c r="AB17" i="21" s="1"/>
  <c r="F15" i="21"/>
  <c r="S15" i="21"/>
  <c r="J41" i="39"/>
  <c r="W41" i="39" s="1"/>
  <c r="AC45" i="39"/>
  <c r="W44" i="39"/>
  <c r="W36" i="39"/>
  <c r="W35" i="39"/>
  <c r="S35" i="39"/>
  <c r="G544" i="3"/>
  <c r="G540" i="3"/>
  <c r="G536" i="3"/>
  <c r="G535" i="3"/>
  <c r="G532" i="3"/>
  <c r="G531" i="3"/>
  <c r="G528" i="3"/>
  <c r="G527" i="3"/>
  <c r="G523" i="3"/>
  <c r="G518" i="3"/>
  <c r="G510" i="3"/>
  <c r="G504" i="3"/>
  <c r="G496" i="3"/>
  <c r="G584" i="3"/>
  <c r="G580" i="3"/>
  <c r="G576" i="3"/>
  <c r="G572" i="3"/>
  <c r="G560" i="3"/>
  <c r="G550" i="3"/>
  <c r="BL580" i="3"/>
  <c r="BL576" i="3"/>
  <c r="BL564" i="3"/>
  <c r="BL560" i="3"/>
  <c r="BL554" i="3"/>
  <c r="BL546" i="3"/>
  <c r="BL542" i="3"/>
  <c r="BL538" i="3"/>
  <c r="BL534" i="3"/>
  <c r="BL530" i="3"/>
  <c r="BL526" i="3"/>
  <c r="AZ526" i="3" s="1"/>
  <c r="BL516" i="3"/>
  <c r="BL502" i="3"/>
  <c r="BL582" i="3"/>
  <c r="BL578" i="3"/>
  <c r="BL574" i="3"/>
  <c r="BL562" i="3"/>
  <c r="BL556" i="3"/>
  <c r="BL544" i="3"/>
  <c r="BL540" i="3"/>
  <c r="BL536" i="3"/>
  <c r="G533" i="3"/>
  <c r="BL532" i="3"/>
  <c r="G529" i="3"/>
  <c r="BL528" i="3"/>
  <c r="G525" i="3"/>
  <c r="BL524" i="3"/>
  <c r="BL514" i="3"/>
  <c r="BL500" i="3"/>
  <c r="BA584" i="3"/>
  <c r="BA582" i="3"/>
  <c r="AZ582" i="3"/>
  <c r="BA580" i="3"/>
  <c r="AZ580" i="3"/>
  <c r="BA578" i="3"/>
  <c r="AZ578" i="3"/>
  <c r="BA574" i="3"/>
  <c r="AZ574" i="3" s="1"/>
  <c r="BA566" i="3"/>
  <c r="BA558" i="3"/>
  <c r="AZ558" i="3"/>
  <c r="BA556" i="3"/>
  <c r="AZ556" i="3" s="1"/>
  <c r="BA554" i="3"/>
  <c r="BA552" i="3"/>
  <c r="BA548" i="3"/>
  <c r="BA546" i="3"/>
  <c r="AZ546" i="3" s="1"/>
  <c r="BA544" i="3"/>
  <c r="BA542" i="3"/>
  <c r="AZ542" i="3" s="1"/>
  <c r="BA540" i="3"/>
  <c r="AZ540" i="3" s="1"/>
  <c r="BA538" i="3"/>
  <c r="AZ538" i="3"/>
  <c r="BA536" i="3"/>
  <c r="BA534" i="3"/>
  <c r="BA532" i="3"/>
  <c r="AZ532" i="3" s="1"/>
  <c r="BA530" i="3"/>
  <c r="BA528" i="3"/>
  <c r="AZ528" i="3" s="1"/>
  <c r="BA526" i="3"/>
  <c r="BA524" i="3"/>
  <c r="AZ524" i="3" s="1"/>
  <c r="BA520" i="3"/>
  <c r="BA514" i="3"/>
  <c r="BA510" i="3"/>
  <c r="BA508" i="3"/>
  <c r="BA498" i="3"/>
  <c r="BA496" i="3"/>
  <c r="BA583" i="3"/>
  <c r="BA581" i="3"/>
  <c r="BA579" i="3"/>
  <c r="AZ579" i="3" s="1"/>
  <c r="BA573" i="3"/>
  <c r="BA569" i="3"/>
  <c r="AZ569" i="3" s="1"/>
  <c r="BA563" i="3"/>
  <c r="BA561" i="3"/>
  <c r="BA555" i="3"/>
  <c r="BA549" i="3"/>
  <c r="AZ549" i="3" s="1"/>
  <c r="BA547" i="3"/>
  <c r="BA545" i="3"/>
  <c r="AZ545" i="3" s="1"/>
  <c r="BA543" i="3"/>
  <c r="BA541" i="3"/>
  <c r="BA539" i="3"/>
  <c r="BA537" i="3"/>
  <c r="BA535" i="3"/>
  <c r="BA533" i="3"/>
  <c r="AZ533" i="3" s="1"/>
  <c r="BA531" i="3"/>
  <c r="BA529" i="3"/>
  <c r="AZ529" i="3" s="1"/>
  <c r="BA527" i="3"/>
  <c r="BA525" i="3"/>
  <c r="AZ525" i="3" s="1"/>
  <c r="BA517" i="3"/>
  <c r="BA511" i="3"/>
  <c r="AZ511" i="3" s="1"/>
  <c r="BA505" i="3"/>
  <c r="BA499" i="3"/>
  <c r="BA493" i="3"/>
  <c r="G583" i="3"/>
  <c r="G581" i="3"/>
  <c r="G579" i="3"/>
  <c r="G577" i="3"/>
  <c r="G575" i="3"/>
  <c r="G573" i="3"/>
  <c r="G571" i="3"/>
  <c r="G567" i="3"/>
  <c r="G563" i="3"/>
  <c r="G561" i="3"/>
  <c r="BL558" i="3"/>
  <c r="AC557" i="3"/>
  <c r="G557" i="3"/>
  <c r="BQ557" i="3"/>
  <c r="BL557" i="3"/>
  <c r="BQ583" i="3"/>
  <c r="BL583" i="3"/>
  <c r="BQ581" i="3"/>
  <c r="BL581" i="3"/>
  <c r="AZ581" i="3" s="1"/>
  <c r="BQ579" i="3"/>
  <c r="BL579" i="3" s="1"/>
  <c r="BQ577" i="3"/>
  <c r="BL577" i="3"/>
  <c r="BQ575" i="3"/>
  <c r="BL575" i="3"/>
  <c r="BQ573" i="3"/>
  <c r="BQ571" i="3"/>
  <c r="BQ569" i="3"/>
  <c r="BL569" i="3"/>
  <c r="BQ567" i="3"/>
  <c r="BL567" i="3"/>
  <c r="BQ565" i="3"/>
  <c r="BQ563" i="3"/>
  <c r="BQ561" i="3"/>
  <c r="BL561" i="3" s="1"/>
  <c r="AZ561" i="3"/>
  <c r="BQ559" i="3"/>
  <c r="BL559" i="3"/>
  <c r="G559" i="3"/>
  <c r="G553" i="3"/>
  <c r="G549" i="3"/>
  <c r="G547" i="3"/>
  <c r="G545" i="3"/>
  <c r="G543" i="3"/>
  <c r="G541" i="3"/>
  <c r="G539" i="3"/>
  <c r="G537" i="3"/>
  <c r="BQ555" i="3"/>
  <c r="BL555" i="3"/>
  <c r="BQ553" i="3"/>
  <c r="BQ551" i="3"/>
  <c r="BL551" i="3" s="1"/>
  <c r="BQ549" i="3"/>
  <c r="BL549" i="3" s="1"/>
  <c r="BQ547" i="3"/>
  <c r="BL547" i="3"/>
  <c r="AZ547" i="3" s="1"/>
  <c r="BQ545" i="3"/>
  <c r="BL545" i="3"/>
  <c r="BQ543" i="3"/>
  <c r="BL543" i="3"/>
  <c r="AZ543" i="3"/>
  <c r="BQ541" i="3"/>
  <c r="BL541" i="3" s="1"/>
  <c r="AZ541" i="3"/>
  <c r="BQ539" i="3"/>
  <c r="BL539" i="3"/>
  <c r="AZ539" i="3" s="1"/>
  <c r="BQ537" i="3"/>
  <c r="BL537" i="3"/>
  <c r="BQ535" i="3"/>
  <c r="BL535" i="3"/>
  <c r="AZ535" i="3"/>
  <c r="BQ533" i="3"/>
  <c r="BL533" i="3" s="1"/>
  <c r="BQ531" i="3"/>
  <c r="BL531" i="3"/>
  <c r="AZ531" i="3" s="1"/>
  <c r="BQ529" i="3"/>
  <c r="BL529" i="3"/>
  <c r="BQ527" i="3"/>
  <c r="BL527" i="3"/>
  <c r="AZ527" i="3"/>
  <c r="BQ525" i="3"/>
  <c r="BQ523" i="3"/>
  <c r="BL523" i="3"/>
  <c r="AC521" i="3"/>
  <c r="BQ521" i="3"/>
  <c r="BL520" i="3"/>
  <c r="G519" i="3"/>
  <c r="G517" i="3"/>
  <c r="G511" i="3"/>
  <c r="BQ519" i="3"/>
  <c r="BL519" i="3"/>
  <c r="BQ517" i="3"/>
  <c r="BL517" i="3"/>
  <c r="BQ515" i="3"/>
  <c r="BQ513" i="3"/>
  <c r="BQ511" i="3"/>
  <c r="BL511" i="3"/>
  <c r="AC509" i="3"/>
  <c r="BQ509" i="3"/>
  <c r="BL508" i="3"/>
  <c r="G507" i="3"/>
  <c r="G505" i="3"/>
  <c r="G503" i="3"/>
  <c r="G499" i="3"/>
  <c r="G497" i="3"/>
  <c r="G495" i="3"/>
  <c r="BQ507" i="3"/>
  <c r="BL507" i="3"/>
  <c r="BQ505" i="3"/>
  <c r="BL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H43" i="33"/>
  <c r="AB43" i="33"/>
  <c r="H17" i="37"/>
  <c r="U17" i="37"/>
  <c r="AB27" i="37"/>
  <c r="U32" i="33"/>
  <c r="AA36" i="39"/>
  <c r="F39" i="33"/>
  <c r="AA39" i="33" s="1"/>
  <c r="E123" i="33"/>
  <c r="F123" i="33" s="1"/>
  <c r="G123" i="33" s="1"/>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H123" i="33"/>
  <c r="I123" i="33" s="1"/>
  <c r="J123" i="33" s="1"/>
  <c r="K123" i="33" s="1"/>
  <c r="L123" i="33" s="1"/>
  <c r="M123" i="33" s="1"/>
  <c r="H42" i="33"/>
  <c r="G125" i="33"/>
  <c r="J43" i="33"/>
  <c r="AC43" i="33"/>
  <c r="U43" i="33"/>
  <c r="S28" i="31"/>
  <c r="S27" i="31"/>
  <c r="S26" i="31"/>
  <c r="AC33" i="36"/>
  <c r="U35" i="35"/>
  <c r="U39" i="37"/>
  <c r="AC8" i="37"/>
  <c r="W47" i="34"/>
  <c r="AB13" i="34"/>
  <c r="W37" i="34"/>
  <c r="AB37" i="34"/>
  <c r="AC36" i="34"/>
  <c r="AC31" i="33"/>
  <c r="W44" i="33"/>
  <c r="U19" i="21"/>
  <c r="W44" i="21"/>
  <c r="U26" i="21"/>
  <c r="AC46" i="21"/>
  <c r="U12" i="21"/>
  <c r="AB38" i="21"/>
  <c r="F43" i="33"/>
  <c r="AA43" i="33" s="1"/>
  <c r="W15" i="34"/>
  <c r="AC15" i="34"/>
  <c r="W16" i="35"/>
  <c r="G107" i="37"/>
  <c r="H107" i="37" s="1"/>
  <c r="I107" i="37"/>
  <c r="J107" i="37" s="1"/>
  <c r="K107" i="37" s="1"/>
  <c r="L107" i="37" s="1"/>
  <c r="M107" i="37"/>
  <c r="H37" i="21"/>
  <c r="U37" i="21"/>
  <c r="H19" i="34"/>
  <c r="F36" i="35"/>
  <c r="S36" i="35" s="1"/>
  <c r="J9" i="37"/>
  <c r="W9" i="37" s="1"/>
  <c r="H9" i="37"/>
  <c r="F9" i="37"/>
  <c r="S9" i="37" s="1"/>
  <c r="J12" i="37"/>
  <c r="H12" i="37"/>
  <c r="F12" i="37"/>
  <c r="E71" i="37"/>
  <c r="F71" i="37" s="1"/>
  <c r="F15" i="37"/>
  <c r="AA15" i="37"/>
  <c r="E94" i="37"/>
  <c r="F31" i="37"/>
  <c r="S31" i="37" s="1"/>
  <c r="F12" i="39"/>
  <c r="S12" i="39" s="1"/>
  <c r="J42" i="39"/>
  <c r="AC42" i="39" s="1"/>
  <c r="H21" i="40"/>
  <c r="F94" i="37"/>
  <c r="G94" i="37"/>
  <c r="H94" i="37" s="1"/>
  <c r="I94" i="37"/>
  <c r="J94" i="37" s="1"/>
  <c r="K94" i="37" s="1"/>
  <c r="L94" i="37" s="1"/>
  <c r="M94" i="37"/>
  <c r="H31" i="37"/>
  <c r="U31" i="37"/>
  <c r="G71" i="37"/>
  <c r="J15" i="37"/>
  <c r="W15" i="37"/>
  <c r="AT6" i="3"/>
  <c r="AA25" i="21"/>
  <c r="C12" i="43"/>
  <c r="H19" i="40"/>
  <c r="U19" i="40" s="1"/>
  <c r="F88" i="40"/>
  <c r="G88" i="40" s="1"/>
  <c r="F19" i="40"/>
  <c r="S19" i="40" s="1"/>
  <c r="S14" i="40"/>
  <c r="AB33" i="40"/>
  <c r="W23" i="39"/>
  <c r="AC43" i="39"/>
  <c r="W43" i="39"/>
  <c r="U45" i="39"/>
  <c r="AB45" i="39"/>
  <c r="AB44" i="39"/>
  <c r="U44" i="39"/>
  <c r="G100" i="39"/>
  <c r="H37" i="39"/>
  <c r="AB37" i="39"/>
  <c r="AC37" i="39"/>
  <c r="W37" i="39"/>
  <c r="H25" i="39"/>
  <c r="U25" i="39" s="1"/>
  <c r="AB25" i="39"/>
  <c r="J25" i="39"/>
  <c r="F25" i="39"/>
  <c r="AA25" i="39" s="1"/>
  <c r="F15" i="39"/>
  <c r="AA15" i="39" s="1"/>
  <c r="H15" i="39"/>
  <c r="U15" i="39" s="1"/>
  <c r="J15" i="39"/>
  <c r="W15" i="39" s="1"/>
  <c r="H41" i="39"/>
  <c r="AB34" i="39"/>
  <c r="U40" i="39"/>
  <c r="S42" i="39"/>
  <c r="AA41" i="39"/>
  <c r="W9" i="39"/>
  <c r="W8" i="39"/>
  <c r="J19" i="40"/>
  <c r="J50" i="40"/>
  <c r="H103" i="9"/>
  <c r="D8" i="53" s="1"/>
  <c r="B16" i="53"/>
  <c r="B33" i="72" s="1"/>
  <c r="C7" i="36"/>
  <c r="W35" i="40"/>
  <c r="A118" i="9"/>
  <c r="A4" i="52"/>
  <c r="B41" i="72" s="1"/>
  <c r="J11" i="39"/>
  <c r="F11" i="39"/>
  <c r="AA11" i="39" s="1"/>
  <c r="S11" i="39"/>
  <c r="G4" i="4"/>
  <c r="I4" i="4"/>
  <c r="K5" i="4" s="1"/>
  <c r="B47" i="48" s="1"/>
  <c r="A2" i="9"/>
  <c r="F59" i="43"/>
  <c r="AZ20"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AZ127" i="3"/>
  <c r="BL128" i="3"/>
  <c r="G129" i="3"/>
  <c r="BA131" i="3"/>
  <c r="AZ131" i="3"/>
  <c r="BL132" i="3"/>
  <c r="G133" i="3"/>
  <c r="BA135" i="3"/>
  <c r="AZ135" i="3" s="1"/>
  <c r="BL136" i="3"/>
  <c r="G137" i="3"/>
  <c r="BA139" i="3"/>
  <c r="AZ139" i="3" s="1"/>
  <c r="BL140" i="3"/>
  <c r="G141" i="3"/>
  <c r="BA143" i="3"/>
  <c r="BL144" i="3"/>
  <c r="AZ144" i="3" s="1"/>
  <c r="G145" i="3"/>
  <c r="BA147" i="3"/>
  <c r="AZ147" i="3"/>
  <c r="BL148" i="3"/>
  <c r="G149" i="3"/>
  <c r="BA151" i="3"/>
  <c r="AZ151" i="3" s="1"/>
  <c r="BL152" i="3"/>
  <c r="G153" i="3"/>
  <c r="BA155" i="3"/>
  <c r="BL156" i="3"/>
  <c r="AZ156" i="3" s="1"/>
  <c r="G157" i="3"/>
  <c r="BA159" i="3"/>
  <c r="AZ159" i="3"/>
  <c r="BL160" i="3"/>
  <c r="G161" i="3"/>
  <c r="BA163" i="3"/>
  <c r="BL164" i="3"/>
  <c r="AZ164" i="3"/>
  <c r="G165" i="3"/>
  <c r="BA167" i="3"/>
  <c r="BL168" i="3"/>
  <c r="G169" i="3"/>
  <c r="BA171" i="3"/>
  <c r="AZ171" i="3" s="1"/>
  <c r="BL172" i="3"/>
  <c r="AZ172" i="3" s="1"/>
  <c r="G173" i="3"/>
  <c r="BA175" i="3"/>
  <c r="AZ175" i="3"/>
  <c r="BL176" i="3"/>
  <c r="AZ176" i="3" s="1"/>
  <c r="G177" i="3"/>
  <c r="BA179" i="3"/>
  <c r="AZ179" i="3"/>
  <c r="BL180" i="3"/>
  <c r="AZ180" i="3"/>
  <c r="G181" i="3"/>
  <c r="BA183" i="3"/>
  <c r="BL184" i="3"/>
  <c r="G185" i="3"/>
  <c r="BA187" i="3"/>
  <c r="BL188" i="3"/>
  <c r="G189" i="3"/>
  <c r="BA191" i="3"/>
  <c r="AZ191" i="3"/>
  <c r="BL192" i="3"/>
  <c r="G193" i="3"/>
  <c r="BA195" i="3"/>
  <c r="AZ195" i="3"/>
  <c r="BL196" i="3"/>
  <c r="AZ196" i="3"/>
  <c r="G197" i="3"/>
  <c r="BA199" i="3"/>
  <c r="AZ199" i="3" s="1"/>
  <c r="BL200" i="3"/>
  <c r="G201" i="3"/>
  <c r="BA203" i="3"/>
  <c r="AZ203" i="3" s="1"/>
  <c r="BL204" i="3"/>
  <c r="AZ43" i="3"/>
  <c r="AZ63" i="3"/>
  <c r="AZ67" i="3"/>
  <c r="AZ71" i="3"/>
  <c r="AZ75" i="3"/>
  <c r="AZ83" i="3"/>
  <c r="AZ136" i="3"/>
  <c r="AZ152" i="3"/>
  <c r="AZ160" i="3"/>
  <c r="AZ184" i="3"/>
  <c r="AZ192" i="3"/>
  <c r="AZ200" i="3"/>
  <c r="AZ93" i="3"/>
  <c r="AZ97" i="3"/>
  <c r="AZ101" i="3"/>
  <c r="AZ128" i="3"/>
  <c r="G534" i="3"/>
  <c r="G530" i="3"/>
  <c r="G522" i="3"/>
  <c r="G516" i="3"/>
  <c r="G512"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c r="BL347" i="3"/>
  <c r="G350" i="3"/>
  <c r="BA351" i="3"/>
  <c r="AZ351" i="3"/>
  <c r="BL351" i="3"/>
  <c r="G352" i="3"/>
  <c r="G354" i="3"/>
  <c r="BA355" i="3"/>
  <c r="AZ355" i="3" s="1"/>
  <c r="BA356" i="3"/>
  <c r="AZ356" i="3" s="1"/>
  <c r="BL356" i="3"/>
  <c r="G357" i="3"/>
  <c r="G360" i="3"/>
  <c r="BL361" i="3"/>
  <c r="BA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AZ390" i="3" s="1"/>
  <c r="BL390" i="3"/>
  <c r="G391" i="3"/>
  <c r="G394" i="3"/>
  <c r="AZ138" i="3"/>
  <c r="AZ142" i="3"/>
  <c r="AZ150" i="3"/>
  <c r="AZ154" i="3"/>
  <c r="AZ170" i="3"/>
  <c r="AZ178" i="3"/>
  <c r="AZ182" i="3"/>
  <c r="AZ190" i="3"/>
  <c r="AZ202" i="3"/>
  <c r="BA16" i="3"/>
  <c r="BL303" i="3"/>
  <c r="G304" i="3"/>
  <c r="BA306" i="3"/>
  <c r="AZ306" i="3"/>
  <c r="BL307" i="3"/>
  <c r="G308" i="3"/>
  <c r="BA310" i="3"/>
  <c r="AZ310" i="3" s="1"/>
  <c r="BL311" i="3"/>
  <c r="AZ311" i="3" s="1"/>
  <c r="G312" i="3"/>
  <c r="BA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c r="BL335" i="3"/>
  <c r="G336" i="3"/>
  <c r="BA338" i="3"/>
  <c r="AZ338" i="3"/>
  <c r="BL339" i="3"/>
  <c r="G340" i="3"/>
  <c r="BL343" i="3"/>
  <c r="G344" i="3"/>
  <c r="G348" i="3"/>
  <c r="G355" i="3"/>
  <c r="AZ214" i="3"/>
  <c r="AZ303" i="3"/>
  <c r="AZ335" i="3"/>
  <c r="G342" i="3"/>
  <c r="BL345" i="3"/>
  <c r="AZ345" i="3" s="1"/>
  <c r="G346" i="3"/>
  <c r="BL349" i="3"/>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c r="AZ233" i="3"/>
  <c r="AZ245" i="3"/>
  <c r="AZ257" i="3"/>
  <c r="AZ269" i="3"/>
  <c r="BA379" i="3"/>
  <c r="AZ379" i="3" s="1"/>
  <c r="BL380" i="3"/>
  <c r="AZ380" i="3" s="1"/>
  <c r="G381" i="3"/>
  <c r="BA383" i="3"/>
  <c r="AZ383" i="3" s="1"/>
  <c r="BL384" i="3"/>
  <c r="G385" i="3"/>
  <c r="BA387" i="3"/>
  <c r="AZ387" i="3" s="1"/>
  <c r="BL388" i="3"/>
  <c r="G389" i="3"/>
  <c r="BA391" i="3"/>
  <c r="AZ391" i="3" s="1"/>
  <c r="BL392" i="3"/>
  <c r="AZ392" i="3" s="1"/>
  <c r="G393" i="3"/>
  <c r="AZ275" i="3"/>
  <c r="AZ279" i="3"/>
  <c r="AZ283" i="3"/>
  <c r="AZ291" i="3"/>
  <c r="AZ299" i="3"/>
  <c r="BD5" i="3"/>
  <c r="G548" i="3"/>
  <c r="G538" i="3"/>
  <c r="G502" i="3"/>
  <c r="AZ343" i="3"/>
  <c r="BI5" i="3"/>
  <c r="BE5" i="3"/>
  <c r="G17" i="3"/>
  <c r="BA17" i="3"/>
  <c r="BT5" i="3"/>
  <c r="AZ350" i="3"/>
  <c r="AZ360" i="3"/>
  <c r="BA15" i="3"/>
  <c r="AZ396" i="3"/>
  <c r="G509" i="3"/>
  <c r="U36" i="40"/>
  <c r="F36" i="43"/>
  <c r="F81" i="43"/>
  <c r="H87" i="43" s="1"/>
  <c r="H83" i="43"/>
  <c r="H113" i="43"/>
  <c r="F48" i="43"/>
  <c r="H52" i="43" s="1"/>
  <c r="F70" i="43"/>
  <c r="M11" i="43"/>
  <c r="D17" i="43"/>
  <c r="F39" i="43"/>
  <c r="I17" i="43"/>
  <c r="F35" i="43"/>
  <c r="J17" i="43"/>
  <c r="F6" i="1"/>
  <c r="S14" i="35"/>
  <c r="U35" i="21"/>
  <c r="AC35" i="21"/>
  <c r="U10" i="21"/>
  <c r="G9" i="1"/>
  <c r="W37" i="37"/>
  <c r="AC44" i="34"/>
  <c r="S15" i="37"/>
  <c r="U13" i="37"/>
  <c r="U12" i="40"/>
  <c r="AA12" i="40"/>
  <c r="J37" i="33"/>
  <c r="W37" i="33"/>
  <c r="F106" i="33"/>
  <c r="G106" i="33" s="1"/>
  <c r="H106" i="33"/>
  <c r="I106" i="33" s="1"/>
  <c r="J106" i="33" s="1"/>
  <c r="K106" i="33" s="1"/>
  <c r="L106" i="33" s="1"/>
  <c r="M106" i="33" s="1"/>
  <c r="J34" i="33"/>
  <c r="W34" i="33" s="1"/>
  <c r="F33" i="34"/>
  <c r="H20" i="36"/>
  <c r="J20" i="36"/>
  <c r="W20" i="36" s="1"/>
  <c r="W24" i="36"/>
  <c r="J27" i="36"/>
  <c r="W27" i="36"/>
  <c r="AB25" i="37"/>
  <c r="AC33" i="40"/>
  <c r="F111" i="40"/>
  <c r="G111" i="40"/>
  <c r="H111" i="40" s="1"/>
  <c r="I111" i="40" s="1"/>
  <c r="J111" i="40" s="1"/>
  <c r="K111" i="40" s="1"/>
  <c r="L111" i="40" s="1"/>
  <c r="M111" i="40" s="1"/>
  <c r="H35" i="40"/>
  <c r="AB35" i="40"/>
  <c r="AC29" i="35"/>
  <c r="W29" i="35"/>
  <c r="H35" i="37"/>
  <c r="U35" i="37"/>
  <c r="H20" i="35"/>
  <c r="U20" i="35" s="1"/>
  <c r="F20" i="35"/>
  <c r="AA20" i="35" s="1"/>
  <c r="AB29" i="36"/>
  <c r="U29" i="36"/>
  <c r="H32" i="37"/>
  <c r="AB32" i="37"/>
  <c r="F96" i="37"/>
  <c r="H27" i="40"/>
  <c r="J27" i="40"/>
  <c r="AC27" i="40" s="1"/>
  <c r="F27" i="40"/>
  <c r="J30" i="40"/>
  <c r="AC30" i="40" s="1"/>
  <c r="F30" i="40"/>
  <c r="AC21" i="40"/>
  <c r="S31" i="39"/>
  <c r="S11" i="40"/>
  <c r="E98" i="40"/>
  <c r="F98" i="40"/>
  <c r="G98" i="40" s="1"/>
  <c r="H98" i="40"/>
  <c r="I98" i="40" s="1"/>
  <c r="J98" i="40" s="1"/>
  <c r="K98" i="40" s="1"/>
  <c r="L98" i="40" s="1"/>
  <c r="M98" i="40" s="1"/>
  <c r="F10" i="33"/>
  <c r="S10" i="33" s="1"/>
  <c r="F34" i="33"/>
  <c r="H34" i="33"/>
  <c r="U34" i="33" s="1"/>
  <c r="F35" i="33"/>
  <c r="S35" i="33" s="1"/>
  <c r="F39" i="34"/>
  <c r="J39" i="34"/>
  <c r="W39" i="34" s="1"/>
  <c r="F40" i="34"/>
  <c r="S40" i="34" s="1"/>
  <c r="F43" i="34"/>
  <c r="H44" i="34"/>
  <c r="AB44" i="34" s="1"/>
  <c r="AC38" i="39"/>
  <c r="F39" i="39"/>
  <c r="S39" i="39" s="1"/>
  <c r="J39" i="39"/>
  <c r="AC39" i="39" s="1"/>
  <c r="E96" i="39"/>
  <c r="F96" i="39" s="1"/>
  <c r="G96" i="39" s="1"/>
  <c r="AZ353" i="3"/>
  <c r="AZ386" i="3"/>
  <c r="C40" i="11"/>
  <c r="AZ227" i="3"/>
  <c r="AZ235" i="3"/>
  <c r="AZ240" i="3"/>
  <c r="AZ280" i="3"/>
  <c r="AZ288" i="3"/>
  <c r="AZ296" i="3"/>
  <c r="AZ114" i="3"/>
  <c r="AZ117" i="3"/>
  <c r="AZ130" i="3"/>
  <c r="AZ21" i="3"/>
  <c r="AZ33" i="3"/>
  <c r="AZ58" i="3"/>
  <c r="AZ61" i="3"/>
  <c r="AZ66" i="3"/>
  <c r="AZ69" i="3"/>
  <c r="AZ72" i="3"/>
  <c r="AZ74" i="3"/>
  <c r="AZ77" i="3"/>
  <c r="AZ94" i="3"/>
  <c r="AZ102" i="3"/>
  <c r="H50" i="43"/>
  <c r="I20" i="43"/>
  <c r="F23" i="39"/>
  <c r="AA23" i="39" s="1"/>
  <c r="H27" i="36"/>
  <c r="U27" i="36" s="1"/>
  <c r="F27" i="36"/>
  <c r="H33" i="34"/>
  <c r="U33" i="34" s="1"/>
  <c r="F32" i="37"/>
  <c r="G96" i="37"/>
  <c r="H96" i="37" s="1"/>
  <c r="I96" i="37"/>
  <c r="J96" i="37" s="1"/>
  <c r="K96" i="37" s="1"/>
  <c r="L96" i="37" s="1"/>
  <c r="M96" i="37" s="1"/>
  <c r="F20" i="36"/>
  <c r="AA20" i="36"/>
  <c r="J33" i="34"/>
  <c r="AC33" i="34"/>
  <c r="H23" i="39"/>
  <c r="U23" i="39" s="1"/>
  <c r="D48" i="9"/>
  <c r="M52" i="9" s="1"/>
  <c r="H86" i="43"/>
  <c r="H82" i="43"/>
  <c r="K9" i="1"/>
  <c r="M9" i="1" s="1"/>
  <c r="O9" i="1" s="1"/>
  <c r="AE9" i="1"/>
  <c r="K6" i="1"/>
  <c r="M6" i="1" s="1"/>
  <c r="O6" i="1" s="1"/>
  <c r="P6" i="1" s="1"/>
  <c r="AC26" i="33"/>
  <c r="W27" i="34"/>
  <c r="AB34" i="36"/>
  <c r="U34" i="36"/>
  <c r="AB33" i="36"/>
  <c r="AC12" i="39"/>
  <c r="W12" i="39"/>
  <c r="AC39" i="40"/>
  <c r="W39" i="40"/>
  <c r="AZ401" i="3"/>
  <c r="AZ412" i="3"/>
  <c r="AZ433" i="3"/>
  <c r="AZ465" i="3"/>
  <c r="E22" i="43"/>
  <c r="AA32" i="36"/>
  <c r="S32" i="36"/>
  <c r="AZ550" i="3"/>
  <c r="AZ441" i="3"/>
  <c r="AZ457" i="3"/>
  <c r="U30" i="33"/>
  <c r="AC13" i="34"/>
  <c r="S19" i="39"/>
  <c r="F12" i="33"/>
  <c r="S12" i="33" s="1"/>
  <c r="H12" i="39"/>
  <c r="AB12" i="39"/>
  <c r="F39" i="40"/>
  <c r="BA14" i="3"/>
  <c r="AZ224" i="3"/>
  <c r="AZ250" i="3"/>
  <c r="AZ286" i="3"/>
  <c r="AZ149" i="3"/>
  <c r="AZ165" i="3"/>
  <c r="AZ173" i="3"/>
  <c r="AZ189" i="3"/>
  <c r="AZ19" i="3"/>
  <c r="S12" i="1"/>
  <c r="R12" i="1"/>
  <c r="B12" i="1"/>
  <c r="E12" i="1"/>
  <c r="S10" i="1"/>
  <c r="AQ10" i="1" s="1"/>
  <c r="R10" i="1"/>
  <c r="B10" i="1"/>
  <c r="E10" i="1" s="1"/>
  <c r="AZ84" i="3"/>
  <c r="K12" i="1"/>
  <c r="M12" i="1" s="1"/>
  <c r="S13" i="1"/>
  <c r="T13" i="1" s="1"/>
  <c r="R13" i="1"/>
  <c r="S11" i="1"/>
  <c r="AQ11" i="1" s="1"/>
  <c r="R11" i="1"/>
  <c r="S9" i="1"/>
  <c r="AQ9" i="1" s="1"/>
  <c r="R9" i="1"/>
  <c r="J51" i="67"/>
  <c r="H100" i="43"/>
  <c r="AC34" i="33"/>
  <c r="B41" i="1"/>
  <c r="F53" i="9" s="1"/>
  <c r="J100" i="43"/>
  <c r="AB37" i="40"/>
  <c r="S35" i="40"/>
  <c r="U35" i="40"/>
  <c r="AC36" i="40"/>
  <c r="W38" i="40"/>
  <c r="AA32" i="40"/>
  <c r="S17" i="40"/>
  <c r="S23" i="40"/>
  <c r="AC17" i="40"/>
  <c r="AC15" i="40"/>
  <c r="AA19" i="40"/>
  <c r="S28" i="40"/>
  <c r="AB19" i="40"/>
  <c r="U37" i="39"/>
  <c r="S43" i="39"/>
  <c r="S37" i="39"/>
  <c r="F32" i="39"/>
  <c r="S32" i="39" s="1"/>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U14" i="39"/>
  <c r="U12" i="39"/>
  <c r="S23" i="36"/>
  <c r="AC27" i="36"/>
  <c r="AB27" i="36"/>
  <c r="U26" i="36"/>
  <c r="S33" i="36"/>
  <c r="AA26" i="36"/>
  <c r="AA34" i="36"/>
  <c r="S29" i="36"/>
  <c r="AC26" i="36"/>
  <c r="AA22" i="36"/>
  <c r="U22" i="36"/>
  <c r="S16" i="36"/>
  <c r="S24" i="36"/>
  <c r="U24" i="36"/>
  <c r="U23" i="36"/>
  <c r="U16" i="36"/>
  <c r="S14" i="36"/>
  <c r="U10" i="36"/>
  <c r="W24" i="35"/>
  <c r="U29" i="35"/>
  <c r="U28" i="35"/>
  <c r="AB27" i="35"/>
  <c r="U32" i="35"/>
  <c r="AA33" i="35"/>
  <c r="AC30" i="35"/>
  <c r="S32" i="35"/>
  <c r="AA36" i="35"/>
  <c r="W32" i="35"/>
  <c r="S28" i="35"/>
  <c r="AB16" i="35"/>
  <c r="U22" i="35"/>
  <c r="AC20" i="35"/>
  <c r="S22" i="35"/>
  <c r="U14" i="35"/>
  <c r="AC10" i="35"/>
  <c r="AA10" i="35"/>
  <c r="AB10" i="35"/>
  <c r="S8" i="35"/>
  <c r="AC9" i="35"/>
  <c r="W9" i="35"/>
  <c r="W13" i="35"/>
  <c r="F9" i="35"/>
  <c r="H9" i="35"/>
  <c r="F26" i="35"/>
  <c r="J26" i="35"/>
  <c r="W26" i="35" s="1"/>
  <c r="AB40" i="37"/>
  <c r="S25" i="37"/>
  <c r="W27" i="37"/>
  <c r="AC9" i="37"/>
  <c r="AC29" i="37"/>
  <c r="U29" i="37"/>
  <c r="AB31" i="37"/>
  <c r="W30" i="37"/>
  <c r="S36" i="37"/>
  <c r="AA38" i="37"/>
  <c r="U32" i="37"/>
  <c r="W38" i="37"/>
  <c r="AC35" i="37"/>
  <c r="S30" i="37"/>
  <c r="S37" i="37"/>
  <c r="AC15" i="37"/>
  <c r="J17" i="37"/>
  <c r="W17" i="37"/>
  <c r="G73" i="37"/>
  <c r="F17" i="37"/>
  <c r="AA17" i="37" s="1"/>
  <c r="AB17" i="37"/>
  <c r="F75" i="37"/>
  <c r="G75" i="37" s="1"/>
  <c r="F19" i="37"/>
  <c r="F79" i="37"/>
  <c r="F23" i="37"/>
  <c r="S23" i="37"/>
  <c r="U23" i="37"/>
  <c r="U15" i="37"/>
  <c r="AA13" i="37"/>
  <c r="AA9" i="37"/>
  <c r="H10" i="37"/>
  <c r="H60" i="37"/>
  <c r="F63" i="37"/>
  <c r="F11" i="37"/>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F70" i="34"/>
  <c r="G70" i="34" s="1"/>
  <c r="W42" i="33"/>
  <c r="AA35" i="33"/>
  <c r="S32" i="33"/>
  <c r="W38" i="33"/>
  <c r="H41" i="33"/>
  <c r="G121" i="33"/>
  <c r="H121" i="33" s="1"/>
  <c r="I121" i="33"/>
  <c r="J121" i="33" s="1"/>
  <c r="K121" i="33" s="1"/>
  <c r="L121" i="33" s="1"/>
  <c r="M121" i="33" s="1"/>
  <c r="S42" i="33"/>
  <c r="F36" i="33"/>
  <c r="AA36" i="33" s="1"/>
  <c r="G111" i="33"/>
  <c r="H111" i="33" s="1"/>
  <c r="H108" i="33"/>
  <c r="I108" i="33"/>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F87" i="33"/>
  <c r="G87" i="33" s="1"/>
  <c r="H25" i="33"/>
  <c r="F25" i="33"/>
  <c r="AA25" i="33" s="1"/>
  <c r="J23" i="33"/>
  <c r="F85" i="33"/>
  <c r="H23" i="33"/>
  <c r="AB23" i="33" s="1"/>
  <c r="F81" i="33"/>
  <c r="G81" i="33" s="1"/>
  <c r="F19" i="33"/>
  <c r="S19" i="33"/>
  <c r="W19" i="33"/>
  <c r="J17" i="33"/>
  <c r="W17" i="33" s="1"/>
  <c r="F79" i="33"/>
  <c r="S15" i="33"/>
  <c r="U9" i="33"/>
  <c r="I66" i="33"/>
  <c r="J10" i="33"/>
  <c r="AC10" i="33" s="1"/>
  <c r="H10" i="33"/>
  <c r="U10" i="33" s="1"/>
  <c r="AA10" i="33"/>
  <c r="AC11" i="33"/>
  <c r="AB14" i="33"/>
  <c r="W43" i="21"/>
  <c r="W36" i="21"/>
  <c r="AB39" i="21"/>
  <c r="AA43" i="21"/>
  <c r="S39" i="21"/>
  <c r="AA38" i="21"/>
  <c r="AA36" i="21"/>
  <c r="AC40" i="21"/>
  <c r="J15" i="21"/>
  <c r="F77" i="21"/>
  <c r="G77" i="21"/>
  <c r="F23" i="21"/>
  <c r="S23" i="21" s="1"/>
  <c r="E85" i="21"/>
  <c r="F85" i="21" s="1"/>
  <c r="AC11" i="21"/>
  <c r="AA14" i="21"/>
  <c r="AB8" i="21"/>
  <c r="S8" i="21"/>
  <c r="M3" i="43"/>
  <c r="M1" i="43"/>
  <c r="N8" i="43"/>
  <c r="D120" i="9"/>
  <c r="C18" i="9"/>
  <c r="D18" i="9"/>
  <c r="F34" i="67"/>
  <c r="F62" i="67" s="1"/>
  <c r="M20" i="67"/>
  <c r="F34" i="15"/>
  <c r="F62" i="15" s="1"/>
  <c r="G13" i="3"/>
  <c r="BA13" i="3"/>
  <c r="BL13" i="3"/>
  <c r="J56" i="9"/>
  <c r="J57" i="9" s="1"/>
  <c r="J59" i="9" s="1"/>
  <c r="J61" i="9" s="1"/>
  <c r="A24" i="51"/>
  <c r="B18" i="72" s="1"/>
  <c r="U29" i="34"/>
  <c r="E5" i="6"/>
  <c r="D9" i="69" s="1"/>
  <c r="C9" i="69" s="1"/>
  <c r="L101" i="43"/>
  <c r="L107" i="43" s="1"/>
  <c r="I101" i="43"/>
  <c r="I105" i="43" s="1"/>
  <c r="E32" i="6"/>
  <c r="L19" i="6"/>
  <c r="G1" i="68"/>
  <c r="K1" i="12"/>
  <c r="AR12" i="1"/>
  <c r="AQ12" i="1"/>
  <c r="T12" i="1"/>
  <c r="E19" i="69"/>
  <c r="E19" i="68"/>
  <c r="E19" i="11"/>
  <c r="E1" i="73"/>
  <c r="G22" i="69"/>
  <c r="G22" i="68"/>
  <c r="G26" i="12"/>
  <c r="G22" i="11"/>
  <c r="C100" i="43"/>
  <c r="E81" i="43"/>
  <c r="B79" i="43" s="1"/>
  <c r="AI11" i="43"/>
  <c r="AI13" i="43" s="1"/>
  <c r="AE11" i="43"/>
  <c r="AE13" i="43" s="1"/>
  <c r="AA11" i="43"/>
  <c r="AA13" i="43" s="1"/>
  <c r="E48" i="43"/>
  <c r="B46" i="43"/>
  <c r="E70" i="43"/>
  <c r="B68" i="43"/>
  <c r="F100" i="43"/>
  <c r="H17" i="43"/>
  <c r="G6" i="1"/>
  <c r="H85" i="43"/>
  <c r="H84" i="43"/>
  <c r="H88" i="43"/>
  <c r="H53" i="43"/>
  <c r="C17" i="43"/>
  <c r="F33" i="43"/>
  <c r="K17" i="43"/>
  <c r="F34" i="43"/>
  <c r="N6" i="43"/>
  <c r="C6" i="43"/>
  <c r="N3" i="43"/>
  <c r="F38" i="43"/>
  <c r="F37" i="43"/>
  <c r="M9" i="43"/>
  <c r="N5" i="43"/>
  <c r="M12" i="43"/>
  <c r="B19" i="53"/>
  <c r="B37" i="72" s="1"/>
  <c r="C7" i="39"/>
  <c r="C67" i="39" s="1"/>
  <c r="C7" i="21"/>
  <c r="C58" i="21" s="1"/>
  <c r="C46" i="36"/>
  <c r="D46" i="36" s="1"/>
  <c r="E46" i="36" s="1"/>
  <c r="F46" i="36" s="1"/>
  <c r="G46" i="36" s="1"/>
  <c r="H46" i="36" s="1"/>
  <c r="I46" i="36" s="1"/>
  <c r="A4" i="51"/>
  <c r="B6" i="72" s="1"/>
  <c r="C4" i="12"/>
  <c r="H66" i="43"/>
  <c r="H65" i="43"/>
  <c r="H63" i="43"/>
  <c r="H55" i="43"/>
  <c r="H56" i="43"/>
  <c r="L20" i="6"/>
  <c r="B6" i="1"/>
  <c r="E6" i="1" s="1"/>
  <c r="S8" i="1"/>
  <c r="AQ8" i="1" s="1"/>
  <c r="K11" i="1"/>
  <c r="M11" i="1" s="1"/>
  <c r="O11" i="1" s="1"/>
  <c r="AP6" i="1"/>
  <c r="B9" i="1"/>
  <c r="E9" i="1" s="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A39" i="39"/>
  <c r="AC41" i="39"/>
  <c r="U42" i="39"/>
  <c r="W25" i="39"/>
  <c r="AC25" i="39"/>
  <c r="U13" i="39"/>
  <c r="AB13" i="39"/>
  <c r="AA13" i="39"/>
  <c r="S13" i="39"/>
  <c r="AB11" i="39"/>
  <c r="U11" i="39"/>
  <c r="AA27" i="39"/>
  <c r="S27" i="39"/>
  <c r="W17" i="39"/>
  <c r="AC17" i="39"/>
  <c r="W31" i="39"/>
  <c r="AC31" i="39"/>
  <c r="S23" i="39"/>
  <c r="AB39" i="39"/>
  <c r="W34" i="39"/>
  <c r="U38" i="39"/>
  <c r="S8" i="39"/>
  <c r="S20" i="36"/>
  <c r="AC25" i="36"/>
  <c r="S28" i="36"/>
  <c r="U32" i="36"/>
  <c r="W29" i="36"/>
  <c r="AC20" i="36"/>
  <c r="AA13" i="36"/>
  <c r="W9" i="36"/>
  <c r="W22" i="36"/>
  <c r="S9" i="36"/>
  <c r="S24" i="35"/>
  <c r="W33" i="35"/>
  <c r="AA30" i="35"/>
  <c r="U24" i="35"/>
  <c r="S35" i="35"/>
  <c r="AA16" i="35"/>
  <c r="AA35" i="37"/>
  <c r="W36" i="37"/>
  <c r="S27" i="37"/>
  <c r="S28" i="37"/>
  <c r="W32" i="37"/>
  <c r="U36" i="37"/>
  <c r="S40" i="37"/>
  <c r="U38" i="37"/>
  <c r="S33" i="37"/>
  <c r="AC34" i="37"/>
  <c r="AB35" i="37"/>
  <c r="AA31" i="37"/>
  <c r="AA29" i="37"/>
  <c r="U8" i="37"/>
  <c r="AA40" i="34"/>
  <c r="W19" i="34"/>
  <c r="AC45" i="34"/>
  <c r="AA31" i="34"/>
  <c r="AA30" i="34"/>
  <c r="AB45" i="34"/>
  <c r="AB47" i="34"/>
  <c r="U25" i="34"/>
  <c r="AB36" i="34"/>
  <c r="W33" i="34"/>
  <c r="W29" i="34"/>
  <c r="W46" i="34"/>
  <c r="AC46" i="34"/>
  <c r="S37" i="34"/>
  <c r="U38" i="34"/>
  <c r="AC40" i="34"/>
  <c r="W40" i="34"/>
  <c r="AA19" i="34"/>
  <c r="S19" i="34"/>
  <c r="AA36" i="34"/>
  <c r="S36" i="34"/>
  <c r="AA8" i="34"/>
  <c r="S8" i="34"/>
  <c r="AB9" i="34"/>
  <c r="U9" i="34"/>
  <c r="S46" i="34"/>
  <c r="AA46" i="34"/>
  <c r="AC43" i="34"/>
  <c r="W43"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S28" i="33"/>
  <c r="W8" i="33"/>
  <c r="S44" i="21"/>
  <c r="AA11" i="21"/>
  <c r="S45" i="21"/>
  <c r="F33" i="21"/>
  <c r="J33" i="21"/>
  <c r="H33" i="21"/>
  <c r="F37" i="21"/>
  <c r="AA37" i="21"/>
  <c r="AA26" i="21"/>
  <c r="AB14" i="21"/>
  <c r="AB46" i="21"/>
  <c r="U40" i="21"/>
  <c r="U13" i="21"/>
  <c r="W8" i="21"/>
  <c r="AB37" i="21"/>
  <c r="J37" i="21"/>
  <c r="H15" i="21"/>
  <c r="U15" i="21"/>
  <c r="J17" i="21"/>
  <c r="AC17" i="21" s="1"/>
  <c r="AC19" i="21"/>
  <c r="W39" i="21"/>
  <c r="AC14" i="21"/>
  <c r="W30" i="21"/>
  <c r="H45" i="21"/>
  <c r="F29" i="21"/>
  <c r="S29" i="21" s="1"/>
  <c r="F13" i="21"/>
  <c r="AA13" i="21"/>
  <c r="AC38" i="21"/>
  <c r="H32" i="21"/>
  <c r="H9" i="21"/>
  <c r="U9" i="21" s="1"/>
  <c r="J9" i="21"/>
  <c r="AC9" i="21" s="1"/>
  <c r="J32" i="21"/>
  <c r="F32" i="21"/>
  <c r="U17" i="21"/>
  <c r="S9" i="21"/>
  <c r="AA9" i="21"/>
  <c r="K141" i="21"/>
  <c r="K144" i="21"/>
  <c r="K143" i="21"/>
  <c r="AB25" i="21"/>
  <c r="AA30" i="21"/>
  <c r="W13" i="21"/>
  <c r="W42" i="21"/>
  <c r="F10" i="21"/>
  <c r="K145" i="21"/>
  <c r="W17" i="21"/>
  <c r="W25" i="21"/>
  <c r="AA29" i="21"/>
  <c r="S27" i="21"/>
  <c r="AA15" i="21"/>
  <c r="AC27" i="21"/>
  <c r="AC26" i="21"/>
  <c r="AB29" i="21"/>
  <c r="S28" i="21"/>
  <c r="AC34" i="21"/>
  <c r="W10" i="21"/>
  <c r="AB36" i="21"/>
  <c r="W30" i="40"/>
  <c r="C19" i="39"/>
  <c r="C17" i="40"/>
  <c r="C23" i="40"/>
  <c r="C21" i="40"/>
  <c r="U30" i="40"/>
  <c r="B54" i="43"/>
  <c r="B65" i="43"/>
  <c r="B49" i="43"/>
  <c r="B52" i="43"/>
  <c r="B56" i="43"/>
  <c r="B60" i="43"/>
  <c r="B63" i="43"/>
  <c r="B67" i="43"/>
  <c r="D23" i="15"/>
  <c r="D22" i="15"/>
  <c r="E4" i="4"/>
  <c r="B5" i="62" s="1"/>
  <c r="B73" i="72" s="1"/>
  <c r="C4" i="4"/>
  <c r="AZ13" i="3"/>
  <c r="S7" i="1"/>
  <c r="AR7" i="1" s="1"/>
  <c r="E7" i="70"/>
  <c r="AA39" i="40"/>
  <c r="S39" i="40"/>
  <c r="AA12" i="33"/>
  <c r="F54" i="9"/>
  <c r="J32" i="39"/>
  <c r="H32" i="39"/>
  <c r="AB32" i="39" s="1"/>
  <c r="U21" i="39"/>
  <c r="AA21" i="39"/>
  <c r="S21" i="39"/>
  <c r="U9" i="35"/>
  <c r="AB9" i="35"/>
  <c r="AB26" i="35"/>
  <c r="AC17" i="37"/>
  <c r="S17" i="37"/>
  <c r="J19" i="37"/>
  <c r="S19" i="37"/>
  <c r="AA19" i="37"/>
  <c r="AA23" i="37"/>
  <c r="J23" i="37"/>
  <c r="G79" i="37"/>
  <c r="J10" i="37"/>
  <c r="AC10" i="37" s="1"/>
  <c r="I60" i="37"/>
  <c r="G63" i="37"/>
  <c r="H11" i="37"/>
  <c r="AB10" i="37"/>
  <c r="U10" i="37"/>
  <c r="H11" i="34"/>
  <c r="AB10" i="34"/>
  <c r="U10" i="34"/>
  <c r="J10" i="34"/>
  <c r="AB41" i="33"/>
  <c r="U41" i="33"/>
  <c r="I111" i="33"/>
  <c r="J111" i="33" s="1"/>
  <c r="K111" i="33" s="1"/>
  <c r="L111" i="33" s="1"/>
  <c r="M111" i="33" s="1"/>
  <c r="J36" i="33"/>
  <c r="H36" i="33"/>
  <c r="AB36" i="33" s="1"/>
  <c r="S36" i="33"/>
  <c r="W32" i="33"/>
  <c r="I91" i="33"/>
  <c r="J91" i="33" s="1"/>
  <c r="K91" i="33" s="1"/>
  <c r="L91" i="33"/>
  <c r="M91" i="33" s="1"/>
  <c r="J27" i="33"/>
  <c r="W27" i="33" s="1"/>
  <c r="S25" i="33"/>
  <c r="H87" i="33"/>
  <c r="I87" i="33" s="1"/>
  <c r="J87" i="33"/>
  <c r="K87" i="33" s="1"/>
  <c r="L87" i="33" s="1"/>
  <c r="M87" i="33" s="1"/>
  <c r="J25" i="33"/>
  <c r="U23" i="33"/>
  <c r="F23" i="33"/>
  <c r="AA23" i="33" s="1"/>
  <c r="G85" i="33"/>
  <c r="AC23" i="33"/>
  <c r="W23" i="33"/>
  <c r="AA19" i="33"/>
  <c r="H19" i="33"/>
  <c r="U19" i="33" s="1"/>
  <c r="G79" i="33"/>
  <c r="H17" i="33"/>
  <c r="U17" i="33" s="1"/>
  <c r="F17" i="33"/>
  <c r="AA17" i="33" s="1"/>
  <c r="AC17" i="33"/>
  <c r="AB10" i="33"/>
  <c r="W10" i="33"/>
  <c r="S37" i="21"/>
  <c r="AA23" i="21"/>
  <c r="AB15" i="21"/>
  <c r="J23" i="21"/>
  <c r="W23" i="21" s="1"/>
  <c r="G85" i="21"/>
  <c r="H23" i="21"/>
  <c r="U23" i="21" s="1"/>
  <c r="S13" i="21"/>
  <c r="AP7" i="1"/>
  <c r="AC33" i="21"/>
  <c r="W33" i="21"/>
  <c r="S33" i="21"/>
  <c r="AA33" i="21"/>
  <c r="W32" i="21"/>
  <c r="AC32" i="21"/>
  <c r="AB9" i="21"/>
  <c r="AA32" i="21"/>
  <c r="S32" i="21"/>
  <c r="W9" i="21"/>
  <c r="AB32" i="21"/>
  <c r="U32" i="21"/>
  <c r="E6" i="70"/>
  <c r="U32" i="39"/>
  <c r="AC32" i="39"/>
  <c r="W32" i="39"/>
  <c r="W19" i="37"/>
  <c r="AC19" i="37"/>
  <c r="W23" i="37"/>
  <c r="AC23" i="37"/>
  <c r="H63" i="37"/>
  <c r="I63" i="37"/>
  <c r="J63" i="37" s="1"/>
  <c r="K63" i="37"/>
  <c r="L63" i="37" s="1"/>
  <c r="M63" i="37" s="1"/>
  <c r="J11" i="37"/>
  <c r="W11" i="37" s="1"/>
  <c r="W10" i="37"/>
  <c r="U11" i="34"/>
  <c r="AB11" i="34"/>
  <c r="AC10" i="34"/>
  <c r="W10" i="34"/>
  <c r="H70" i="34"/>
  <c r="I70" i="34" s="1"/>
  <c r="J70" i="34"/>
  <c r="K70" i="34" s="1"/>
  <c r="L70" i="34" s="1"/>
  <c r="M70" i="34" s="1"/>
  <c r="J11" i="34"/>
  <c r="AC36" i="33"/>
  <c r="W36" i="33"/>
  <c r="U36" i="33"/>
  <c r="AC27" i="33"/>
  <c r="W25" i="33"/>
  <c r="AC25" i="33"/>
  <c r="S23" i="33"/>
  <c r="AB19" i="33"/>
  <c r="S17" i="33"/>
  <c r="AB17" i="33"/>
  <c r="AB23" i="21"/>
  <c r="AC23" i="21"/>
  <c r="AC11" i="37"/>
  <c r="W11" i="34"/>
  <c r="AC11" i="34"/>
  <c r="R7" i="1"/>
  <c r="F34" i="11"/>
  <c r="R8" i="1"/>
  <c r="AE7" i="1"/>
  <c r="AE8" i="1"/>
  <c r="AG6" i="1"/>
  <c r="H109" i="9"/>
  <c r="H112" i="9"/>
  <c r="D21" i="53" s="1"/>
  <c r="B39" i="72" s="1"/>
  <c r="H111" i="9"/>
  <c r="AD3" i="71"/>
  <c r="J1" i="73"/>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C19" i="71"/>
  <c r="D20" i="71"/>
  <c r="D21" i="71"/>
  <c r="U21" i="71"/>
  <c r="S21" i="71"/>
  <c r="T21" i="71"/>
  <c r="AB19" i="71"/>
  <c r="X17" i="71"/>
  <c r="X16" i="71"/>
  <c r="AA17" i="71"/>
  <c r="AA16" i="71"/>
  <c r="X20" i="71"/>
  <c r="Z15" i="71"/>
  <c r="Y16" i="71"/>
  <c r="Z16" i="71" s="1"/>
  <c r="AB17" i="71"/>
  <c r="AB16" i="71"/>
  <c r="S17" i="71"/>
  <c r="F18" i="71"/>
  <c r="F17" i="71" s="1"/>
  <c r="F16" i="71" s="1"/>
  <c r="F15" i="71" s="1"/>
  <c r="F14" i="71" s="1"/>
  <c r="Y17" i="71"/>
  <c r="Z17" i="71" s="1"/>
  <c r="X3" i="71"/>
  <c r="G20" i="43"/>
  <c r="L48" i="15"/>
  <c r="F35" i="67"/>
  <c r="E2" i="69"/>
  <c r="F6" i="15"/>
  <c r="F37" i="67"/>
  <c r="M22" i="67"/>
  <c r="D2" i="35"/>
  <c r="D2" i="33"/>
  <c r="M24" i="67"/>
  <c r="D2" i="36"/>
  <c r="F26" i="67"/>
  <c r="M24" i="15"/>
  <c r="B12" i="76"/>
  <c r="F42" i="15"/>
  <c r="L47" i="15"/>
  <c r="F7" i="73"/>
  <c r="F9" i="67"/>
  <c r="C76" i="15"/>
  <c r="M27" i="15"/>
  <c r="F41" i="67"/>
  <c r="F6" i="73"/>
  <c r="M26" i="67"/>
  <c r="M8" i="67"/>
  <c r="F43" i="67"/>
  <c r="D5" i="73"/>
  <c r="AO11" i="1"/>
  <c r="F20" i="31"/>
  <c r="F7" i="67"/>
  <c r="AO10" i="1"/>
  <c r="B9" i="76"/>
  <c r="M23" i="15"/>
  <c r="F6" i="67"/>
  <c r="B13" i="76"/>
  <c r="F36" i="15"/>
  <c r="F8" i="15"/>
  <c r="D3" i="73"/>
  <c r="AO7" i="1"/>
  <c r="M8" i="15"/>
  <c r="F42" i="67"/>
  <c r="F8" i="67"/>
  <c r="D2" i="37"/>
  <c r="M26" i="15"/>
  <c r="F5" i="73"/>
  <c r="M27" i="67"/>
  <c r="J15" i="67"/>
  <c r="F40" i="67"/>
  <c r="E11" i="76"/>
  <c r="F4" i="73"/>
  <c r="M28" i="67"/>
  <c r="L47" i="67"/>
  <c r="F43" i="15"/>
  <c r="M9" i="67"/>
  <c r="E8" i="76"/>
  <c r="M21" i="67"/>
  <c r="AO8" i="1"/>
  <c r="AO9" i="1"/>
  <c r="B10" i="76"/>
  <c r="M29" i="15"/>
  <c r="F16" i="15"/>
  <c r="F13" i="15"/>
  <c r="M29" i="67"/>
  <c r="E2" i="68"/>
  <c r="E9" i="76"/>
  <c r="F13" i="67"/>
  <c r="AO12" i="1"/>
  <c r="E10" i="76"/>
  <c r="F38" i="15"/>
  <c r="E13" i="76"/>
  <c r="M9" i="15"/>
  <c r="F7" i="15"/>
  <c r="J15" i="15"/>
  <c r="L48" i="67"/>
  <c r="M23" i="67"/>
  <c r="AO13" i="1"/>
  <c r="D6" i="73"/>
  <c r="M6" i="67"/>
  <c r="F26" i="15"/>
  <c r="D2" i="21"/>
  <c r="B8" i="76"/>
  <c r="E7" i="76"/>
  <c r="D2" i="34"/>
  <c r="F9" i="15"/>
  <c r="M6" i="15"/>
  <c r="E12" i="76"/>
  <c r="F40" i="15"/>
  <c r="F36" i="67"/>
  <c r="F38" i="67"/>
  <c r="M28" i="15"/>
  <c r="M22" i="15"/>
  <c r="B7" i="76"/>
  <c r="F3" i="73"/>
  <c r="F37" i="15"/>
  <c r="B11" i="76"/>
  <c r="C76" i="67"/>
  <c r="F16" i="67"/>
  <c r="C5" i="11" l="1"/>
  <c r="P61" i="15"/>
  <c r="C94" i="9"/>
  <c r="C92" i="9"/>
  <c r="F52" i="9"/>
  <c r="M18" i="15"/>
  <c r="F30" i="68"/>
  <c r="F48" i="68" s="1"/>
  <c r="F32" i="67"/>
  <c r="F60" i="67" s="1"/>
  <c r="F30" i="11"/>
  <c r="F48" i="9"/>
  <c r="O52" i="9" s="1"/>
  <c r="D68" i="9"/>
  <c r="F32" i="15"/>
  <c r="F60" i="15" s="1"/>
  <c r="F31" i="12"/>
  <c r="F30" i="69"/>
  <c r="F48" i="69" s="1"/>
  <c r="F28" i="67"/>
  <c r="C23" i="12"/>
  <c r="C40" i="69"/>
  <c r="C21" i="69"/>
  <c r="F34" i="68"/>
  <c r="C36" i="68" s="1"/>
  <c r="AQ13" i="1"/>
  <c r="E2" i="70"/>
  <c r="T11" i="1"/>
  <c r="AR11" i="1"/>
  <c r="T10" i="1"/>
  <c r="D9" i="68"/>
  <c r="C9" i="68" s="1"/>
  <c r="AR10" i="1"/>
  <c r="F22" i="43"/>
  <c r="BR5" i="3"/>
  <c r="G28" i="6" s="1"/>
  <c r="BS5" i="3"/>
  <c r="BF5" i="3"/>
  <c r="BJ5" i="3"/>
  <c r="BC5" i="3"/>
  <c r="BG5" i="3"/>
  <c r="BK5" i="3"/>
  <c r="BH5" i="3"/>
  <c r="C36" i="69"/>
  <c r="L27" i="6"/>
  <c r="O7" i="1"/>
  <c r="P7" i="1" s="1"/>
  <c r="T7" i="1"/>
  <c r="AQ7" i="1"/>
  <c r="AR13" i="1"/>
  <c r="F101" i="43"/>
  <c r="F105" i="43" s="1"/>
  <c r="T9" i="1"/>
  <c r="P11" i="1"/>
  <c r="AR9" i="1"/>
  <c r="N104" i="46"/>
  <c r="J103" i="43"/>
  <c r="J105" i="43"/>
  <c r="J109" i="43"/>
  <c r="J107" i="43"/>
  <c r="J102" i="43"/>
  <c r="Y11" i="43"/>
  <c r="Y13" i="43" s="1"/>
  <c r="AC11" i="43"/>
  <c r="AC13" i="43" s="1"/>
  <c r="AG11" i="43"/>
  <c r="AG13" i="43" s="1"/>
  <c r="Z7" i="43"/>
  <c r="AD11" i="43"/>
  <c r="F102" i="43"/>
  <c r="G22" i="43"/>
  <c r="D101" i="43"/>
  <c r="D105" i="43" s="1"/>
  <c r="C101" i="43"/>
  <c r="C103" i="43" s="1"/>
  <c r="N101" i="43"/>
  <c r="K101" i="43"/>
  <c r="I106" i="43"/>
  <c r="J22" i="43"/>
  <c r="Z11" i="43"/>
  <c r="AF11" i="43"/>
  <c r="AJ11" i="43"/>
  <c r="AJ13" i="43" s="1"/>
  <c r="F107" i="43"/>
  <c r="E101" i="43"/>
  <c r="H101" i="43"/>
  <c r="G101" i="43"/>
  <c r="G106" i="43" s="1"/>
  <c r="F104" i="43"/>
  <c r="B113" i="43"/>
  <c r="D117" i="43" s="1"/>
  <c r="E117" i="43" s="1"/>
  <c r="F117" i="43" s="1"/>
  <c r="G117" i="43" s="1"/>
  <c r="H117" i="43" s="1"/>
  <c r="L106" i="43"/>
  <c r="AB11" i="43"/>
  <c r="AB13" i="43" s="1"/>
  <c r="AH11" i="43"/>
  <c r="AH13" i="43" s="1"/>
  <c r="M101" i="43"/>
  <c r="H22" i="43"/>
  <c r="G12" i="1"/>
  <c r="G8" i="1"/>
  <c r="G10" i="1"/>
  <c r="C20" i="43"/>
  <c r="C7" i="40"/>
  <c r="C63" i="40" s="1"/>
  <c r="G19" i="43"/>
  <c r="O19" i="43" s="1"/>
  <c r="C19" i="43" s="1"/>
  <c r="C7" i="34"/>
  <c r="C59" i="34" s="1"/>
  <c r="D59" i="34" s="1"/>
  <c r="E59" i="34" s="1"/>
  <c r="F59" i="34" s="1"/>
  <c r="G59" i="34" s="1"/>
  <c r="H59" i="34" s="1"/>
  <c r="I59" i="34" s="1"/>
  <c r="J59" i="34" s="1"/>
  <c r="K59" i="34" s="1"/>
  <c r="C7" i="33"/>
  <c r="C58" i="33" s="1"/>
  <c r="C42" i="1"/>
  <c r="M47" i="9"/>
  <c r="C7" i="35"/>
  <c r="C48" i="35" s="1"/>
  <c r="D48" i="35" s="1"/>
  <c r="E48" i="35" s="1"/>
  <c r="D19" i="53"/>
  <c r="D126" i="9"/>
  <c r="AC19" i="40"/>
  <c r="W19" i="40"/>
  <c r="S12" i="37"/>
  <c r="AA12" i="37"/>
  <c r="S31" i="21"/>
  <c r="AA31" i="21"/>
  <c r="AA27" i="36"/>
  <c r="S27" i="36"/>
  <c r="H73" i="43"/>
  <c r="H75" i="43"/>
  <c r="H78" i="43"/>
  <c r="H72" i="43"/>
  <c r="H71" i="43"/>
  <c r="H70" i="43"/>
  <c r="H77" i="43"/>
  <c r="H74" i="43"/>
  <c r="AC11" i="39"/>
  <c r="W11" i="39"/>
  <c r="AB9" i="37"/>
  <c r="U9" i="37"/>
  <c r="AB27" i="21"/>
  <c r="U27" i="21"/>
  <c r="H76" i="43"/>
  <c r="W17" i="34"/>
  <c r="AC17" i="34"/>
  <c r="AC15" i="33"/>
  <c r="W15" i="33"/>
  <c r="U40" i="34"/>
  <c r="AB40" i="34"/>
  <c r="S12" i="36"/>
  <c r="AA12" i="36"/>
  <c r="AA27" i="35"/>
  <c r="S27" i="35"/>
  <c r="H110" i="9"/>
  <c r="D18" i="53" s="1"/>
  <c r="B35" i="72" s="1"/>
  <c r="D16" i="53"/>
  <c r="D124" i="9"/>
  <c r="U14" i="36"/>
  <c r="AB14" i="36"/>
  <c r="C36" i="11"/>
  <c r="S10" i="21"/>
  <c r="AA10" i="21"/>
  <c r="AB45" i="21"/>
  <c r="U45" i="21"/>
  <c r="W37" i="21"/>
  <c r="AC37" i="21"/>
  <c r="S27" i="40"/>
  <c r="AA27" i="40"/>
  <c r="AB37" i="33"/>
  <c r="U37" i="33"/>
  <c r="AB11" i="37"/>
  <c r="U11" i="37"/>
  <c r="AB21" i="40"/>
  <c r="U21" i="40"/>
  <c r="AC31" i="40"/>
  <c r="W31" i="40"/>
  <c r="D19" i="71"/>
  <c r="C18" i="71"/>
  <c r="D115" i="43"/>
  <c r="E115" i="43" s="1"/>
  <c r="F115" i="43" s="1"/>
  <c r="G115" i="43" s="1"/>
  <c r="H115" i="43" s="1"/>
  <c r="W13" i="39"/>
  <c r="AC13" i="39"/>
  <c r="AA14" i="39"/>
  <c r="S14" i="39"/>
  <c r="AC35" i="35"/>
  <c r="W35" i="35"/>
  <c r="AB13" i="36"/>
  <c r="U13" i="36"/>
  <c r="S11" i="35"/>
  <c r="AA11" i="35"/>
  <c r="AB45" i="33"/>
  <c r="U45" i="33"/>
  <c r="AC26" i="35"/>
  <c r="W35" i="34"/>
  <c r="AB20" i="35"/>
  <c r="U43" i="39"/>
  <c r="AR8" i="1"/>
  <c r="T8" i="1"/>
  <c r="D121" i="9"/>
  <c r="D7" i="52" s="1"/>
  <c r="D6" i="52"/>
  <c r="W15" i="21"/>
  <c r="AC15" i="21"/>
  <c r="U25" i="33"/>
  <c r="AB25" i="33"/>
  <c r="S9" i="35"/>
  <c r="AA9" i="35"/>
  <c r="S34" i="33"/>
  <c r="AA34" i="33"/>
  <c r="AB19" i="37"/>
  <c r="U19" i="37"/>
  <c r="W25" i="35"/>
  <c r="AC25" i="35"/>
  <c r="AC40" i="37"/>
  <c r="W40" i="37"/>
  <c r="AB30" i="21"/>
  <c r="U30" i="21"/>
  <c r="AB28" i="21"/>
  <c r="U28" i="21"/>
  <c r="AC29" i="21"/>
  <c r="W29" i="21"/>
  <c r="AA19" i="21"/>
  <c r="S19" i="21"/>
  <c r="AC8" i="34"/>
  <c r="W8" i="34"/>
  <c r="S8" i="37"/>
  <c r="AA8" i="37"/>
  <c r="AB35" i="39"/>
  <c r="U35" i="39"/>
  <c r="I102" i="43"/>
  <c r="I103" i="43"/>
  <c r="I104" i="43"/>
  <c r="I107" i="43"/>
  <c r="L109" i="43"/>
  <c r="L102" i="43"/>
  <c r="L104" i="43"/>
  <c r="L103" i="43"/>
  <c r="L105" i="43"/>
  <c r="S11" i="34"/>
  <c r="AA11" i="34"/>
  <c r="AA32" i="37"/>
  <c r="S32" i="37"/>
  <c r="U27" i="40"/>
  <c r="AB27" i="40"/>
  <c r="U20" i="36"/>
  <c r="AB20" i="36"/>
  <c r="W12" i="37"/>
  <c r="AC12" i="37"/>
  <c r="AZ537" i="3"/>
  <c r="AB14" i="40"/>
  <c r="U14" i="40"/>
  <c r="AB25" i="36"/>
  <c r="U25" i="36"/>
  <c r="AB46" i="34"/>
  <c r="U46" i="34"/>
  <c r="AA41" i="33"/>
  <c r="S41" i="33"/>
  <c r="W12" i="33"/>
  <c r="AC12" i="33"/>
  <c r="J29" i="33"/>
  <c r="F29" i="33"/>
  <c r="H29" i="33"/>
  <c r="J45" i="33"/>
  <c r="F45" i="33"/>
  <c r="J14" i="34"/>
  <c r="H14" i="34"/>
  <c r="F14" i="34"/>
  <c r="J32" i="34"/>
  <c r="H32" i="34"/>
  <c r="F32" i="34"/>
  <c r="H12" i="35"/>
  <c r="J12" i="35"/>
  <c r="F12" i="35"/>
  <c r="O8" i="1"/>
  <c r="P8" i="1" s="1"/>
  <c r="BL14" i="3"/>
  <c r="BP5" i="3"/>
  <c r="G29" i="6" s="1"/>
  <c r="G30" i="6" s="1"/>
  <c r="G31" i="6" s="1"/>
  <c r="BM5" i="3"/>
  <c r="F29" i="6" s="1"/>
  <c r="BL17" i="3"/>
  <c r="AZ17" i="3" s="1"/>
  <c r="AC5" i="3"/>
  <c r="BQ5" i="3"/>
  <c r="F28" i="6" s="1"/>
  <c r="BA431" i="3"/>
  <c r="AZ431" i="3" s="1"/>
  <c r="BB5" i="3"/>
  <c r="E8" i="6" s="1"/>
  <c r="E56" i="39" s="1"/>
  <c r="O12" i="1"/>
  <c r="P12" i="1" s="1"/>
  <c r="AA30" i="40"/>
  <c r="S30" i="40"/>
  <c r="AC10" i="36"/>
  <c r="W10" i="36"/>
  <c r="W13" i="37"/>
  <c r="AC13" i="37"/>
  <c r="W32" i="36"/>
  <c r="AC32" i="36"/>
  <c r="S13" i="33"/>
  <c r="AA13" i="33"/>
  <c r="W28" i="33"/>
  <c r="AC28" i="33"/>
  <c r="AB36" i="35"/>
  <c r="U36" i="35"/>
  <c r="T35" i="4"/>
  <c r="A19" i="51"/>
  <c r="B14" i="72" s="1"/>
  <c r="G401" i="3"/>
  <c r="H5" i="3"/>
  <c r="AC35" i="33"/>
  <c r="AA32" i="39"/>
  <c r="C48" i="11"/>
  <c r="C30" i="11"/>
  <c r="AB33" i="21"/>
  <c r="U33" i="21"/>
  <c r="Q16" i="1"/>
  <c r="H16" i="1"/>
  <c r="C69" i="39"/>
  <c r="D67" i="39"/>
  <c r="D69" i="39" s="1"/>
  <c r="AA11" i="37"/>
  <c r="S11" i="37"/>
  <c r="S26" i="35"/>
  <c r="AA26" i="35"/>
  <c r="C106" i="43"/>
  <c r="C109" i="43"/>
  <c r="AA43" i="34"/>
  <c r="S43" i="34"/>
  <c r="S33" i="34"/>
  <c r="AA33" i="34"/>
  <c r="S47" i="34"/>
  <c r="AA47" i="34"/>
  <c r="AB30" i="34"/>
  <c r="U30" i="34"/>
  <c r="AA46" i="21"/>
  <c r="S46" i="21"/>
  <c r="U42" i="21"/>
  <c r="AB42" i="21"/>
  <c r="BL585" i="3"/>
  <c r="BA585" i="3"/>
  <c r="AZ585" i="3" s="1"/>
  <c r="W12" i="34"/>
  <c r="AC12" i="34"/>
  <c r="U34" i="35"/>
  <c r="AB34" i="35"/>
  <c r="J36" i="35"/>
  <c r="S38" i="40"/>
  <c r="AA38" i="40"/>
  <c r="C30" i="68"/>
  <c r="H103" i="43"/>
  <c r="AB33" i="34"/>
  <c r="D9" i="11"/>
  <c r="C9" i="11" s="1"/>
  <c r="D19" i="12"/>
  <c r="C19" i="12" s="1"/>
  <c r="S20" i="35"/>
  <c r="M18" i="67"/>
  <c r="F28" i="15"/>
  <c r="C28" i="15" s="1"/>
  <c r="AZ14" i="3"/>
  <c r="J104" i="43"/>
  <c r="J106" i="43"/>
  <c r="P9" i="1"/>
  <c r="F27" i="6"/>
  <c r="AZ321" i="3"/>
  <c r="AB41" i="39"/>
  <c r="U41" i="39"/>
  <c r="AB12" i="37"/>
  <c r="U12" i="37"/>
  <c r="AB42" i="33"/>
  <c r="U42" i="33"/>
  <c r="AZ505" i="3"/>
  <c r="AZ555" i="3"/>
  <c r="AZ508" i="3"/>
  <c r="AZ520" i="3"/>
  <c r="AZ554" i="3"/>
  <c r="AZ584" i="3"/>
  <c r="U37" i="37"/>
  <c r="AB37" i="37"/>
  <c r="U11" i="36"/>
  <c r="AB11" i="36"/>
  <c r="AB11" i="35"/>
  <c r="U11" i="35"/>
  <c r="U44" i="21"/>
  <c r="AB44" i="21"/>
  <c r="W34" i="36"/>
  <c r="AC34" i="36"/>
  <c r="W11" i="40"/>
  <c r="AC11" i="40"/>
  <c r="U11" i="21"/>
  <c r="AB11" i="21"/>
  <c r="AA21" i="40"/>
  <c r="S21" i="40"/>
  <c r="AB17" i="39"/>
  <c r="U17" i="39"/>
  <c r="AB36" i="39"/>
  <c r="U36" i="39"/>
  <c r="AB43" i="21"/>
  <c r="U43" i="21"/>
  <c r="BA587" i="3"/>
  <c r="BA586" i="3"/>
  <c r="AZ586" i="3" s="1"/>
  <c r="H31" i="21"/>
  <c r="J31" i="21"/>
  <c r="AA42" i="21"/>
  <c r="S42" i="21"/>
  <c r="B81" i="43"/>
  <c r="C15" i="40"/>
  <c r="W40" i="33"/>
  <c r="AC40" i="33"/>
  <c r="AC9" i="34"/>
  <c r="W9" i="34"/>
  <c r="J23" i="35"/>
  <c r="F23" i="35"/>
  <c r="H23" i="35"/>
  <c r="AC23" i="36"/>
  <c r="W23" i="36"/>
  <c r="AC28" i="36"/>
  <c r="W28" i="36"/>
  <c r="H12" i="36"/>
  <c r="J12" i="36"/>
  <c r="H28" i="37"/>
  <c r="J28" i="37"/>
  <c r="W9" i="40"/>
  <c r="AC9" i="40"/>
  <c r="BA577" i="3"/>
  <c r="AZ577" i="3" s="1"/>
  <c r="BA576" i="3"/>
  <c r="AZ576" i="3" s="1"/>
  <c r="BA575" i="3"/>
  <c r="AZ575" i="3" s="1"/>
  <c r="BL573" i="3"/>
  <c r="AZ573" i="3" s="1"/>
  <c r="BL572" i="3"/>
  <c r="BA572" i="3"/>
  <c r="BL571" i="3"/>
  <c r="BA571" i="3"/>
  <c r="BL570" i="3"/>
  <c r="BA570" i="3"/>
  <c r="BL568" i="3"/>
  <c r="BA568" i="3"/>
  <c r="BA567" i="3"/>
  <c r="AZ567" i="3" s="1"/>
  <c r="BL566" i="3"/>
  <c r="BA565" i="3"/>
  <c r="AZ565" i="3" s="1"/>
  <c r="BA564" i="3"/>
  <c r="AZ564" i="3" s="1"/>
  <c r="BL563" i="3"/>
  <c r="AZ563" i="3" s="1"/>
  <c r="BA562" i="3"/>
  <c r="AZ562" i="3" s="1"/>
  <c r="G102" i="43"/>
  <c r="S39" i="34"/>
  <c r="AA39" i="34"/>
  <c r="H62" i="43"/>
  <c r="H64" i="43"/>
  <c r="AB19" i="34"/>
  <c r="U19" i="34"/>
  <c r="AZ517" i="3"/>
  <c r="AZ534" i="3"/>
  <c r="AZ566" i="3"/>
  <c r="AA17" i="21"/>
  <c r="S17" i="21"/>
  <c r="S25" i="36"/>
  <c r="AA25" i="36"/>
  <c r="U13" i="35"/>
  <c r="AB13" i="35"/>
  <c r="S14" i="33"/>
  <c r="AA14" i="33"/>
  <c r="U28" i="36"/>
  <c r="AB28" i="36"/>
  <c r="AC14" i="36"/>
  <c r="W14" i="36"/>
  <c r="AB33" i="37"/>
  <c r="U33" i="37"/>
  <c r="AC27" i="39"/>
  <c r="W27" i="39"/>
  <c r="S45" i="39"/>
  <c r="AA45" i="39"/>
  <c r="AA35" i="21"/>
  <c r="S35" i="21"/>
  <c r="AA34" i="21"/>
  <c r="S34" i="21"/>
  <c r="W45" i="21"/>
  <c r="AC45" i="21"/>
  <c r="S40" i="21"/>
  <c r="AA40" i="21"/>
  <c r="F27" i="33"/>
  <c r="H27" i="33"/>
  <c r="W14" i="35"/>
  <c r="AC14" i="35"/>
  <c r="F25" i="35"/>
  <c r="H25" i="35"/>
  <c r="AB14" i="37"/>
  <c r="U14" i="37"/>
  <c r="J26" i="37"/>
  <c r="F26" i="37"/>
  <c r="H26" i="37"/>
  <c r="AC39" i="37"/>
  <c r="W39" i="37"/>
  <c r="AC41" i="21"/>
  <c r="W41" i="21"/>
  <c r="AC38" i="34"/>
  <c r="W38" i="34"/>
  <c r="BA553" i="3"/>
  <c r="AZ553" i="3" s="1"/>
  <c r="BL552" i="3"/>
  <c r="AZ552" i="3" s="1"/>
  <c r="BA523" i="3"/>
  <c r="AZ523" i="3" s="1"/>
  <c r="BL522" i="3"/>
  <c r="BA522" i="3"/>
  <c r="AZ522" i="3" s="1"/>
  <c r="BL521" i="3"/>
  <c r="BA521" i="3"/>
  <c r="AZ521" i="3" s="1"/>
  <c r="BA519" i="3"/>
  <c r="AZ519" i="3" s="1"/>
  <c r="BL518" i="3"/>
  <c r="BA518" i="3"/>
  <c r="BA516" i="3"/>
  <c r="AZ516" i="3" s="1"/>
  <c r="BL515" i="3"/>
  <c r="BA515" i="3"/>
  <c r="AZ515" i="3" s="1"/>
  <c r="BL513" i="3"/>
  <c r="BA513" i="3"/>
  <c r="AZ513" i="3" s="1"/>
  <c r="BL512" i="3"/>
  <c r="BA512" i="3"/>
  <c r="AZ512" i="3" s="1"/>
  <c r="BL510" i="3"/>
  <c r="AZ510" i="3" s="1"/>
  <c r="BL509" i="3"/>
  <c r="BA509" i="3"/>
  <c r="BA507" i="3"/>
  <c r="AZ507" i="3" s="1"/>
  <c r="BL506" i="3"/>
  <c r="BA506" i="3"/>
  <c r="AZ506" i="3" s="1"/>
  <c r="BL504" i="3"/>
  <c r="BA504" i="3"/>
  <c r="AZ504" i="3" s="1"/>
  <c r="BL503" i="3"/>
  <c r="BA503" i="3"/>
  <c r="AZ503" i="3" s="1"/>
  <c r="BA502" i="3"/>
  <c r="AZ502" i="3" s="1"/>
  <c r="BL501" i="3"/>
  <c r="BA501" i="3"/>
  <c r="BA500" i="3"/>
  <c r="AZ500" i="3" s="1"/>
  <c r="BL499" i="3"/>
  <c r="AZ499" i="3" s="1"/>
  <c r="BL498" i="3"/>
  <c r="AZ498" i="3" s="1"/>
  <c r="BL497" i="3"/>
  <c r="BA497" i="3"/>
  <c r="BL496" i="3"/>
  <c r="AZ496" i="3" s="1"/>
  <c r="BA495" i="3"/>
  <c r="AZ495" i="3" s="1"/>
  <c r="BL494" i="3"/>
  <c r="BA494" i="3"/>
  <c r="BL493" i="3"/>
  <c r="AZ493" i="3" s="1"/>
  <c r="H81" i="43"/>
  <c r="C31" i="12"/>
  <c r="W14" i="37"/>
  <c r="AZ583" i="3"/>
  <c r="AZ536" i="3"/>
  <c r="AZ548" i="3"/>
  <c r="G587" i="3"/>
  <c r="BL587" i="3"/>
  <c r="J34" i="35"/>
  <c r="F34" i="35"/>
  <c r="H40" i="40"/>
  <c r="J40" i="40"/>
  <c r="W31" i="35"/>
  <c r="AC31" i="35"/>
  <c r="BL584" i="3"/>
  <c r="BA560" i="3"/>
  <c r="AZ560" i="3" s="1"/>
  <c r="BA559" i="3"/>
  <c r="AZ559" i="3" s="1"/>
  <c r="BA557" i="3"/>
  <c r="AZ557" i="3" s="1"/>
  <c r="AZ544" i="3"/>
  <c r="F12" i="21"/>
  <c r="J12" i="21"/>
  <c r="F9" i="34"/>
  <c r="G398" i="3"/>
  <c r="BL403" i="3"/>
  <c r="AZ403" i="3" s="1"/>
  <c r="BA408" i="3"/>
  <c r="AZ408" i="3" s="1"/>
  <c r="AZ409" i="3"/>
  <c r="BA411" i="3"/>
  <c r="AZ411" i="3" s="1"/>
  <c r="AZ413" i="3"/>
  <c r="BA417" i="3"/>
  <c r="AZ417" i="3" s="1"/>
  <c r="AZ419" i="3"/>
  <c r="AZ420" i="3"/>
  <c r="AZ424" i="3"/>
  <c r="BA428" i="3"/>
  <c r="AZ428" i="3" s="1"/>
  <c r="BA429" i="3"/>
  <c r="AZ429" i="3" s="1"/>
  <c r="AZ430" i="3"/>
  <c r="BA432" i="3"/>
  <c r="AZ432" i="3" s="1"/>
  <c r="BA434" i="3"/>
  <c r="AZ434" i="3" s="1"/>
  <c r="AZ453" i="3"/>
  <c r="AZ458" i="3"/>
  <c r="AZ459" i="3"/>
  <c r="AZ489" i="3"/>
  <c r="BL16" i="3"/>
  <c r="AZ16" i="3" s="1"/>
  <c r="AZ399" i="3"/>
  <c r="AZ422" i="3"/>
  <c r="G429" i="3"/>
  <c r="AZ476" i="3"/>
  <c r="AZ217" i="3"/>
  <c r="J9" i="33"/>
  <c r="F9" i="33"/>
  <c r="H39" i="40"/>
  <c r="BL15" i="3"/>
  <c r="AZ15" i="3" s="1"/>
  <c r="AZ400" i="3"/>
  <c r="BL404" i="3"/>
  <c r="AZ404" i="3" s="1"/>
  <c r="AZ414" i="3"/>
  <c r="BA415" i="3"/>
  <c r="AZ415" i="3" s="1"/>
  <c r="AZ416" i="3"/>
  <c r="AZ418" i="3"/>
  <c r="AZ421" i="3"/>
  <c r="AZ423" i="3"/>
  <c r="AZ425" i="3"/>
  <c r="BA426" i="3"/>
  <c r="AZ426" i="3" s="1"/>
  <c r="BA435" i="3"/>
  <c r="AZ435" i="3" s="1"/>
  <c r="AZ460" i="3"/>
  <c r="AZ484" i="3"/>
  <c r="AZ212" i="3"/>
  <c r="AZ270" i="3"/>
  <c r="BL466" i="3"/>
  <c r="BL467" i="3"/>
  <c r="G468" i="3"/>
  <c r="G473" i="3"/>
  <c r="BL473" i="3"/>
  <c r="AZ473" i="3" s="1"/>
  <c r="BL474" i="3"/>
  <c r="G475" i="3"/>
  <c r="BL478" i="3"/>
  <c r="BA481" i="3"/>
  <c r="BA482" i="3"/>
  <c r="AZ482" i="3" s="1"/>
  <c r="BA486" i="3"/>
  <c r="BL491" i="3"/>
  <c r="AZ491" i="3" s="1"/>
  <c r="BA307" i="3"/>
  <c r="AZ307" i="3" s="1"/>
  <c r="BL314" i="3"/>
  <c r="AZ314" i="3" s="1"/>
  <c r="BL317" i="3"/>
  <c r="AZ317" i="3" s="1"/>
  <c r="BL328" i="3"/>
  <c r="AZ328" i="3" s="1"/>
  <c r="BA332" i="3"/>
  <c r="AZ332" i="3" s="1"/>
  <c r="BL354" i="3"/>
  <c r="AZ354" i="3" s="1"/>
  <c r="G374" i="3"/>
  <c r="BL385" i="3"/>
  <c r="G395" i="3"/>
  <c r="BA210" i="3"/>
  <c r="AZ210" i="3" s="1"/>
  <c r="BA230" i="3"/>
  <c r="AZ230" i="3" s="1"/>
  <c r="BL238" i="3"/>
  <c r="AZ238" i="3" s="1"/>
  <c r="G240" i="3"/>
  <c r="BL246" i="3"/>
  <c r="AZ246" i="3" s="1"/>
  <c r="G248" i="3"/>
  <c r="BL261" i="3"/>
  <c r="AZ261" i="3" s="1"/>
  <c r="BL263" i="3"/>
  <c r="AZ263" i="3" s="1"/>
  <c r="G265" i="3"/>
  <c r="BL276" i="3"/>
  <c r="G278" i="3"/>
  <c r="BL284" i="3"/>
  <c r="G286" i="3"/>
  <c r="AZ298" i="3"/>
  <c r="BA302" i="3"/>
  <c r="AZ302" i="3" s="1"/>
  <c r="BL118" i="3"/>
  <c r="AZ125" i="3"/>
  <c r="AZ466" i="3"/>
  <c r="AZ478" i="3"/>
  <c r="AZ236" i="3"/>
  <c r="AZ274" i="3"/>
  <c r="AZ276" i="3"/>
  <c r="AZ284" i="3"/>
  <c r="AZ118" i="3"/>
  <c r="M100" i="43"/>
  <c r="M108" i="43"/>
  <c r="M109" i="43" s="1"/>
  <c r="I108" i="43"/>
  <c r="I109" i="43" s="1"/>
  <c r="I100" i="43"/>
  <c r="E100" i="43"/>
  <c r="E108" i="43"/>
  <c r="W18" i="36"/>
  <c r="AC18" i="36"/>
  <c r="U25" i="40"/>
  <c r="AB25" i="40"/>
  <c r="E24" i="71"/>
  <c r="E23" i="71" s="1"/>
  <c r="V25" i="71"/>
  <c r="D25" i="71"/>
  <c r="U25" i="71" s="1"/>
  <c r="C24" i="71"/>
  <c r="T25" i="71"/>
  <c r="AB22" i="71"/>
  <c r="AB23" i="71"/>
  <c r="AB24" i="71"/>
  <c r="AB14" i="71"/>
  <c r="P13" i="1"/>
  <c r="BA467" i="3"/>
  <c r="BA468" i="3"/>
  <c r="AZ468" i="3" s="1"/>
  <c r="BA474" i="3"/>
  <c r="AZ474" i="3" s="1"/>
  <c r="BA475" i="3"/>
  <c r="AZ475" i="3" s="1"/>
  <c r="BA479" i="3"/>
  <c r="AZ479" i="3" s="1"/>
  <c r="BL481" i="3"/>
  <c r="G483" i="3"/>
  <c r="BL485" i="3"/>
  <c r="AZ485" i="3" s="1"/>
  <c r="G487" i="3"/>
  <c r="BA490" i="3"/>
  <c r="AZ490" i="3" s="1"/>
  <c r="BA492" i="3"/>
  <c r="AZ492" i="3" s="1"/>
  <c r="BL312" i="3"/>
  <c r="AZ312" i="3" s="1"/>
  <c r="BA316" i="3"/>
  <c r="AZ316" i="3" s="1"/>
  <c r="BA323" i="3"/>
  <c r="AZ323" i="3" s="1"/>
  <c r="BL330" i="3"/>
  <c r="AZ330" i="3" s="1"/>
  <c r="BL333" i="3"/>
  <c r="G347" i="3"/>
  <c r="BL367" i="3"/>
  <c r="AZ367" i="3" s="1"/>
  <c r="BL368" i="3"/>
  <c r="AZ385" i="3"/>
  <c r="BA208" i="3"/>
  <c r="AZ208" i="3" s="1"/>
  <c r="BA219" i="3"/>
  <c r="AZ219" i="3" s="1"/>
  <c r="AZ221" i="3"/>
  <c r="G233" i="3"/>
  <c r="BL258" i="3"/>
  <c r="AZ258" i="3" s="1"/>
  <c r="BL290" i="3"/>
  <c r="AZ121" i="3"/>
  <c r="BA140" i="3"/>
  <c r="AZ140" i="3" s="1"/>
  <c r="BA157" i="3"/>
  <c r="AZ157" i="3" s="1"/>
  <c r="BL163" i="3"/>
  <c r="AZ163" i="3" s="1"/>
  <c r="BL470" i="3"/>
  <c r="AZ470" i="3" s="1"/>
  <c r="BL471" i="3"/>
  <c r="AZ471" i="3" s="1"/>
  <c r="G472" i="3"/>
  <c r="BL477" i="3"/>
  <c r="AZ477" i="3" s="1"/>
  <c r="G479" i="3"/>
  <c r="BL482" i="3"/>
  <c r="BL486" i="3"/>
  <c r="BL489" i="3"/>
  <c r="G311" i="3"/>
  <c r="G315" i="3"/>
  <c r="G318" i="3"/>
  <c r="G329" i="3"/>
  <c r="BA333" i="3"/>
  <c r="AZ333" i="3" s="1"/>
  <c r="G362" i="3"/>
  <c r="BA368" i="3"/>
  <c r="BL375" i="3"/>
  <c r="AZ375" i="3" s="1"/>
  <c r="BA384" i="3"/>
  <c r="AZ384" i="3" s="1"/>
  <c r="BA222" i="3"/>
  <c r="AZ222" i="3" s="1"/>
  <c r="BA242" i="3"/>
  <c r="AZ242" i="3" s="1"/>
  <c r="BA251" i="3"/>
  <c r="AZ251" i="3" s="1"/>
  <c r="AZ267" i="3"/>
  <c r="AZ272" i="3"/>
  <c r="AZ289" i="3"/>
  <c r="AZ290" i="3"/>
  <c r="AZ292" i="3"/>
  <c r="AZ294" i="3"/>
  <c r="AZ113" i="3"/>
  <c r="BL348" i="3"/>
  <c r="AZ348" i="3" s="1"/>
  <c r="BA358" i="3"/>
  <c r="AZ358" i="3" s="1"/>
  <c r="G369" i="3"/>
  <c r="BA388" i="3"/>
  <c r="AZ388" i="3" s="1"/>
  <c r="BA395" i="3"/>
  <c r="AZ395" i="3" s="1"/>
  <c r="BA397" i="3"/>
  <c r="AZ397" i="3" s="1"/>
  <c r="BL210" i="3"/>
  <c r="BA213" i="3"/>
  <c r="BL215" i="3"/>
  <c r="AZ215" i="3" s="1"/>
  <c r="BA218" i="3"/>
  <c r="AZ218" i="3" s="1"/>
  <c r="BA229" i="3"/>
  <c r="BA234" i="3"/>
  <c r="BL236" i="3"/>
  <c r="BA241" i="3"/>
  <c r="AZ241" i="3" s="1"/>
  <c r="BL244" i="3"/>
  <c r="AZ244" i="3" s="1"/>
  <c r="BA249" i="3"/>
  <c r="AZ249" i="3" s="1"/>
  <c r="BL251" i="3"/>
  <c r="BL253" i="3"/>
  <c r="AZ253" i="3" s="1"/>
  <c r="BL256" i="3"/>
  <c r="AZ256" i="3" s="1"/>
  <c r="BA259" i="3"/>
  <c r="AZ259" i="3" s="1"/>
  <c r="G262" i="3"/>
  <c r="BA266" i="3"/>
  <c r="AZ266" i="3" s="1"/>
  <c r="BA271" i="3"/>
  <c r="AZ271" i="3" s="1"/>
  <c r="BL274" i="3"/>
  <c r="BA278" i="3"/>
  <c r="AZ278" i="3" s="1"/>
  <c r="BL282" i="3"/>
  <c r="AZ282" i="3" s="1"/>
  <c r="BA287" i="3"/>
  <c r="BL289" i="3"/>
  <c r="G291" i="3"/>
  <c r="BA293" i="3"/>
  <c r="AZ293" i="3" s="1"/>
  <c r="BL297" i="3"/>
  <c r="AZ297" i="3" s="1"/>
  <c r="G299" i="3"/>
  <c r="BA301" i="3"/>
  <c r="BL115" i="3"/>
  <c r="AZ115" i="3" s="1"/>
  <c r="BA120" i="3"/>
  <c r="AZ120" i="3" s="1"/>
  <c r="BA122" i="3"/>
  <c r="BA124" i="3"/>
  <c r="AZ124" i="3" s="1"/>
  <c r="G126" i="3"/>
  <c r="G128" i="3"/>
  <c r="BA132" i="3"/>
  <c r="AZ132" i="3" s="1"/>
  <c r="BA134" i="3"/>
  <c r="AZ134" i="3" s="1"/>
  <c r="BA137" i="3"/>
  <c r="AZ137" i="3" s="1"/>
  <c r="BL143" i="3"/>
  <c r="AZ143" i="3" s="1"/>
  <c r="BL146" i="3"/>
  <c r="AZ146" i="3" s="1"/>
  <c r="G150" i="3"/>
  <c r="G155" i="3"/>
  <c r="BL161" i="3"/>
  <c r="AZ161" i="3" s="1"/>
  <c r="G164" i="3"/>
  <c r="BL167" i="3"/>
  <c r="AZ167" i="3" s="1"/>
  <c r="BA177" i="3"/>
  <c r="BA181" i="3"/>
  <c r="AZ49" i="3"/>
  <c r="AZ62" i="3"/>
  <c r="AZ73" i="3"/>
  <c r="AZ99" i="3"/>
  <c r="X5" i="71"/>
  <c r="AA5" i="71"/>
  <c r="Y5" i="71"/>
  <c r="Z5" i="71" s="1"/>
  <c r="AB5" i="71"/>
  <c r="AC21" i="21"/>
  <c r="W21" i="21"/>
  <c r="W21" i="34"/>
  <c r="AC21" i="34"/>
  <c r="C61" i="71"/>
  <c r="D60" i="71"/>
  <c r="N64" i="71"/>
  <c r="B63" i="71"/>
  <c r="BA339" i="3"/>
  <c r="AZ339" i="3" s="1"/>
  <c r="BA352" i="3"/>
  <c r="AZ352" i="3" s="1"/>
  <c r="BL363" i="3"/>
  <c r="AZ363" i="3" s="1"/>
  <c r="G378" i="3"/>
  <c r="G392" i="3"/>
  <c r="BL397" i="3"/>
  <c r="BL209" i="3"/>
  <c r="AZ209" i="3" s="1"/>
  <c r="G211" i="3"/>
  <c r="BL213" i="3"/>
  <c r="G216" i="3"/>
  <c r="BL218" i="3"/>
  <c r="BL223" i="3"/>
  <c r="AZ223" i="3" s="1"/>
  <c r="BL226" i="3"/>
  <c r="AZ226" i="3" s="1"/>
  <c r="BL229" i="3"/>
  <c r="BA232" i="3"/>
  <c r="AZ232" i="3" s="1"/>
  <c r="BL234" i="3"/>
  <c r="BA237" i="3"/>
  <c r="AZ237" i="3" s="1"/>
  <c r="BA239" i="3"/>
  <c r="AZ239" i="3" s="1"/>
  <c r="BL241" i="3"/>
  <c r="BL243" i="3"/>
  <c r="AZ243" i="3" s="1"/>
  <c r="G245" i="3"/>
  <c r="BA247" i="3"/>
  <c r="AZ247" i="3" s="1"/>
  <c r="BL249" i="3"/>
  <c r="G252" i="3"/>
  <c r="BA254" i="3"/>
  <c r="AZ254" i="3" s="1"/>
  <c r="G257" i="3"/>
  <c r="BA262" i="3"/>
  <c r="AZ262" i="3" s="1"/>
  <c r="BA264" i="3"/>
  <c r="AZ264" i="3" s="1"/>
  <c r="BL266" i="3"/>
  <c r="BL268" i="3"/>
  <c r="AZ268" i="3" s="1"/>
  <c r="BL271" i="3"/>
  <c r="BL273" i="3"/>
  <c r="AZ273" i="3" s="1"/>
  <c r="G275" i="3"/>
  <c r="BA277" i="3"/>
  <c r="AZ277" i="3" s="1"/>
  <c r="BL281" i="3"/>
  <c r="AZ281" i="3" s="1"/>
  <c r="G283" i="3"/>
  <c r="BA285" i="3"/>
  <c r="AZ285" i="3" s="1"/>
  <c r="BL287" i="3"/>
  <c r="BL293" i="3"/>
  <c r="BL295" i="3"/>
  <c r="AZ295" i="3" s="1"/>
  <c r="BL301" i="3"/>
  <c r="BL113" i="3"/>
  <c r="G116" i="3"/>
  <c r="G5" i="3" s="1"/>
  <c r="B3" i="3" s="1"/>
  <c r="BL122" i="3"/>
  <c r="BA126" i="3"/>
  <c r="AZ126" i="3" s="1"/>
  <c r="BA129" i="3"/>
  <c r="AZ129" i="3" s="1"/>
  <c r="BA133" i="3"/>
  <c r="AZ133" i="3" s="1"/>
  <c r="BL141" i="3"/>
  <c r="AZ141" i="3" s="1"/>
  <c r="G144" i="3"/>
  <c r="BA148" i="3"/>
  <c r="AZ148" i="3" s="1"/>
  <c r="BL155" i="3"/>
  <c r="AZ155" i="3" s="1"/>
  <c r="BL158" i="3"/>
  <c r="AZ158" i="3" s="1"/>
  <c r="BA162" i="3"/>
  <c r="AZ162" i="3" s="1"/>
  <c r="BA166" i="3"/>
  <c r="AZ166" i="3" s="1"/>
  <c r="BA168" i="3"/>
  <c r="AZ168" i="3" s="1"/>
  <c r="BL177" i="3"/>
  <c r="BL187" i="3"/>
  <c r="AZ187" i="3" s="1"/>
  <c r="AZ54" i="3"/>
  <c r="AZ70" i="3"/>
  <c r="BA174" i="3"/>
  <c r="AZ174" i="3" s="1"/>
  <c r="G178" i="3"/>
  <c r="BL183" i="3"/>
  <c r="AZ183" i="3" s="1"/>
  <c r="G190" i="3"/>
  <c r="AZ207" i="3"/>
  <c r="AZ91" i="3"/>
  <c r="AZ95" i="3"/>
  <c r="BL181" i="3"/>
  <c r="AZ22" i="3"/>
  <c r="AZ57" i="3"/>
  <c r="AZ64" i="3"/>
  <c r="AZ68" i="3"/>
  <c r="AZ76" i="3"/>
  <c r="AZ96" i="3"/>
  <c r="AZ112" i="3"/>
  <c r="BL186" i="3"/>
  <c r="AZ186" i="3" s="1"/>
  <c r="BA194" i="3"/>
  <c r="AZ194" i="3" s="1"/>
  <c r="BL198" i="3"/>
  <c r="AZ198" i="3" s="1"/>
  <c r="BL201" i="3"/>
  <c r="AZ201" i="3" s="1"/>
  <c r="BA205" i="3"/>
  <c r="AZ205" i="3" s="1"/>
  <c r="BA206" i="3"/>
  <c r="AZ206" i="3" s="1"/>
  <c r="BA23" i="3"/>
  <c r="BA24" i="3"/>
  <c r="AZ24" i="3" s="1"/>
  <c r="BL26" i="3"/>
  <c r="AZ26" i="3" s="1"/>
  <c r="BL32" i="3"/>
  <c r="AZ32" i="3" s="1"/>
  <c r="BA34" i="3"/>
  <c r="AZ34" i="3" s="1"/>
  <c r="BA35" i="3"/>
  <c r="AZ35" i="3" s="1"/>
  <c r="BL37" i="3"/>
  <c r="AZ37" i="3" s="1"/>
  <c r="BL42" i="3"/>
  <c r="AZ42" i="3" s="1"/>
  <c r="BA44" i="3"/>
  <c r="AZ44" i="3" s="1"/>
  <c r="BA45" i="3"/>
  <c r="AZ45" i="3" s="1"/>
  <c r="BL47" i="3"/>
  <c r="AZ47" i="3" s="1"/>
  <c r="BL51" i="3"/>
  <c r="AZ51" i="3" s="1"/>
  <c r="BL65" i="3"/>
  <c r="AZ65" i="3" s="1"/>
  <c r="BL70" i="3"/>
  <c r="BL76" i="3"/>
  <c r="BA78" i="3"/>
  <c r="AZ78" i="3" s="1"/>
  <c r="BA79" i="3"/>
  <c r="AZ79" i="3" s="1"/>
  <c r="BA80" i="3"/>
  <c r="AZ80" i="3" s="1"/>
  <c r="BL82" i="3"/>
  <c r="AZ82" i="3" s="1"/>
  <c r="BL86" i="3"/>
  <c r="AZ86" i="3" s="1"/>
  <c r="BL92" i="3"/>
  <c r="AZ92" i="3" s="1"/>
  <c r="BL96" i="3"/>
  <c r="BA98" i="3"/>
  <c r="AZ98" i="3" s="1"/>
  <c r="BA104" i="3"/>
  <c r="AZ104" i="3" s="1"/>
  <c r="BA105" i="3"/>
  <c r="AZ105" i="3" s="1"/>
  <c r="BL107" i="3"/>
  <c r="AZ107" i="3" s="1"/>
  <c r="Y29" i="71"/>
  <c r="Z29" i="71" s="1"/>
  <c r="Y27" i="71"/>
  <c r="Z27" i="71" s="1"/>
  <c r="X29" i="71"/>
  <c r="X28" i="71"/>
  <c r="X30" i="71"/>
  <c r="X31" i="71"/>
  <c r="X27" i="71"/>
  <c r="BA188" i="3"/>
  <c r="AZ188" i="3" s="1"/>
  <c r="G195" i="3"/>
  <c r="BL197" i="3"/>
  <c r="AZ197" i="3" s="1"/>
  <c r="BA204" i="3"/>
  <c r="AZ204" i="3" s="1"/>
  <c r="BL207" i="3"/>
  <c r="BL25" i="3"/>
  <c r="AZ25" i="3" s="1"/>
  <c r="BA27" i="3"/>
  <c r="AZ27" i="3" s="1"/>
  <c r="BA28" i="3"/>
  <c r="AZ28" i="3" s="1"/>
  <c r="BA29" i="3"/>
  <c r="AZ29" i="3" s="1"/>
  <c r="BL31" i="3"/>
  <c r="AZ31" i="3" s="1"/>
  <c r="BL36" i="3"/>
  <c r="AZ36" i="3" s="1"/>
  <c r="BA38" i="3"/>
  <c r="AZ38" i="3" s="1"/>
  <c r="BA39" i="3"/>
  <c r="AZ39" i="3" s="1"/>
  <c r="BL41" i="3"/>
  <c r="AZ41" i="3" s="1"/>
  <c r="BL46" i="3"/>
  <c r="AZ46" i="3" s="1"/>
  <c r="BA48" i="3"/>
  <c r="AZ48" i="3" s="1"/>
  <c r="BL50" i="3"/>
  <c r="AZ50" i="3" s="1"/>
  <c r="BA52" i="3"/>
  <c r="AZ52" i="3" s="1"/>
  <c r="BA53" i="3"/>
  <c r="AZ53" i="3" s="1"/>
  <c r="BL55" i="3"/>
  <c r="AZ55" i="3" s="1"/>
  <c r="BL59" i="3"/>
  <c r="AZ59" i="3" s="1"/>
  <c r="BL81" i="3"/>
  <c r="AZ81" i="3" s="1"/>
  <c r="BL85" i="3"/>
  <c r="AZ85" i="3" s="1"/>
  <c r="BA87" i="3"/>
  <c r="AZ87" i="3" s="1"/>
  <c r="BA88" i="3"/>
  <c r="AZ88" i="3" s="1"/>
  <c r="BA89" i="3"/>
  <c r="AZ89" i="3" s="1"/>
  <c r="BL99" i="3"/>
  <c r="BL106" i="3"/>
  <c r="AZ106" i="3" s="1"/>
  <c r="BA108" i="3"/>
  <c r="AZ108" i="3" s="1"/>
  <c r="BA109" i="3"/>
  <c r="AZ109" i="3" s="1"/>
  <c r="BA110" i="3"/>
  <c r="AZ110" i="3" s="1"/>
  <c r="BA111" i="3"/>
  <c r="AZ111" i="3" s="1"/>
  <c r="K100" i="43"/>
  <c r="K108" i="43"/>
  <c r="U21" i="21"/>
  <c r="AB21" i="21"/>
  <c r="T49" i="71"/>
  <c r="D49" i="71"/>
  <c r="O62" i="71"/>
  <c r="D63" i="71"/>
  <c r="D39" i="71"/>
  <c r="C40" i="71"/>
  <c r="D100" i="43"/>
  <c r="C52" i="71"/>
  <c r="AB29" i="71"/>
  <c r="AB30" i="71"/>
  <c r="F31" i="71"/>
  <c r="F32" i="71" s="1"/>
  <c r="F33" i="71" s="1"/>
  <c r="V33" i="71" s="1"/>
  <c r="Y30" i="71"/>
  <c r="Z30" i="71" s="1"/>
  <c r="Y33" i="71"/>
  <c r="Z33" i="71" s="1"/>
  <c r="AA6" i="71"/>
  <c r="AA36" i="71"/>
  <c r="AA31" i="71"/>
  <c r="AA35" i="71"/>
  <c r="E48" i="71"/>
  <c r="E49" i="71" s="1"/>
  <c r="U49" i="71" s="1"/>
  <c r="C72" i="71"/>
  <c r="T73" i="71"/>
  <c r="D73" i="71"/>
  <c r="C40" i="68"/>
  <c r="C21" i="68"/>
  <c r="X25" i="71"/>
  <c r="X23" i="71"/>
  <c r="B25" i="71"/>
  <c r="X24" i="71"/>
  <c r="X22" i="71"/>
  <c r="Y26" i="71"/>
  <c r="Z26" i="71" s="1"/>
  <c r="C27" i="71"/>
  <c r="Y22" i="71"/>
  <c r="Z22" i="71" s="1"/>
  <c r="AA27" i="71"/>
  <c r="AA28" i="71"/>
  <c r="AA23" i="71"/>
  <c r="AA3" i="71"/>
  <c r="AA25" i="71"/>
  <c r="AB32" i="71"/>
  <c r="AB33" i="71"/>
  <c r="X6" i="71"/>
  <c r="C56" i="71"/>
  <c r="D55" i="71"/>
  <c r="V65" i="71"/>
  <c r="F64" i="71"/>
  <c r="Q65" i="71"/>
  <c r="S21" i="34"/>
  <c r="B86" i="43"/>
  <c r="D64" i="71"/>
  <c r="O64" i="71"/>
  <c r="D31" i="71"/>
  <c r="C32" i="71"/>
  <c r="B32" i="71"/>
  <c r="B33" i="71" s="1"/>
  <c r="S33" i="71" s="1"/>
  <c r="AB26" i="71"/>
  <c r="AB27" i="71"/>
  <c r="AB25" i="71"/>
  <c r="AB34" i="71"/>
  <c r="F35" i="71"/>
  <c r="F36" i="71" s="1"/>
  <c r="F37" i="71" s="1"/>
  <c r="V37" i="71" s="1"/>
  <c r="Z12" i="43"/>
  <c r="Z10" i="43"/>
  <c r="E35" i="71"/>
  <c r="E36" i="71" s="1"/>
  <c r="E37" i="71" s="1"/>
  <c r="U37" i="71" s="1"/>
  <c r="AA34" i="71"/>
  <c r="Y6" i="71"/>
  <c r="Z6" i="71" s="1"/>
  <c r="Y7" i="71"/>
  <c r="Z7" i="71" s="1"/>
  <c r="X21" i="71"/>
  <c r="X19" i="71"/>
  <c r="AB18" i="71"/>
  <c r="AA15" i="71"/>
  <c r="X14" i="71"/>
  <c r="Y10" i="71"/>
  <c r="Z10" i="71" s="1"/>
  <c r="Y23" i="71"/>
  <c r="Z23" i="71" s="1"/>
  <c r="Y25" i="71"/>
  <c r="Z25" i="71" s="1"/>
  <c r="Y19" i="71"/>
  <c r="Z19" i="71" s="1"/>
  <c r="X26" i="71"/>
  <c r="AB28" i="71"/>
  <c r="AA29" i="71"/>
  <c r="AB6" i="71"/>
  <c r="F72" i="71"/>
  <c r="F71" i="71" s="1"/>
  <c r="AB10" i="43"/>
  <c r="AF12" i="43"/>
  <c r="AF10" i="43"/>
  <c r="AB21" i="71"/>
  <c r="AA21" i="71"/>
  <c r="X18" i="71"/>
  <c r="AA18" i="71"/>
  <c r="X15" i="71"/>
  <c r="AB15" i="71"/>
  <c r="AB11" i="71"/>
  <c r="AA14" i="71"/>
  <c r="AA22" i="71"/>
  <c r="E64" i="71"/>
  <c r="AA32" i="71"/>
  <c r="Y31" i="71"/>
  <c r="Z31" i="71" s="1"/>
  <c r="C36" i="71"/>
  <c r="Y36" i="71"/>
  <c r="Z36" i="71" s="1"/>
  <c r="AB36" i="71"/>
  <c r="P65" i="71"/>
  <c r="AD12" i="43"/>
  <c r="AD10" i="43"/>
  <c r="Y18" i="71"/>
  <c r="Z18" i="71" s="1"/>
  <c r="AA19" i="71"/>
  <c r="AA12" i="71"/>
  <c r="AB8" i="71"/>
  <c r="AA9" i="71"/>
  <c r="Y8" i="71"/>
  <c r="Z8" i="71" s="1"/>
  <c r="X7" i="71"/>
  <c r="AB20" i="71"/>
  <c r="AB12" i="71"/>
  <c r="Y14" i="71"/>
  <c r="Z14" i="71" s="1"/>
  <c r="AB9" i="71"/>
  <c r="AA7" i="71"/>
  <c r="AA11" i="71"/>
  <c r="Y11" i="71"/>
  <c r="Z11" i="71" s="1"/>
  <c r="X8" i="71"/>
  <c r="M56" i="9"/>
  <c r="Y21" i="71"/>
  <c r="Z21" i="71" s="1"/>
  <c r="E21" i="71"/>
  <c r="X12" i="71"/>
  <c r="AB10" i="71"/>
  <c r="AA10" i="71"/>
  <c r="Y9" i="71"/>
  <c r="Z9" i="71" s="1"/>
  <c r="X10" i="71"/>
  <c r="AB7" i="71"/>
  <c r="AA8" i="71"/>
  <c r="X9" i="71"/>
  <c r="X11"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15"/>
  <c r="C16" i="67"/>
  <c r="C16" i="15"/>
  <c r="C17" i="67"/>
  <c r="D7" i="73"/>
  <c r="D4" i="73"/>
  <c r="G1" i="73"/>
  <c r="C14" i="15"/>
  <c r="C48" i="69" l="1"/>
  <c r="AD13" i="43"/>
  <c r="G105" i="43"/>
  <c r="C102" i="43"/>
  <c r="AF13" i="43"/>
  <c r="K109" i="43"/>
  <c r="C105" i="43"/>
  <c r="C107" i="43"/>
  <c r="C104" i="43"/>
  <c r="D22" i="43"/>
  <c r="E51" i="40"/>
  <c r="I116" i="43"/>
  <c r="J116" i="43" s="1"/>
  <c r="K116" i="43" s="1"/>
  <c r="L116" i="43" s="1"/>
  <c r="M116" i="43" s="1"/>
  <c r="B116" i="43"/>
  <c r="C116" i="43" s="1"/>
  <c r="D109" i="43"/>
  <c r="C15" i="15"/>
  <c r="C18" i="15"/>
  <c r="F106" i="43"/>
  <c r="F103" i="43"/>
  <c r="F109" i="43"/>
  <c r="Z13" i="43"/>
  <c r="I117" i="43"/>
  <c r="J117" i="43" s="1"/>
  <c r="K117" i="43" s="1"/>
  <c r="L117" i="43" s="1"/>
  <c r="M117" i="43" s="1"/>
  <c r="B117" i="43"/>
  <c r="C117" i="43" s="1"/>
  <c r="G118" i="43"/>
  <c r="H118" i="43" s="1"/>
  <c r="B115" i="43"/>
  <c r="D106" i="43"/>
  <c r="D104" i="43"/>
  <c r="H106" i="43"/>
  <c r="H107" i="43"/>
  <c r="H105" i="43"/>
  <c r="H102" i="43"/>
  <c r="H104" i="43"/>
  <c r="H109" i="43"/>
  <c r="E104" i="43"/>
  <c r="E105" i="43"/>
  <c r="E107" i="43"/>
  <c r="E102" i="43"/>
  <c r="E103" i="43"/>
  <c r="E106" i="43"/>
  <c r="B118" i="43"/>
  <c r="C118" i="43" s="1"/>
  <c r="D118" i="43"/>
  <c r="E118" i="43" s="1"/>
  <c r="F118" i="43" s="1"/>
  <c r="I118" i="43"/>
  <c r="J118" i="43" s="1"/>
  <c r="K118" i="43" s="1"/>
  <c r="L118" i="43" s="1"/>
  <c r="M118" i="43" s="1"/>
  <c r="D102" i="43"/>
  <c r="M107" i="43"/>
  <c r="M104" i="43"/>
  <c r="M105" i="43"/>
  <c r="M106" i="43"/>
  <c r="M102" i="43"/>
  <c r="M103" i="43"/>
  <c r="K104" i="43"/>
  <c r="K103" i="43"/>
  <c r="K107" i="43"/>
  <c r="K106" i="43"/>
  <c r="K102" i="43"/>
  <c r="K105" i="43"/>
  <c r="E109" i="43"/>
  <c r="I115" i="43"/>
  <c r="J115" i="43" s="1"/>
  <c r="K115" i="43" s="1"/>
  <c r="L115" i="43" s="1"/>
  <c r="M115" i="43" s="1"/>
  <c r="D116" i="43"/>
  <c r="E116" i="43" s="1"/>
  <c r="F116" i="43" s="1"/>
  <c r="G116" i="43" s="1"/>
  <c r="H116" i="43" s="1"/>
  <c r="D107" i="43"/>
  <c r="D103" i="43"/>
  <c r="G104" i="43"/>
  <c r="G107" i="43"/>
  <c r="G103" i="43"/>
  <c r="G109" i="43"/>
  <c r="N106" i="43"/>
  <c r="N102" i="43"/>
  <c r="N107" i="43"/>
  <c r="N105" i="43"/>
  <c r="N109" i="43"/>
  <c r="N104" i="43"/>
  <c r="N103" i="43"/>
  <c r="J10" i="39"/>
  <c r="AC10" i="39" s="1"/>
  <c r="F10" i="39"/>
  <c r="AA10" i="39" s="1"/>
  <c r="H10" i="39"/>
  <c r="U10" i="39" s="1"/>
  <c r="F10" i="40"/>
  <c r="AA10" i="40" s="1"/>
  <c r="J10" i="40"/>
  <c r="W10" i="40" s="1"/>
  <c r="L59" i="34"/>
  <c r="M59" i="34" s="1"/>
  <c r="N59" i="34" s="1"/>
  <c r="O59" i="34" s="1"/>
  <c r="F7" i="34"/>
  <c r="J7" i="34"/>
  <c r="W7" i="34" s="1"/>
  <c r="H7" i="34"/>
  <c r="C77" i="9"/>
  <c r="C74" i="9" s="1"/>
  <c r="C28" i="67"/>
  <c r="C24" i="12"/>
  <c r="C30" i="69"/>
  <c r="C48" i="68"/>
  <c r="C13" i="12"/>
  <c r="E237" i="3"/>
  <c r="E261" i="3"/>
  <c r="E528" i="3"/>
  <c r="E565" i="3"/>
  <c r="E183" i="3"/>
  <c r="E213" i="3"/>
  <c r="E361" i="3"/>
  <c r="E302" i="3"/>
  <c r="O6" i="3"/>
  <c r="E574" i="3"/>
  <c r="E410" i="3"/>
  <c r="E143" i="3"/>
  <c r="E97" i="3"/>
  <c r="E353" i="3"/>
  <c r="E385" i="3"/>
  <c r="E518" i="3"/>
  <c r="AN6" i="3"/>
  <c r="AI6" i="3"/>
  <c r="E423" i="3"/>
  <c r="E382" i="3"/>
  <c r="E263" i="3"/>
  <c r="E301" i="3"/>
  <c r="E159" i="3"/>
  <c r="E191" i="3"/>
  <c r="E99" i="3"/>
  <c r="E188" i="3"/>
  <c r="E228" i="3"/>
  <c r="E181" i="3"/>
  <c r="E120" i="3"/>
  <c r="E45" i="3"/>
  <c r="E277" i="3"/>
  <c r="E224" i="3"/>
  <c r="E133" i="3"/>
  <c r="AD6" i="3"/>
  <c r="E542" i="3"/>
  <c r="R6" i="3"/>
  <c r="E552" i="3"/>
  <c r="E421" i="3"/>
  <c r="E442" i="3"/>
  <c r="E464" i="3"/>
  <c r="E466" i="3"/>
  <c r="E430" i="3"/>
  <c r="E416" i="3"/>
  <c r="E449" i="3"/>
  <c r="E459" i="3"/>
  <c r="E255" i="3"/>
  <c r="I3" i="6"/>
  <c r="AP6" i="3"/>
  <c r="E582" i="3"/>
  <c r="E413" i="3"/>
  <c r="E435" i="3"/>
  <c r="E460" i="3"/>
  <c r="E491" i="3"/>
  <c r="E417" i="3"/>
  <c r="E436" i="3"/>
  <c r="E39" i="3"/>
  <c r="E56" i="3"/>
  <c r="E90" i="3"/>
  <c r="E37" i="3"/>
  <c r="E57" i="3"/>
  <c r="E95" i="3"/>
  <c r="E131" i="3"/>
  <c r="E152" i="3"/>
  <c r="E187" i="3"/>
  <c r="E132" i="3"/>
  <c r="E192" i="3"/>
  <c r="E258" i="3"/>
  <c r="E297" i="3"/>
  <c r="E241" i="3"/>
  <c r="E259" i="3"/>
  <c r="E292" i="3"/>
  <c r="E349" i="3"/>
  <c r="E389" i="3"/>
  <c r="E504" i="3"/>
  <c r="E544" i="3"/>
  <c r="E58" i="3"/>
  <c r="E76" i="3"/>
  <c r="E110" i="3"/>
  <c r="E59" i="3"/>
  <c r="E540" i="3"/>
  <c r="E446" i="3"/>
  <c r="E47" i="3"/>
  <c r="E98" i="3"/>
  <c r="E65" i="3"/>
  <c r="E138" i="3"/>
  <c r="E163" i="3"/>
  <c r="E209" i="3"/>
  <c r="E266" i="3"/>
  <c r="E307" i="3"/>
  <c r="E354" i="3"/>
  <c r="E584" i="3"/>
  <c r="E66" i="3"/>
  <c r="E24" i="3"/>
  <c r="E48" i="3"/>
  <c r="E87" i="3"/>
  <c r="E127" i="3"/>
  <c r="E250" i="3"/>
  <c r="E284" i="3"/>
  <c r="E51" i="3"/>
  <c r="E19" i="3"/>
  <c r="E154" i="3"/>
  <c r="E179" i="3"/>
  <c r="E222" i="3"/>
  <c r="E373" i="3"/>
  <c r="E82" i="3"/>
  <c r="E114" i="3"/>
  <c r="E319" i="3"/>
  <c r="E526" i="3"/>
  <c r="E153" i="3"/>
  <c r="E322" i="3"/>
  <c r="E550" i="3"/>
  <c r="E328" i="3"/>
  <c r="E239" i="3"/>
  <c r="E539" i="3"/>
  <c r="AA6" i="3"/>
  <c r="E569" i="3"/>
  <c r="E280" i="3"/>
  <c r="E229" i="3"/>
  <c r="E165" i="3"/>
  <c r="E390" i="3"/>
  <c r="E568" i="3"/>
  <c r="E559" i="3"/>
  <c r="E523" i="3"/>
  <c r="E536" i="3"/>
  <c r="V6" i="3"/>
  <c r="E418" i="3"/>
  <c r="E453" i="3"/>
  <c r="E320" i="3"/>
  <c r="E321" i="3"/>
  <c r="E244" i="3"/>
  <c r="E230" i="3"/>
  <c r="E169" i="3"/>
  <c r="E156" i="3"/>
  <c r="E254" i="3"/>
  <c r="E290" i="3"/>
  <c r="E122" i="3"/>
  <c r="E85" i="3"/>
  <c r="E212" i="3"/>
  <c r="E204" i="3"/>
  <c r="E313" i="3"/>
  <c r="E379" i="3"/>
  <c r="E525" i="3"/>
  <c r="E532" i="3"/>
  <c r="U6" i="3"/>
  <c r="T6" i="3"/>
  <c r="E529" i="3"/>
  <c r="E411" i="3"/>
  <c r="E456" i="3"/>
  <c r="E474" i="3"/>
  <c r="E548" i="3"/>
  <c r="E432" i="3"/>
  <c r="E451" i="3"/>
  <c r="E288" i="3"/>
  <c r="E367" i="3"/>
  <c r="E556" i="3"/>
  <c r="W6" i="3"/>
  <c r="E547" i="3"/>
  <c r="E13" i="3"/>
  <c r="E537" i="3"/>
  <c r="E403" i="3"/>
  <c r="E452" i="3"/>
  <c r="E471" i="3"/>
  <c r="E420" i="3"/>
  <c r="E71" i="3"/>
  <c r="E104" i="3"/>
  <c r="E54" i="3"/>
  <c r="E92" i="3"/>
  <c r="E115" i="3"/>
  <c r="E168" i="3"/>
  <c r="E139" i="3"/>
  <c r="E208" i="3"/>
  <c r="E272" i="3"/>
  <c r="E281" i="3"/>
  <c r="E357" i="3"/>
  <c r="E356" i="3"/>
  <c r="E14" i="3"/>
  <c r="AM6" i="3"/>
  <c r="E42" i="3"/>
  <c r="E93" i="3"/>
  <c r="E29" i="3"/>
  <c r="E488" i="3"/>
  <c r="E425" i="3"/>
  <c r="E18" i="3"/>
  <c r="E38" i="3"/>
  <c r="E103" i="3"/>
  <c r="E194" i="3"/>
  <c r="E267" i="3"/>
  <c r="E235" i="3"/>
  <c r="E339" i="3"/>
  <c r="E310" i="3"/>
  <c r="E52" i="3"/>
  <c r="E67" i="3"/>
  <c r="E49" i="3"/>
  <c r="E147" i="3"/>
  <c r="E50" i="3"/>
  <c r="E63" i="3"/>
  <c r="E218" i="3"/>
  <c r="E101" i="3"/>
  <c r="E53" i="3"/>
  <c r="E217" i="3"/>
  <c r="E415" i="3"/>
  <c r="E501" i="3"/>
  <c r="E268" i="3"/>
  <c r="E260" i="3"/>
  <c r="E426" i="3"/>
  <c r="AJ6" i="3"/>
  <c r="E516" i="3"/>
  <c r="E567" i="3"/>
  <c r="E396" i="3"/>
  <c r="E227" i="3"/>
  <c r="E124" i="3"/>
  <c r="E151" i="3"/>
  <c r="E397" i="3"/>
  <c r="E358" i="3"/>
  <c r="S6" i="3"/>
  <c r="I6" i="3"/>
  <c r="E551" i="3"/>
  <c r="E506" i="3"/>
  <c r="E549" i="3"/>
  <c r="E407" i="3"/>
  <c r="E338" i="3"/>
  <c r="E368" i="3"/>
  <c r="E294" i="3"/>
  <c r="E298" i="3"/>
  <c r="E196" i="3"/>
  <c r="E130" i="3"/>
  <c r="E61" i="3"/>
  <c r="E148" i="3"/>
  <c r="E221" i="3"/>
  <c r="E117" i="3"/>
  <c r="E149" i="3"/>
  <c r="E238" i="3"/>
  <c r="E167" i="3"/>
  <c r="E105" i="3"/>
  <c r="E519" i="3"/>
  <c r="E585" i="3"/>
  <c r="E573" i="3"/>
  <c r="E515" i="3"/>
  <c r="E405" i="3"/>
  <c r="E458" i="3"/>
  <c r="E469" i="3"/>
  <c r="E414" i="3"/>
  <c r="E408" i="3"/>
  <c r="E457" i="3"/>
  <c r="E477" i="3"/>
  <c r="E360" i="3"/>
  <c r="E562" i="3"/>
  <c r="E505" i="3"/>
  <c r="E497" i="3"/>
  <c r="AS6" i="3"/>
  <c r="E494" i="3"/>
  <c r="E450" i="3"/>
  <c r="E476" i="3"/>
  <c r="E470" i="3"/>
  <c r="E433" i="3"/>
  <c r="E447" i="3"/>
  <c r="E26" i="3"/>
  <c r="E72" i="3"/>
  <c r="E27" i="3"/>
  <c r="E41" i="3"/>
  <c r="E111" i="3"/>
  <c r="E162" i="3"/>
  <c r="E198" i="3"/>
  <c r="E186" i="3"/>
  <c r="E225" i="3"/>
  <c r="E279" i="3"/>
  <c r="E210" i="3"/>
  <c r="E243" i="3"/>
  <c r="E351" i="3"/>
  <c r="E331" i="3"/>
  <c r="E384" i="3"/>
  <c r="AL6" i="3"/>
  <c r="E31" i="3"/>
  <c r="E44" i="3"/>
  <c r="E94" i="3"/>
  <c r="E75" i="3"/>
  <c r="E441" i="3"/>
  <c r="E482" i="3"/>
  <c r="E455" i="3"/>
  <c r="E64" i="3"/>
  <c r="E78" i="3"/>
  <c r="E170" i="3"/>
  <c r="E142" i="3"/>
  <c r="E220" i="3"/>
  <c r="E219" i="3"/>
  <c r="E300" i="3"/>
  <c r="E383" i="3"/>
  <c r="E23" i="3"/>
  <c r="E86" i="3"/>
  <c r="E112" i="3"/>
  <c r="E232" i="3"/>
  <c r="E340" i="3"/>
  <c r="E381" i="3"/>
  <c r="E102" i="3"/>
  <c r="E62" i="3"/>
  <c r="E118" i="3"/>
  <c r="E287" i="3"/>
  <c r="E365" i="3"/>
  <c r="E513" i="3"/>
  <c r="E83" i="3"/>
  <c r="E69" i="3"/>
  <c r="E366" i="3"/>
  <c r="E343" i="3"/>
  <c r="E445" i="3"/>
  <c r="E336" i="3"/>
  <c r="E205" i="3"/>
  <c r="E270" i="3"/>
  <c r="E514" i="3"/>
  <c r="E16" i="3"/>
  <c r="E538" i="3"/>
  <c r="E387" i="3"/>
  <c r="E296" i="3"/>
  <c r="E134" i="3"/>
  <c r="E269" i="3"/>
  <c r="E207" i="3"/>
  <c r="E253" i="3"/>
  <c r="E330" i="3"/>
  <c r="E493" i="3"/>
  <c r="AG6" i="3"/>
  <c r="E437" i="3"/>
  <c r="E486" i="3"/>
  <c r="P6" i="3"/>
  <c r="E424" i="3"/>
  <c r="E490" i="3"/>
  <c r="E558" i="3"/>
  <c r="AE6" i="3"/>
  <c r="E498" i="3"/>
  <c r="E444" i="3"/>
  <c r="E496" i="3"/>
  <c r="E463" i="3"/>
  <c r="E88" i="3"/>
  <c r="E73" i="3"/>
  <c r="E166" i="3"/>
  <c r="E256" i="3"/>
  <c r="E226" i="3"/>
  <c r="E316" i="3"/>
  <c r="E394" i="3"/>
  <c r="E30" i="3"/>
  <c r="E32" i="3"/>
  <c r="E428" i="3"/>
  <c r="E467" i="3"/>
  <c r="E100" i="3"/>
  <c r="E174" i="3"/>
  <c r="E249" i="3"/>
  <c r="E35" i="3"/>
  <c r="E33" i="3"/>
  <c r="E289" i="3"/>
  <c r="AF6" i="3"/>
  <c r="E81" i="3"/>
  <c r="E22" i="3"/>
  <c r="E125" i="3"/>
  <c r="E172" i="3"/>
  <c r="E352" i="3"/>
  <c r="E406" i="3"/>
  <c r="E531" i="3"/>
  <c r="E28" i="3"/>
  <c r="E108" i="3"/>
  <c r="E171" i="3"/>
  <c r="E273" i="3"/>
  <c r="E333" i="3"/>
  <c r="E530" i="3"/>
  <c r="N6" i="3"/>
  <c r="X6" i="3"/>
  <c r="E201" i="3"/>
  <c r="E511" i="3"/>
  <c r="E561" i="3"/>
  <c r="AB6" i="3"/>
  <c r="E306" i="3"/>
  <c r="E231" i="3"/>
  <c r="E189" i="3"/>
  <c r="E236" i="3"/>
  <c r="E161" i="3"/>
  <c r="E77" i="3"/>
  <c r="E197" i="3"/>
  <c r="E107" i="3"/>
  <c r="E393" i="3"/>
  <c r="Z6" i="3"/>
  <c r="E560" i="3"/>
  <c r="E427" i="3"/>
  <c r="E485" i="3"/>
  <c r="E440" i="3"/>
  <c r="E345" i="3"/>
  <c r="J6" i="3"/>
  <c r="E106" i="3"/>
  <c r="E182" i="3"/>
  <c r="E242" i="3"/>
  <c r="E175" i="3"/>
  <c r="E563" i="3"/>
  <c r="E282" i="3"/>
  <c r="E508" i="3"/>
  <c r="E510" i="3"/>
  <c r="E247" i="3"/>
  <c r="E293" i="3"/>
  <c r="E314" i="3"/>
  <c r="AR6" i="3"/>
  <c r="M6" i="3"/>
  <c r="E434" i="3"/>
  <c r="E380" i="3"/>
  <c r="E215" i="3"/>
  <c r="E136" i="3"/>
  <c r="E135" i="3"/>
  <c r="E180" i="3"/>
  <c r="E223" i="3"/>
  <c r="E145" i="3"/>
  <c r="E576" i="3"/>
  <c r="Q6" i="3"/>
  <c r="E543" i="3"/>
  <c r="E448" i="3"/>
  <c r="E481" i="3"/>
  <c r="E422" i="3"/>
  <c r="E344" i="3"/>
  <c r="AH6" i="3"/>
  <c r="E581" i="3"/>
  <c r="E404" i="3"/>
  <c r="E55" i="3"/>
  <c r="E25" i="3"/>
  <c r="E121" i="3"/>
  <c r="E203" i="3"/>
  <c r="E202" i="3"/>
  <c r="E295" i="3"/>
  <c r="E274" i="3"/>
  <c r="E346" i="3"/>
  <c r="E334" i="3"/>
  <c r="E580" i="3"/>
  <c r="E60" i="3"/>
  <c r="E480" i="3"/>
  <c r="E15" i="3"/>
  <c r="E96" i="3"/>
  <c r="E160" i="3"/>
  <c r="E234" i="3"/>
  <c r="E324" i="3"/>
  <c r="E492" i="3"/>
  <c r="E36" i="3"/>
  <c r="E206" i="3"/>
  <c r="E355" i="3"/>
  <c r="E20" i="3"/>
  <c r="E158" i="3"/>
  <c r="E309" i="3"/>
  <c r="E545" i="3"/>
  <c r="E439" i="3"/>
  <c r="E91" i="3"/>
  <c r="E327" i="3"/>
  <c r="E376" i="3"/>
  <c r="E489" i="3"/>
  <c r="E146" i="3"/>
  <c r="E276" i="3"/>
  <c r="L6" i="3"/>
  <c r="E409" i="3"/>
  <c r="E46" i="3"/>
  <c r="AQ6" i="3"/>
  <c r="E184" i="3"/>
  <c r="E80" i="3"/>
  <c r="E524" i="3"/>
  <c r="E533" i="3"/>
  <c r="E140" i="3"/>
  <c r="E557" i="3"/>
  <c r="E119" i="3"/>
  <c r="E74" i="3"/>
  <c r="E129" i="3"/>
  <c r="E84" i="3"/>
  <c r="E176" i="3"/>
  <c r="E305" i="3"/>
  <c r="E570" i="3"/>
  <c r="E564" i="3"/>
  <c r="E40" i="3"/>
  <c r="E109" i="3"/>
  <c r="E371" i="3"/>
  <c r="E419" i="3"/>
  <c r="E200" i="3"/>
  <c r="E553" i="3"/>
  <c r="E431" i="3"/>
  <c r="E335" i="3"/>
  <c r="E89" i="3"/>
  <c r="K6" i="3"/>
  <c r="E507" i="3"/>
  <c r="E454" i="3"/>
  <c r="E377" i="3"/>
  <c r="E484" i="3"/>
  <c r="E251" i="3"/>
  <c r="E21" i="3"/>
  <c r="E577" i="3"/>
  <c r="E137" i="3"/>
  <c r="E364" i="3"/>
  <c r="AK6" i="3"/>
  <c r="E465" i="3"/>
  <c r="E572" i="3"/>
  <c r="E342" i="3"/>
  <c r="E308" i="3"/>
  <c r="E246" i="3"/>
  <c r="E271" i="3"/>
  <c r="E400" i="3"/>
  <c r="E412" i="3"/>
  <c r="E34" i="3"/>
  <c r="E264" i="3"/>
  <c r="E535" i="3"/>
  <c r="E185" i="3"/>
  <c r="E199" i="3"/>
  <c r="E214" i="3"/>
  <c r="E43" i="3"/>
  <c r="E123" i="3"/>
  <c r="AO6" i="3"/>
  <c r="E70" i="3"/>
  <c r="E79" i="3"/>
  <c r="E68" i="3"/>
  <c r="E325" i="3"/>
  <c r="E579" i="3"/>
  <c r="E509" i="3"/>
  <c r="E499" i="3"/>
  <c r="E317" i="3"/>
  <c r="E303" i="3"/>
  <c r="E575" i="3"/>
  <c r="E461" i="3"/>
  <c r="E323" i="3"/>
  <c r="E512" i="3"/>
  <c r="E332" i="3"/>
  <c r="E359" i="3"/>
  <c r="E312" i="3"/>
  <c r="E555" i="3"/>
  <c r="E522" i="3"/>
  <c r="E583" i="3"/>
  <c r="E177" i="3"/>
  <c r="E517" i="3"/>
  <c r="E350" i="3"/>
  <c r="E534" i="3"/>
  <c r="E370" i="3"/>
  <c r="E462" i="3"/>
  <c r="E285" i="3"/>
  <c r="E402" i="3"/>
  <c r="E341" i="3"/>
  <c r="E157" i="3"/>
  <c r="Y6" i="3"/>
  <c r="E304" i="3"/>
  <c r="E554" i="3"/>
  <c r="E521" i="3"/>
  <c r="E372" i="3"/>
  <c r="E443" i="3"/>
  <c r="E173" i="3"/>
  <c r="E141" i="3"/>
  <c r="E391" i="3"/>
  <c r="E337" i="3"/>
  <c r="E502" i="3"/>
  <c r="E527" i="3"/>
  <c r="E388" i="3"/>
  <c r="E566" i="3"/>
  <c r="E386" i="3"/>
  <c r="E503" i="3"/>
  <c r="E586" i="3"/>
  <c r="E520" i="3"/>
  <c r="E546" i="3"/>
  <c r="E571" i="3"/>
  <c r="E375" i="3"/>
  <c r="E113" i="3"/>
  <c r="E326" i="3"/>
  <c r="E495" i="3"/>
  <c r="E399" i="3"/>
  <c r="E438" i="3"/>
  <c r="E478" i="3"/>
  <c r="E348" i="3"/>
  <c r="E363" i="3"/>
  <c r="E578" i="3"/>
  <c r="E17" i="3"/>
  <c r="E193" i="3"/>
  <c r="E541" i="3"/>
  <c r="E500" i="3"/>
  <c r="E20" i="71"/>
  <c r="E19" i="71" s="1"/>
  <c r="E18" i="71" s="1"/>
  <c r="E17" i="71" s="1"/>
  <c r="V21" i="71"/>
  <c r="F63" i="71"/>
  <c r="Q64" i="71"/>
  <c r="C71" i="71"/>
  <c r="D71" i="71" s="1"/>
  <c r="D72" i="71"/>
  <c r="AZ23" i="3"/>
  <c r="AZ5" i="3" s="1"/>
  <c r="BA5" i="3"/>
  <c r="E27" i="6" s="1"/>
  <c r="E190" i="3"/>
  <c r="E144" i="3"/>
  <c r="E275" i="3"/>
  <c r="E245" i="3"/>
  <c r="E392" i="3"/>
  <c r="D61" i="71"/>
  <c r="T61" i="71"/>
  <c r="AZ181" i="3"/>
  <c r="E128" i="3"/>
  <c r="AZ287" i="3"/>
  <c r="AZ229" i="3"/>
  <c r="E369" i="3"/>
  <c r="E362" i="3"/>
  <c r="E315" i="3"/>
  <c r="E233" i="3"/>
  <c r="E248" i="3"/>
  <c r="E374" i="3"/>
  <c r="AZ486" i="3"/>
  <c r="E475" i="3"/>
  <c r="E468" i="3"/>
  <c r="S9" i="33"/>
  <c r="AA9" i="33"/>
  <c r="E429" i="3"/>
  <c r="E398" i="3"/>
  <c r="AB40" i="40"/>
  <c r="U40" i="40"/>
  <c r="E587" i="3"/>
  <c r="AZ494" i="3"/>
  <c r="AZ497" i="3"/>
  <c r="AZ509" i="3"/>
  <c r="AC26" i="37"/>
  <c r="W26" i="37"/>
  <c r="S25" i="35"/>
  <c r="AA25" i="35"/>
  <c r="S27" i="33"/>
  <c r="AA27" i="33"/>
  <c r="AZ568" i="3"/>
  <c r="AZ571" i="3"/>
  <c r="U28" i="37"/>
  <c r="AB28" i="37"/>
  <c r="AA23" i="35"/>
  <c r="S23" i="35"/>
  <c r="E401" i="3"/>
  <c r="AB12" i="35"/>
  <c r="U12" i="35"/>
  <c r="S14" i="34"/>
  <c r="AA14" i="34"/>
  <c r="AC45" i="33"/>
  <c r="W45" i="33"/>
  <c r="C33" i="71"/>
  <c r="D32" i="71"/>
  <c r="D27" i="71"/>
  <c r="C28" i="71"/>
  <c r="S25" i="71"/>
  <c r="B24" i="71"/>
  <c r="B23" i="71" s="1"/>
  <c r="C41" i="71"/>
  <c r="D40" i="71"/>
  <c r="E195" i="3"/>
  <c r="E283" i="3"/>
  <c r="E252" i="3"/>
  <c r="E211" i="3"/>
  <c r="E378" i="3"/>
  <c r="N62" i="71"/>
  <c r="N63" i="71"/>
  <c r="AZ177" i="3"/>
  <c r="E155" i="3"/>
  <c r="E126" i="3"/>
  <c r="E311" i="3"/>
  <c r="E479" i="3"/>
  <c r="E483" i="3"/>
  <c r="E286" i="3"/>
  <c r="E265" i="3"/>
  <c r="AC9" i="33"/>
  <c r="W9" i="33"/>
  <c r="AA9" i="34"/>
  <c r="S9" i="34"/>
  <c r="AA34" i="35"/>
  <c r="S34" i="35"/>
  <c r="AC12" i="36"/>
  <c r="W12" i="36"/>
  <c r="AC23" i="35"/>
  <c r="W23" i="35"/>
  <c r="AZ587" i="3"/>
  <c r="E15" i="6"/>
  <c r="E11" i="6"/>
  <c r="E14" i="6"/>
  <c r="E12" i="6"/>
  <c r="E10" i="6"/>
  <c r="E13" i="6"/>
  <c r="S32" i="34"/>
  <c r="AA32" i="34"/>
  <c r="U14" i="34"/>
  <c r="AB14" i="34"/>
  <c r="AB29" i="33"/>
  <c r="U29" i="33"/>
  <c r="H14" i="74"/>
  <c r="B7" i="74" s="1"/>
  <c r="D125" i="9"/>
  <c r="D11" i="52" s="1"/>
  <c r="D10" i="52"/>
  <c r="B12" i="71"/>
  <c r="B11" i="71" s="1"/>
  <c r="B10" i="71" s="1"/>
  <c r="B9" i="71" s="1"/>
  <c r="S13" i="71"/>
  <c r="P64" i="71"/>
  <c r="E63" i="71"/>
  <c r="E178" i="3"/>
  <c r="E116" i="3"/>
  <c r="E150" i="3"/>
  <c r="AZ301" i="3"/>
  <c r="E291" i="3"/>
  <c r="E262" i="3"/>
  <c r="E329" i="3"/>
  <c r="C23" i="71"/>
  <c r="D23" i="71" s="1"/>
  <c r="D24" i="71"/>
  <c r="E240" i="3"/>
  <c r="E395" i="3"/>
  <c r="AZ481" i="3"/>
  <c r="AC12" i="21"/>
  <c r="W12" i="21"/>
  <c r="AC34" i="35"/>
  <c r="W34" i="35"/>
  <c r="AZ501" i="3"/>
  <c r="AZ518" i="3"/>
  <c r="AB26" i="37"/>
  <c r="U26" i="37"/>
  <c r="AZ570" i="3"/>
  <c r="AZ572" i="3"/>
  <c r="U12" i="36"/>
  <c r="AB12" i="36"/>
  <c r="AC31" i="21"/>
  <c r="W31" i="21"/>
  <c r="W36" i="35"/>
  <c r="AC36" i="35"/>
  <c r="BL5" i="3"/>
  <c r="S12" i="35"/>
  <c r="AA12" i="35"/>
  <c r="AB32" i="34"/>
  <c r="U32" i="34"/>
  <c r="W14" i="34"/>
  <c r="AC14" i="34"/>
  <c r="S29" i="33"/>
  <c r="AA29" i="33"/>
  <c r="C17" i="71"/>
  <c r="D18" i="71"/>
  <c r="I14" i="74"/>
  <c r="B8" i="74" s="1"/>
  <c r="D12" i="52"/>
  <c r="D127" i="9"/>
  <c r="D13" i="52" s="1"/>
  <c r="C7" i="43"/>
  <c r="D36" i="71"/>
  <c r="C37" i="71"/>
  <c r="C57" i="71"/>
  <c r="D56" i="71"/>
  <c r="D52" i="71"/>
  <c r="C53" i="71"/>
  <c r="E257" i="3"/>
  <c r="E216" i="3"/>
  <c r="E164" i="3"/>
  <c r="AZ122" i="3"/>
  <c r="E299" i="3"/>
  <c r="AZ234" i="3"/>
  <c r="AZ213" i="3"/>
  <c r="AZ368" i="3"/>
  <c r="E318" i="3"/>
  <c r="E472" i="3"/>
  <c r="E347" i="3"/>
  <c r="E487" i="3"/>
  <c r="AZ467" i="3"/>
  <c r="E278" i="3"/>
  <c r="E473" i="3"/>
  <c r="AB39" i="40"/>
  <c r="U39" i="40"/>
  <c r="S12" i="21"/>
  <c r="AA12" i="21"/>
  <c r="W40" i="40"/>
  <c r="AC40" i="40"/>
  <c r="AA26" i="37"/>
  <c r="S26" i="37"/>
  <c r="AB25" i="35"/>
  <c r="U25" i="35"/>
  <c r="U27" i="33"/>
  <c r="AB27" i="33"/>
  <c r="W28" i="37"/>
  <c r="AC28" i="37"/>
  <c r="U23" i="35"/>
  <c r="AB23" i="35"/>
  <c r="U31" i="21"/>
  <c r="AB31" i="21"/>
  <c r="F28" i="12"/>
  <c r="F27" i="11"/>
  <c r="F27" i="68"/>
  <c r="F27" i="69"/>
  <c r="F30" i="6"/>
  <c r="F31" i="6" s="1"/>
  <c r="E28" i="6"/>
  <c r="E29" i="6"/>
  <c r="K15" i="1" s="1"/>
  <c r="W12" i="35"/>
  <c r="AC12" i="35"/>
  <c r="W32" i="34"/>
  <c r="AC32" i="34"/>
  <c r="S45" i="33"/>
  <c r="AA45" i="33"/>
  <c r="W29" i="33"/>
  <c r="AC29" i="33"/>
  <c r="D17" i="53"/>
  <c r="B36" i="72" s="1"/>
  <c r="B34" i="72"/>
  <c r="D20" i="53"/>
  <c r="B40" i="72" s="1"/>
  <c r="B38" i="72"/>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S10" i="40" l="1"/>
  <c r="C19" i="15"/>
  <c r="C20" i="15" s="1"/>
  <c r="C26" i="15" s="1"/>
  <c r="S10" i="39"/>
  <c r="S6" i="43"/>
  <c r="T6" i="43" s="1"/>
  <c r="V6" i="43" s="1"/>
  <c r="S4" i="43"/>
  <c r="T4" i="43" s="1"/>
  <c r="V4" i="43" s="1"/>
  <c r="AB10" i="39"/>
  <c r="AC6" i="3"/>
  <c r="C23" i="43"/>
  <c r="C21" i="43" s="1"/>
  <c r="C29" i="43" s="1"/>
  <c r="C30" i="43" s="1"/>
  <c r="E30" i="43" s="1"/>
  <c r="S7" i="43"/>
  <c r="T7" i="43" s="1"/>
  <c r="V7" i="43" s="1"/>
  <c r="S2" i="43"/>
  <c r="T2" i="43" s="1"/>
  <c r="V2" i="43" s="1"/>
  <c r="S3" i="43"/>
  <c r="T3" i="43" s="1"/>
  <c r="V3" i="43" s="1"/>
  <c r="S5" i="43"/>
  <c r="T5" i="43" s="1"/>
  <c r="V5" i="43" s="1"/>
  <c r="H6" i="3"/>
  <c r="E6" i="3" s="1"/>
  <c r="C115" i="43"/>
  <c r="D113" i="43"/>
  <c r="AC10" i="40"/>
  <c r="W10" i="39"/>
  <c r="AC7" i="34"/>
  <c r="V49" i="34" s="1"/>
  <c r="I49" i="34" s="1"/>
  <c r="C29" i="12"/>
  <c r="D28" i="12" s="1"/>
  <c r="E3" i="6"/>
  <c r="AY6" i="3"/>
  <c r="U7" i="37"/>
  <c r="K24" i="6"/>
  <c r="M24" i="6" s="1"/>
  <c r="I24" i="6" s="1"/>
  <c r="S24" i="6" s="1"/>
  <c r="K26" i="6"/>
  <c r="M26" i="6" s="1"/>
  <c r="I26" i="6" s="1"/>
  <c r="S26" i="6" s="1"/>
  <c r="K25" i="6"/>
  <c r="M25" i="6" s="1"/>
  <c r="I25" i="6" s="1"/>
  <c r="S25" i="6" s="1"/>
  <c r="K22" i="6"/>
  <c r="M22" i="6" s="1"/>
  <c r="I22" i="6" s="1"/>
  <c r="S22" i="6" s="1"/>
  <c r="K14" i="1"/>
  <c r="E30" i="6"/>
  <c r="K20" i="6"/>
  <c r="M20" i="6" s="1"/>
  <c r="I20" i="6" s="1"/>
  <c r="S20" i="6" s="1"/>
  <c r="K19" i="6"/>
  <c r="S6" i="1" s="1"/>
  <c r="K23" i="6"/>
  <c r="M23" i="6" s="1"/>
  <c r="I23" i="6" s="1"/>
  <c r="S23" i="6" s="1"/>
  <c r="K21" i="6"/>
  <c r="M21" i="6" s="1"/>
  <c r="I21" i="6" s="1"/>
  <c r="S21" i="6" s="1"/>
  <c r="C29" i="11"/>
  <c r="D27" i="11" s="1"/>
  <c r="C47" i="11"/>
  <c r="D45" i="11" s="1"/>
  <c r="C16" i="71"/>
  <c r="T17" i="71"/>
  <c r="D17" i="71"/>
  <c r="U17" i="71" s="1"/>
  <c r="E58" i="40"/>
  <c r="E62" i="39"/>
  <c r="E56" i="40"/>
  <c r="E60" i="39"/>
  <c r="D28" i="71"/>
  <c r="C29" i="71"/>
  <c r="E16" i="6"/>
  <c r="E64" i="39"/>
  <c r="E60" i="40"/>
  <c r="D41" i="71"/>
  <c r="T41" i="71"/>
  <c r="E16" i="71"/>
  <c r="E15" i="71" s="1"/>
  <c r="E14" i="71" s="1"/>
  <c r="E13" i="71" s="1"/>
  <c r="V17" i="71"/>
  <c r="C29" i="69"/>
  <c r="D27" i="69" s="1"/>
  <c r="C47" i="69"/>
  <c r="D45" i="69" s="1"/>
  <c r="F45" i="69"/>
  <c r="T57" i="71"/>
  <c r="D57" i="71"/>
  <c r="B8" i="71"/>
  <c r="B7" i="71" s="1"/>
  <c r="B6" i="71" s="1"/>
  <c r="B5" i="71" s="1"/>
  <c r="S9" i="71"/>
  <c r="E57" i="40"/>
  <c r="E61" i="39"/>
  <c r="E31" i="6"/>
  <c r="C29" i="68"/>
  <c r="D27" i="68" s="1"/>
  <c r="F45" i="68"/>
  <c r="C47" i="68"/>
  <c r="D45" i="68" s="1"/>
  <c r="D53" i="71"/>
  <c r="T53" i="71"/>
  <c r="T37" i="71"/>
  <c r="D37" i="71"/>
  <c r="P62" i="71"/>
  <c r="P63" i="71"/>
  <c r="E59" i="40"/>
  <c r="E63" i="39"/>
  <c r="D33" i="71"/>
  <c r="T33" i="71"/>
  <c r="Q63" i="71"/>
  <c r="Q62"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AR6" i="1"/>
  <c r="AQ6" i="1"/>
  <c r="T6" i="1"/>
  <c r="S16" i="1"/>
  <c r="E29" i="43"/>
  <c r="K27" i="6"/>
  <c r="M19" i="6"/>
  <c r="E12" i="71"/>
  <c r="E11" i="71" s="1"/>
  <c r="E10" i="71" s="1"/>
  <c r="E9" i="71" s="1"/>
  <c r="V13" i="71"/>
  <c r="T29" i="71"/>
  <c r="D29" i="71"/>
  <c r="C15" i="71"/>
  <c r="D16" i="7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83" i="3"/>
  <c r="AY50" i="3"/>
  <c r="AY207" i="3"/>
  <c r="AY155" i="3"/>
  <c r="AY289" i="3"/>
  <c r="AY42" i="3"/>
  <c r="AY131" i="3"/>
  <c r="AY261" i="3"/>
  <c r="AY168" i="3"/>
  <c r="AY268" i="3"/>
  <c r="AY209" i="3"/>
  <c r="AY366" i="3"/>
  <c r="AY318" i="3"/>
  <c r="AY455" i="3"/>
  <c r="AY441" i="3"/>
  <c r="AY106" i="3"/>
  <c r="AY116" i="3"/>
  <c r="AY260" i="3"/>
  <c r="AY395" i="3"/>
  <c r="AY343" i="3"/>
  <c r="AY103" i="3"/>
  <c r="AY51" i="3"/>
  <c r="AY23" i="3"/>
  <c r="AY160" i="3"/>
  <c r="AY124" i="3"/>
  <c r="AY59" i="3"/>
  <c r="AY183" i="3"/>
  <c r="AY281" i="3"/>
  <c r="AY58" i="3"/>
  <c r="AY284" i="3"/>
  <c r="AY236" i="3"/>
  <c r="AY371" i="3"/>
  <c r="AY319" i="3"/>
  <c r="AY473" i="3"/>
  <c r="AY428" i="3"/>
  <c r="AY497" i="3"/>
  <c r="AY26" i="3"/>
  <c r="AY245" i="3"/>
  <c r="AY212" i="3"/>
  <c r="AY372" i="3"/>
  <c r="AY342" i="3"/>
  <c r="AY478" i="3"/>
  <c r="AY420" i="3"/>
  <c r="AY513" i="3"/>
  <c r="AY573" i="3"/>
  <c r="AY533" i="3"/>
  <c r="AY553" i="3"/>
  <c r="AY100" i="3"/>
  <c r="AY61" i="3"/>
  <c r="AY60" i="3"/>
  <c r="AY20" i="3"/>
  <c r="AY190" i="3"/>
  <c r="AY170" i="3"/>
  <c r="AY173" i="3"/>
  <c r="AY133" i="3"/>
  <c r="AY299" i="3"/>
  <c r="AY286" i="3"/>
  <c r="AY247" i="3"/>
  <c r="AY246" i="3"/>
  <c r="AY227" i="3"/>
  <c r="AY397" i="3"/>
  <c r="AY357" i="3"/>
  <c r="AY507" i="3"/>
  <c r="AY109" i="3"/>
  <c r="AY41" i="3"/>
  <c r="AY29" i="3"/>
  <c r="AY166" i="3"/>
  <c r="AY114" i="3"/>
  <c r="AY275" i="3"/>
  <c r="AY242" i="3"/>
  <c r="AY377" i="3"/>
  <c r="AY341" i="3"/>
  <c r="AY348" i="3"/>
  <c r="AY491"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BR6" i="3"/>
  <c r="BP6"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66" i="3"/>
  <c r="AY144" i="3"/>
  <c r="AY74" i="3"/>
  <c r="AY276" i="3"/>
  <c r="AY253" i="3"/>
  <c r="AY363" i="3"/>
  <c r="AY470" i="3"/>
  <c r="AY529" i="3"/>
  <c r="AY229" i="3"/>
  <c r="AY358" i="3"/>
  <c r="AY465" i="3"/>
  <c r="AY433" i="3"/>
  <c r="AY549" i="3"/>
  <c r="AY540" i="3"/>
  <c r="AY105" i="3"/>
  <c r="AY77" i="3"/>
  <c r="AY76" i="3"/>
  <c r="AY33" i="3"/>
  <c r="AY193" i="3"/>
  <c r="AY138" i="3"/>
  <c r="AY118" i="3"/>
  <c r="AY283" i="3"/>
  <c r="AY255" i="3"/>
  <c r="AY238" i="3"/>
  <c r="AY392" i="3"/>
  <c r="AY374" i="3"/>
  <c r="BH6" i="3"/>
  <c r="AY88" i="3"/>
  <c r="AY24" i="3"/>
  <c r="AY177" i="3"/>
  <c r="AY295" i="3"/>
  <c r="AY258" i="3"/>
  <c r="AY370" i="3"/>
  <c r="AY317" i="3"/>
  <c r="AY316" i="3"/>
  <c r="AY472" i="3"/>
  <c r="AY438" i="3"/>
  <c r="AY427" i="3"/>
  <c r="BM6" i="3"/>
  <c r="AY534" i="3"/>
  <c r="AY520" i="3"/>
  <c r="AY543" i="3"/>
  <c r="AY514" i="3"/>
  <c r="AY101" i="3"/>
  <c r="AY48" i="3"/>
  <c r="AY174" i="3"/>
  <c r="AY129" i="3"/>
  <c r="AY266" i="3"/>
  <c r="AY380" i="3"/>
  <c r="AY337" i="3"/>
  <c r="AY320" i="3"/>
  <c r="AY484" i="3"/>
  <c r="AY458" i="3"/>
  <c r="AY439" i="3"/>
  <c r="AY505" i="3"/>
  <c r="D3" i="6"/>
  <c r="AY509" i="3"/>
  <c r="AY570" i="3"/>
  <c r="AY493" i="3"/>
  <c r="AY47" i="3"/>
  <c r="AY35" i="3"/>
  <c r="AY172" i="3"/>
  <c r="AY120" i="3"/>
  <c r="AY280" i="3"/>
  <c r="AY248" i="3"/>
  <c r="AY383" i="3"/>
  <c r="AY331" i="3"/>
  <c r="AY485" i="3"/>
  <c r="AY440" i="3"/>
  <c r="AY405" i="3"/>
  <c r="AY547" i="3"/>
  <c r="AY576" i="3"/>
  <c r="AY86" i="3"/>
  <c r="AY54" i="3"/>
  <c r="AY195" i="3"/>
  <c r="AY159" i="3"/>
  <c r="AY293" i="3"/>
  <c r="AY272" i="3"/>
  <c r="AY213" i="3"/>
  <c r="AY351" i="3"/>
  <c r="AY322" i="3"/>
  <c r="AY459" i="3"/>
  <c r="AY400" i="3"/>
  <c r="AY15" i="3"/>
  <c r="AY504" i="3"/>
  <c r="AY87" i="3"/>
  <c r="AY196" i="3"/>
  <c r="AY115" i="3"/>
  <c r="AY152" i="3"/>
  <c r="AY204" i="3"/>
  <c r="AY225" i="3"/>
  <c r="AY303" i="3"/>
  <c r="AY412" i="3"/>
  <c r="AY180" i="3"/>
  <c r="AY217" i="3"/>
  <c r="AY326" i="3"/>
  <c r="AY452" i="3"/>
  <c r="AY401" i="3"/>
  <c r="AY544" i="3"/>
  <c r="AY539" i="3"/>
  <c r="AY108" i="3"/>
  <c r="AY45" i="3"/>
  <c r="AY44" i="3"/>
  <c r="AY198" i="3"/>
  <c r="AY162" i="3"/>
  <c r="AY149" i="3"/>
  <c r="AY125" i="3"/>
  <c r="AY278" i="3"/>
  <c r="AY270" i="3"/>
  <c r="AY214" i="3"/>
  <c r="AY381" i="3"/>
  <c r="AY360" i="3"/>
  <c r="BB6" i="3"/>
  <c r="AY72" i="3"/>
  <c r="AY197" i="3"/>
  <c r="AY145" i="3"/>
  <c r="AY259" i="3"/>
  <c r="AY215" i="3"/>
  <c r="AY349" i="3"/>
  <c r="AY332" i="3"/>
  <c r="AY475" i="3"/>
  <c r="AY449" i="3"/>
  <c r="AY406" i="3"/>
  <c r="AY581" i="3"/>
  <c r="AY585" i="3"/>
  <c r="AY571" i="3"/>
  <c r="AY552" i="3"/>
  <c r="AY584" i="3"/>
  <c r="AY519" i="3"/>
  <c r="AY65" i="3"/>
  <c r="AY21" i="3"/>
  <c r="AY153" i="3"/>
  <c r="AY282" i="3"/>
  <c r="AY234" i="3"/>
  <c r="AY364" i="3"/>
  <c r="AY305" i="3"/>
  <c r="AY487" i="3"/>
  <c r="AY453" i="3"/>
  <c r="AY426" i="3"/>
  <c r="AY415" i="3"/>
  <c r="AY538" i="3"/>
  <c r="AY502" i="3"/>
  <c r="AY542" i="3"/>
  <c r="AY578" i="3"/>
  <c r="AY94" i="3"/>
  <c r="AY62" i="3"/>
  <c r="AY203" i="3"/>
  <c r="AY167" i="3"/>
  <c r="AY301" i="3"/>
  <c r="AY233" i="3"/>
  <c r="AY221" i="3"/>
  <c r="AY359" i="3"/>
  <c r="AY330" i="3"/>
  <c r="AY466" i="3"/>
  <c r="AY408" i="3"/>
  <c r="AY13" i="3"/>
  <c r="AY512" i="3"/>
  <c r="AY107" i="3"/>
  <c r="AY39" i="3"/>
  <c r="AY27" i="3"/>
  <c r="AY164" i="3"/>
  <c r="AY136" i="3"/>
  <c r="AY273" i="3"/>
  <c r="AY240" i="3"/>
  <c r="AY375" i="3"/>
  <c r="AY323" i="3"/>
  <c r="AY477" i="3"/>
  <c r="AY432" i="3"/>
  <c r="AY550" i="3"/>
  <c r="AY566" i="3"/>
  <c r="AY567" i="3"/>
  <c r="AY176" i="3"/>
  <c r="AY123" i="3"/>
  <c r="AY382" i="3"/>
  <c r="AY409" i="3"/>
  <c r="AY379" i="3"/>
  <c r="AY436" i="3"/>
  <c r="AY569" i="3"/>
  <c r="AY92" i="3"/>
  <c r="AY28" i="3"/>
  <c r="AY154" i="3"/>
  <c r="AY291" i="3"/>
  <c r="AY262" i="3"/>
  <c r="AY373" i="3"/>
  <c r="AY104" i="3"/>
  <c r="AY181" i="3"/>
  <c r="AY274" i="3"/>
  <c r="AY333" i="3"/>
  <c r="AY488" i="3"/>
  <c r="AY398" i="3"/>
  <c r="AY572" i="3"/>
  <c r="BG6" i="3"/>
  <c r="AY523" i="3"/>
  <c r="AY189" i="3"/>
  <c r="AY267" i="3"/>
  <c r="AY345" i="3"/>
  <c r="AY471" i="3"/>
  <c r="AY410" i="3"/>
  <c r="AY14" i="3"/>
  <c r="AY545" i="3"/>
  <c r="AY79" i="3"/>
  <c r="AY187" i="3"/>
  <c r="AY296" i="3"/>
  <c r="AY394" i="3"/>
  <c r="AY314" i="3"/>
  <c r="AY421" i="3"/>
  <c r="AY568" i="3"/>
  <c r="AY70" i="3"/>
  <c r="AY175" i="3"/>
  <c r="AY257" i="3"/>
  <c r="AY367" i="3"/>
  <c r="AY474" i="3"/>
  <c r="AY521" i="3"/>
  <c r="AY498" i="3"/>
  <c r="AY417" i="3"/>
  <c r="AY165" i="3"/>
  <c r="AY368" i="3"/>
  <c r="AY161" i="3"/>
  <c r="AY210" i="3"/>
  <c r="AY457" i="3"/>
  <c r="AY411" i="3"/>
  <c r="AY501" i="3"/>
  <c r="AY158" i="3"/>
  <c r="AY250" i="3"/>
  <c r="AY476" i="3"/>
  <c r="AY423" i="3"/>
  <c r="AY531" i="3"/>
  <c r="AY78" i="3"/>
  <c r="AY265" i="3"/>
  <c r="AY482" i="3"/>
  <c r="AY500" i="3"/>
  <c r="AY22" i="3"/>
  <c r="AY143" i="3"/>
  <c r="AY256" i="3"/>
  <c r="AY443" i="3"/>
  <c r="BC6" i="3"/>
  <c r="AY67" i="3"/>
  <c r="AY489" i="3"/>
  <c r="AY310" i="3"/>
  <c r="BE6" i="3"/>
  <c r="AY201" i="3"/>
  <c r="AY554" i="3"/>
  <c r="AY324" i="3"/>
  <c r="AY494" i="3"/>
  <c r="AY445" i="3"/>
  <c r="AY151" i="3"/>
  <c r="AY102" i="3"/>
  <c r="AY307" i="3"/>
  <c r="AY139" i="3"/>
  <c r="AY111" i="3"/>
  <c r="AY335" i="3"/>
  <c r="AY43" i="3"/>
  <c r="AY327" i="3"/>
  <c r="AY541" i="3"/>
  <c r="AY69" i="3"/>
  <c r="AY206" i="3"/>
  <c r="AY294" i="3"/>
  <c r="AY230" i="3"/>
  <c r="AY73" i="3"/>
  <c r="AY309" i="3"/>
  <c r="BF6" i="3"/>
  <c r="AY81" i="3"/>
  <c r="AY313" i="3"/>
  <c r="AY524" i="3"/>
  <c r="AY140" i="3"/>
  <c r="AY376" i="3"/>
  <c r="AY587" i="3"/>
  <c r="AY339" i="3"/>
  <c r="AY95" i="3"/>
  <c r="AY300" i="3"/>
  <c r="AY84" i="3"/>
  <c r="AY141" i="3"/>
  <c r="AY219" i="3"/>
  <c r="AY56" i="3"/>
  <c r="AY388" i="3"/>
  <c r="AY446" i="3"/>
  <c r="AY546" i="3"/>
  <c r="AY137" i="3"/>
  <c r="AY344" i="3"/>
  <c r="AY579" i="3"/>
  <c r="BA6" i="3"/>
  <c r="AY264" i="3"/>
  <c r="AY451" i="3"/>
  <c r="AY200" i="3"/>
  <c r="AY208" i="3"/>
  <c r="AY583" i="3"/>
  <c r="AY188" i="3"/>
  <c r="AY228" i="3"/>
  <c r="AY97" i="3"/>
  <c r="AY185" i="3"/>
  <c r="AY384" i="3"/>
  <c r="AY202" i="3"/>
  <c r="AY483" i="3"/>
  <c r="AY580" i="3"/>
  <c r="AY37" i="3"/>
  <c r="AY369" i="3"/>
  <c r="AY434" i="3"/>
  <c r="AY110" i="3"/>
  <c r="AY127" i="3"/>
  <c r="AY315" i="3"/>
  <c r="AY71" i="3"/>
  <c r="AY288" i="3"/>
  <c r="AY306" i="3"/>
  <c r="AY297" i="3"/>
  <c r="AY557" i="3"/>
  <c r="AY263" i="3"/>
  <c r="AY121" i="3"/>
  <c r="AY503" i="3"/>
  <c r="AY80" i="3"/>
  <c r="AY396" i="3"/>
  <c r="AY515" i="3"/>
  <c r="AY30" i="3"/>
  <c r="AY347" i="3"/>
  <c r="AY517" i="3"/>
  <c r="AY119" i="3"/>
  <c r="AY416" i="3"/>
  <c r="AY252" i="3"/>
  <c r="AY463" i="3"/>
  <c r="AY52" i="3"/>
  <c r="AY134" i="3"/>
  <c r="BJ6" i="3"/>
  <c r="AY353" i="3"/>
  <c r="AY430" i="3"/>
  <c r="AY496" i="3"/>
  <c r="AY287" i="3"/>
  <c r="AY312" i="3"/>
  <c r="AY551" i="3"/>
  <c r="AY19" i="3"/>
  <c r="AY216" i="3"/>
  <c r="AY528" i="3"/>
  <c r="AY179" i="3"/>
  <c r="AY386" i="3"/>
  <c r="BT6" i="3"/>
  <c r="AY34" i="3"/>
  <c r="AY460" i="3"/>
  <c r="BK6" i="3"/>
  <c r="AY231" i="3"/>
  <c r="AY290" i="3"/>
  <c r="AY510" i="3"/>
  <c r="AY506" i="3"/>
  <c r="AY424" i="3"/>
  <c r="AY413" i="3"/>
  <c r="E65" i="39"/>
  <c r="M14" i="1"/>
  <c r="C34" i="69"/>
  <c r="K16" i="1"/>
  <c r="D3" i="34"/>
  <c r="D19" i="11"/>
  <c r="C19" i="11" s="1"/>
  <c r="C24" i="11" s="1"/>
  <c r="D3" i="37"/>
  <c r="D3" i="33"/>
  <c r="C17" i="4"/>
  <c r="B4" i="52" s="1"/>
  <c r="B43" i="72" s="1"/>
  <c r="D14" i="12"/>
  <c r="E6" i="6"/>
  <c r="D37" i="11"/>
  <c r="C37" i="11" s="1"/>
  <c r="L18" i="9"/>
  <c r="D3" i="21"/>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B6" i="76"/>
  <c r="E6" i="76"/>
  <c r="B2" i="34" l="1"/>
  <c r="B3" i="34" s="1"/>
  <c r="C8" i="74"/>
  <c r="C7" i="74"/>
  <c r="D10" i="11"/>
  <c r="C10" i="11" s="1"/>
  <c r="D10" i="68"/>
  <c r="D20" i="12"/>
  <c r="C20" i="12" s="1"/>
  <c r="D10" i="69"/>
  <c r="C35" i="69"/>
  <c r="C38" i="69"/>
  <c r="D17" i="12"/>
  <c r="C17" i="12" s="1"/>
  <c r="C14" i="12"/>
  <c r="C20" i="11"/>
  <c r="C25" i="11" s="1"/>
  <c r="C22" i="11" s="1"/>
  <c r="O14" i="1"/>
  <c r="O16" i="1" s="1"/>
  <c r="M16" i="1"/>
  <c r="T16" i="1"/>
  <c r="D15" i="6"/>
  <c r="D21" i="6"/>
  <c r="D20" i="6"/>
  <c r="D6" i="6"/>
  <c r="D10" i="6"/>
  <c r="D29" i="6"/>
  <c r="H22" i="6"/>
  <c r="H24" i="6"/>
  <c r="M19" i="9"/>
  <c r="C118" i="9" s="1"/>
  <c r="C14" i="74" s="1"/>
  <c r="B2" i="74" s="1"/>
  <c r="C18" i="4"/>
  <c r="D24" i="6"/>
  <c r="D5" i="6"/>
  <c r="D13" i="6"/>
  <c r="H25" i="6"/>
  <c r="H26" i="6"/>
  <c r="D25" i="6"/>
  <c r="R25" i="6" s="1"/>
  <c r="D8" i="6"/>
  <c r="D9" i="6"/>
  <c r="D28" i="6"/>
  <c r="D30" i="6" s="1"/>
  <c r="H23" i="6"/>
  <c r="D22" i="6"/>
  <c r="D12" i="6"/>
  <c r="D11" i="6"/>
  <c r="D19" i="6"/>
  <c r="D23" i="6"/>
  <c r="H21" i="6"/>
  <c r="D14" i="6"/>
  <c r="E61" i="40"/>
  <c r="L19" i="9"/>
  <c r="H20" i="6"/>
  <c r="D26" i="6"/>
  <c r="C14" i="71"/>
  <c r="D15" i="71"/>
  <c r="E8" i="71"/>
  <c r="E7" i="71" s="1"/>
  <c r="E6" i="71" s="1"/>
  <c r="E5" i="71" s="1"/>
  <c r="V9" i="71"/>
  <c r="I19" i="6"/>
  <c r="H19" i="6" s="1"/>
  <c r="H27" i="6" s="1"/>
  <c r="M27"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R26" i="6" l="1"/>
  <c r="D16" i="6"/>
  <c r="P14" i="1"/>
  <c r="P16" i="1" s="1"/>
  <c r="C11" i="12" s="1"/>
  <c r="C15" i="12" s="1"/>
  <c r="C10" i="68"/>
  <c r="B29" i="1" s="1"/>
  <c r="C8" i="68" s="1"/>
  <c r="C5" i="68" s="1"/>
  <c r="C23" i="68" s="1"/>
  <c r="D19" i="68"/>
  <c r="R23" i="6"/>
  <c r="R24" i="6"/>
  <c r="R20" i="6"/>
  <c r="N16" i="1"/>
  <c r="L16" i="1"/>
  <c r="C34" i="11"/>
  <c r="C34" i="68"/>
  <c r="C28" i="11"/>
  <c r="C27" i="11" s="1"/>
  <c r="C31" i="11" s="1"/>
  <c r="I27" i="6"/>
  <c r="S19" i="6"/>
  <c r="S27" i="6" s="1"/>
  <c r="C13" i="71"/>
  <c r="D14" i="71"/>
  <c r="R22" i="6"/>
  <c r="A10" i="51"/>
  <c r="B9" i="72" s="1"/>
  <c r="C4" i="52"/>
  <c r="B45" i="72" s="1"/>
  <c r="A7" i="51"/>
  <c r="B7" i="72" s="1"/>
  <c r="R21" i="6"/>
  <c r="C10" i="69"/>
  <c r="C8" i="69" s="1"/>
  <c r="C5" i="69" s="1"/>
  <c r="D19" i="69"/>
  <c r="D27" i="6"/>
  <c r="D31" i="6" s="1"/>
  <c r="R19" i="6"/>
  <c r="D8" i="74"/>
  <c r="D7" i="74"/>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18" i="12" l="1"/>
  <c r="R27" i="6"/>
  <c r="R6" i="1"/>
  <c r="C12" i="12"/>
  <c r="C16" i="12" s="1"/>
  <c r="C19" i="69"/>
  <c r="C24" i="69" s="1"/>
  <c r="D37" i="69"/>
  <c r="C37" i="69" s="1"/>
  <c r="C33" i="69" s="1"/>
  <c r="C12" i="71"/>
  <c r="T13" i="71"/>
  <c r="D13" i="71"/>
  <c r="U13" i="71" s="1"/>
  <c r="C35" i="68"/>
  <c r="C38" i="68"/>
  <c r="C23" i="69"/>
  <c r="C38" i="11"/>
  <c r="C35" i="11"/>
  <c r="I6" i="6"/>
  <c r="I5" i="6"/>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21" i="12" l="1"/>
  <c r="C22" i="12" s="1"/>
  <c r="C30" i="12" s="1"/>
  <c r="C28" i="12" s="1"/>
  <c r="C34" i="15"/>
  <c r="C31" i="15" s="1"/>
  <c r="C30" i="15" s="1"/>
  <c r="C39" i="15" s="1"/>
  <c r="F63" i="15"/>
  <c r="C62" i="15" s="1"/>
  <c r="C59" i="15" s="1"/>
  <c r="C58" i="15" s="1"/>
  <c r="C67" i="15" s="1"/>
  <c r="C68" i="15" s="1"/>
  <c r="C71" i="15" s="1"/>
  <c r="J20" i="15"/>
  <c r="J17" i="15" s="1"/>
  <c r="J16" i="15" s="1"/>
  <c r="J25" i="15" s="1"/>
  <c r="R16" i="1"/>
  <c r="C33" i="68"/>
  <c r="C42" i="68" s="1"/>
  <c r="C33" i="11"/>
  <c r="C39" i="11" s="1"/>
  <c r="C20" i="69"/>
  <c r="C25" i="69" s="1"/>
  <c r="C22" i="69" s="1"/>
  <c r="C42" i="11"/>
  <c r="D12" i="71"/>
  <c r="C11" i="71"/>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27" i="12" l="1"/>
  <c r="C25" i="12" s="1"/>
  <c r="C32" i="12" s="1"/>
  <c r="B2" i="12" s="1"/>
  <c r="B3" i="12" s="1"/>
  <c r="L57" i="15"/>
  <c r="L60" i="15" s="1"/>
  <c r="L46" i="15" s="1"/>
  <c r="Q67" i="15"/>
  <c r="C40" i="15"/>
  <c r="C80" i="15"/>
  <c r="C79" i="15" s="1"/>
  <c r="Q69" i="15"/>
  <c r="Q68" i="15" s="1"/>
  <c r="C39" i="68"/>
  <c r="C46" i="68" s="1"/>
  <c r="C45" i="68" s="1"/>
  <c r="C41" i="69"/>
  <c r="C28" i="69"/>
  <c r="C27" i="69" s="1"/>
  <c r="C31" i="69" s="1"/>
  <c r="C28" i="68"/>
  <c r="C27" i="68" s="1"/>
  <c r="C22" i="68"/>
  <c r="C46" i="69"/>
  <c r="C45" i="69" s="1"/>
  <c r="C46" i="11"/>
  <c r="C45" i="11" s="1"/>
  <c r="C43" i="11"/>
  <c r="C41" i="11" s="1"/>
  <c r="C10" i="71"/>
  <c r="D11"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57" i="15" l="1"/>
  <c r="Q66" i="15"/>
  <c r="Q65" i="15"/>
  <c r="C43" i="15"/>
  <c r="B2" i="15"/>
  <c r="Q47" i="15"/>
  <c r="Q53" i="15" s="1"/>
  <c r="C46" i="15"/>
  <c r="Q56" i="15"/>
  <c r="C83" i="15"/>
  <c r="C82" i="15" s="1"/>
  <c r="C43" i="68"/>
  <c r="C41" i="68" s="1"/>
  <c r="C49" i="68" s="1"/>
  <c r="C51" i="68" s="1"/>
  <c r="C49" i="69"/>
  <c r="C51" i="69" s="1"/>
  <c r="C52" i="69" s="1"/>
  <c r="B2" i="69" s="1"/>
  <c r="B3" i="69" s="1"/>
  <c r="C49" i="11"/>
  <c r="C51" i="11" s="1"/>
  <c r="C52" i="11" s="1"/>
  <c r="B2" i="11" s="1"/>
  <c r="B3" i="11" s="1"/>
  <c r="C31" i="68"/>
  <c r="D10" i="71"/>
  <c r="C9" i="71"/>
  <c r="M69" i="39"/>
  <c r="N67" i="39"/>
  <c r="R39" i="35"/>
  <c r="E38" i="35"/>
  <c r="M63" i="40"/>
  <c r="L65" i="40"/>
  <c r="D19" i="9"/>
  <c r="AO6" i="1"/>
  <c r="D102" i="9" l="1"/>
  <c r="D21" i="9"/>
  <c r="Q75" i="15"/>
  <c r="Q62" i="15"/>
  <c r="B6" i="70"/>
  <c r="B2" i="70" s="1"/>
  <c r="B3" i="70" s="1"/>
  <c r="B3" i="15"/>
  <c r="C52" i="68"/>
  <c r="B2" i="68" s="1"/>
  <c r="C8" i="71"/>
  <c r="T9" i="71"/>
  <c r="D9" i="71"/>
  <c r="U9" i="71" s="1"/>
  <c r="C56" i="11"/>
  <c r="C57" i="11" s="1"/>
  <c r="C57" i="69"/>
  <c r="C56" i="69" s="1"/>
  <c r="O67" i="39"/>
  <c r="O69" i="39" s="1"/>
  <c r="N69" i="39"/>
  <c r="F7" i="39"/>
  <c r="C39" i="35"/>
  <c r="B2" i="35" s="1"/>
  <c r="B3" i="35" s="1"/>
  <c r="C38" i="35"/>
  <c r="N63" i="40"/>
  <c r="M65" i="40"/>
  <c r="E43" i="35"/>
  <c r="F43" i="35" s="1"/>
  <c r="E42" i="35"/>
  <c r="F42" i="35" s="1"/>
  <c r="I43" i="35"/>
  <c r="J43" i="35" s="1"/>
  <c r="D20" i="9"/>
  <c r="C19" i="9"/>
  <c r="D103" i="9" l="1"/>
  <c r="D22" i="9"/>
  <c r="G19" i="9"/>
  <c r="G21" i="9" s="1"/>
  <c r="C102" i="9"/>
  <c r="C21" i="9"/>
  <c r="B3" i="68"/>
  <c r="C57" i="68"/>
  <c r="C56" i="68" s="1"/>
  <c r="C7" i="71"/>
  <c r="D8" i="71"/>
  <c r="H7" i="39"/>
  <c r="J7" i="39"/>
  <c r="S7" i="39"/>
  <c r="AA7" i="39"/>
  <c r="R47" i="39" s="1"/>
  <c r="O63" i="40"/>
  <c r="O65" i="40" s="1"/>
  <c r="N65" i="40"/>
  <c r="D34" i="9"/>
  <c r="D35" i="9"/>
  <c r="C20" i="9"/>
  <c r="G20" i="9" l="1"/>
  <c r="C32" i="9" s="1"/>
  <c r="C103" i="9"/>
  <c r="D7" i="71"/>
  <c r="C6" i="71"/>
  <c r="W7" i="39"/>
  <c r="AC7" i="39"/>
  <c r="V47" i="39" s="1"/>
  <c r="I47" i="39" s="1"/>
  <c r="E47" i="39"/>
  <c r="R48" i="39"/>
  <c r="U7" i="39"/>
  <c r="AB7" i="39"/>
  <c r="T47" i="39" s="1"/>
  <c r="G47" i="39" s="1"/>
  <c r="J7" i="40"/>
  <c r="F7" i="40"/>
  <c r="H7" i="40"/>
  <c r="C35" i="9" l="1"/>
  <c r="C34" i="9" s="1"/>
  <c r="C5" i="71"/>
  <c r="D6" i="7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5" i="71" l="1"/>
  <c r="M20" i="43"/>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I118" i="9" s="1"/>
  <c r="H101" i="9" l="1"/>
  <c r="H119" i="9"/>
  <c r="H5" i="52" s="1"/>
  <c r="H4" i="52"/>
  <c r="H102" i="9"/>
  <c r="D7" i="53" s="1"/>
  <c r="B21" i="72" s="1"/>
  <c r="C105" i="9"/>
  <c r="I4" i="52"/>
  <c r="M48" i="9"/>
  <c r="C104" i="9"/>
  <c r="D4" i="52"/>
  <c r="B47" i="72" s="1"/>
  <c r="G118" i="9"/>
  <c r="G4" i="52" s="1"/>
  <c r="B52" i="72" s="1"/>
  <c r="D14" i="74"/>
  <c r="F119" i="9"/>
  <c r="F5" i="52" s="1"/>
  <c r="B53" i="72" s="1"/>
  <c r="D5" i="53" l="1"/>
  <c r="D45" i="9"/>
  <c r="H107" i="9"/>
  <c r="E118" i="9"/>
  <c r="E4" i="52" s="1"/>
  <c r="B48" i="72" s="1"/>
  <c r="B5" i="74"/>
  <c r="E14" i="74"/>
  <c r="F14" i="74"/>
  <c r="D122" i="9" l="1"/>
  <c r="D13" i="53"/>
  <c r="M49" i="9"/>
  <c r="H108" i="9"/>
  <c r="D15" i="53" s="1"/>
  <c r="B31" i="72" s="1"/>
  <c r="D52" i="9"/>
  <c r="C72" i="9"/>
  <c r="D53" i="9"/>
  <c r="C78" i="9"/>
  <c r="C73" i="9" s="1"/>
  <c r="C93" i="9"/>
  <c r="C86" i="9" s="1"/>
  <c r="D55" i="9"/>
  <c r="M53" i="9" s="1"/>
  <c r="C85" i="9"/>
  <c r="C64" i="9"/>
  <c r="C63" i="9" s="1"/>
  <c r="C67" i="9" s="1"/>
  <c r="B20" i="72"/>
  <c r="D6" i="53"/>
  <c r="B22" i="72" s="1"/>
  <c r="D5" i="74"/>
  <c r="C5" i="74"/>
  <c r="C95" i="9" l="1"/>
  <c r="C96" i="9" s="1"/>
  <c r="E96" i="9" s="1"/>
  <c r="E97" i="9" s="1"/>
  <c r="C97" i="9"/>
  <c r="D58" i="9" s="1"/>
  <c r="D56" i="9" s="1"/>
  <c r="M54" i="9" s="1"/>
  <c r="N57" i="9" s="1"/>
  <c r="N58" i="9" s="1"/>
  <c r="C68" i="9"/>
  <c r="D54" i="9" s="1"/>
  <c r="D59" i="9"/>
  <c r="M55" i="9" s="1"/>
  <c r="C79" i="9"/>
  <c r="L65" i="9"/>
  <c r="M65" i="9" s="1"/>
  <c r="L68" i="9"/>
  <c r="M68" i="9" s="1"/>
  <c r="L67" i="9"/>
  <c r="M67" i="9" s="1"/>
  <c r="L64" i="9"/>
  <c r="M64" i="9" s="1"/>
  <c r="L66" i="9"/>
  <c r="M66" i="9" s="1"/>
  <c r="L63" i="9"/>
  <c r="M63" i="9" s="1"/>
  <c r="M69" i="9" s="1"/>
  <c r="N69" i="9" s="1"/>
  <c r="B30" i="72"/>
  <c r="D14" i="53"/>
  <c r="B32" i="72" s="1"/>
  <c r="D123" i="9"/>
  <c r="D9" i="52" s="1"/>
  <c r="D8" i="52"/>
  <c r="G14" i="74"/>
  <c r="B6" i="74" s="1"/>
  <c r="N59" i="9" l="1"/>
  <c r="P57" i="9"/>
  <c r="C80" i="9"/>
  <c r="E80" i="9" s="1"/>
  <c r="E81" i="9" s="1"/>
  <c r="C81" i="9"/>
  <c r="D6" i="74"/>
  <c r="C6" i="74"/>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<sst xmlns="http://schemas.openxmlformats.org/spreadsheetml/2006/main" count="7412" uniqueCount="3195">
  <si>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</si>
  <si>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</si>
  <si>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</si>
  <si>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</si>
  <si>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</si>
  <si>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</si>
  <si>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</si>
  <si>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</si>
  <si>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</si>
  <si>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</si>
  <si>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</si>
  <si>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</si>
  <si>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</si>
  <si>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</si>
  <si>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</si>
  <si>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</si>
  <si>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</si>
  <si>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</si>
  <si>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</si>
  <si>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</si>
  <si>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</si>
  <si>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</si>
  <si>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</si>
  <si>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</si>
  <si>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</si>
  <si>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</si>
  <si>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</si>
  <si>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</si>
  <si>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</si>
  <si>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</si>
  <si>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</si>
  <si>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</si>
  <si>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</si>
  <si>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</si>
  <si>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</si>
  <si>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</si>
  <si>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</si>
  <si>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</si>
  <si>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</si>
  <si>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</si>
  <si>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</si>
  <si>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</si>
  <si>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</si>
  <si>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</si>
  <si>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</si>
  <si>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</si>
  <si>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</si>
  <si>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</si>
  <si>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</si>
  <si>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</si>
  <si>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</si>
  <si>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</si>
  <si>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</si>
  <si>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</si>
  <si>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</si>
  <si>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</si>
  <si>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</si>
  <si>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</si>
  <si>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</si>
  <si>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</si>
  <si>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</si>
  <si>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</si>
  <si>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</si>
  <si>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</si>
  <si>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</si>
  <si>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</si>
  <si>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</si>
  <si>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</si>
  <si>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</si>
  <si>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</si>
  <si>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</si>
  <si>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</si>
  <si>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</si>
  <si>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</si>
  <si>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</si>
  <si>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</si>
  <si>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</si>
  <si>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</si>
  <si>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</si>
  <si>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</si>
  <si>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</si>
  <si>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</si>
  <si>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</si>
  <si>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</si>
  <si>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</si>
  <si>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</si>
  <si>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</si>
  <si>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</si>
  <si>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</si>
  <si>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</si>
  <si>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</si>
  <si>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</si>
  <si>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</si>
  <si>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</si>
  <si>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</si>
  <si>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</si>
  <si>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</si>
  <si>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</si>
  <si>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</si>
  <si>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</si>
  <si>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</si>
  <si>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</si>
  <si>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</si>
  <si>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</si>
  <si>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</si>
  <si>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</si>
  <si>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</si>
  <si>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</si>
  <si>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</si>
  <si>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</si>
  <si>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</si>
  <si>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</si>
  <si>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</si>
  <si>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</si>
  <si>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</si>
  <si>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</si>
  <si>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</si>
  <si>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</si>
  <si>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</si>
  <si>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</si>
  <si>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</si>
  <si>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</si>
  <si>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</si>
  <si>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</si>
  <si>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</si>
  <si>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</si>
  <si>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</si>
  <si>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</si>
  <si>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</si>
  <si>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</si>
  <si>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</si>
  <si>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</si>
  <si>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</si>
  <si>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</si>
  <si>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</si>
  <si>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</si>
  <si>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</si>
  <si>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</si>
  <si>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</si>
  <si>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</si>
  <si>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</si>
  <si>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</si>
  <si>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</si>
  <si>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</si>
  <si>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</si>
  <si>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</si>
  <si>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</si>
  <si>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</si>
  <si>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</si>
  <si>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</si>
  <si>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</si>
  <si>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</si>
  <si>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</si>
  <si>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</si>
  <si>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</si>
  <si>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</si>
  <si>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</si>
  <si>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</si>
  <si>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</si>
  <si>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</si>
  <si>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</si>
  <si>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</si>
  <si>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</si>
  <si>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</si>
  <si>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</si>
  <si>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</si>
  <si>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</si>
  <si>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</si>
  <si>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</si>
  <si>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</si>
  <si>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</si>
  <si>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</si>
  <si>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</si>
  <si>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</si>
  <si>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</si>
  <si>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</si>
  <si>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</si>
  <si>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</si>
  <si>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</si>
  <si>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</si>
  <si>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</si>
  <si>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</si>
  <si>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</si>
  <si>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</si>
  <si>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</si>
  <si>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</si>
  <si>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</si>
  <si>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</si>
  <si>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</si>
  <si>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</si>
  <si>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</si>
  <si>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</si>
  <si>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</si>
  <si>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</si>
  <si>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</si>
  <si>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</si>
  <si>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</si>
  <si>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</si>
  <si>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</si>
  <si>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</si>
  <si>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</si>
  <si>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</si>
  <si>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</si>
  <si>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</si>
  <si>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</si>
  <si>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</si>
  <si>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</si>
  <si>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</si>
  <si>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</si>
  <si>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</si>
  <si>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</si>
  <si>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</si>
  <si>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</si>
  <si>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</si>
  <si>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</si>
  <si>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</si>
  <si>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</si>
  <si>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</si>
  <si>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</si>
  <si>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</si>
  <si>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</si>
  <si>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</si>
  <si>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</si>
  <si>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</si>
  <si>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</si>
  <si>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</si>
  <si>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</si>
  <si>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</si>
  <si>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</si>
  <si>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</si>
  <si>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</si>
  <si>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</si>
  <si>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</si>
  <si>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</si>
  <si>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</si>
  <si>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</si>
  <si>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</si>
  <si>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</si>
  <si>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</si>
  <si>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</si>
  <si>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</si>
  <si>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</si>
  <si>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</si>
  <si>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</si>
  <si>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</si>
  <si>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</si>
  <si>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</si>
  <si>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</si>
  <si>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</si>
  <si>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</si>
  <si>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</si>
  <si>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</si>
  <si>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</si>
  <si>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</si>
  <si>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</si>
  <si>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</si>
  <si>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</si>
  <si>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</si>
  <si>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</si>
  <si>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</si>
  <si>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</si>
  <si>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</si>
  <si>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</si>
  <si>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</si>
  <si>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</si>
  <si>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</si>
  <si>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</si>
  <si>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</si>
  <si>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</si>
  <si>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</si>
  <si>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</si>
  <si>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</si>
  <si>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</si>
  <si>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</si>
  <si>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</si>
  <si>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</si>
  <si>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</si>
  <si>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</si>
  <si>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</si>
  <si>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</si>
  <si>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</si>
  <si>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</si>
  <si>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</si>
  <si>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</si>
  <si>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</si>
  <si>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</si>
  <si>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</si>
  <si>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</si>
  <si>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</si>
  <si>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</si>
  <si>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</si>
  <si>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</si>
  <si>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</si>
  <si>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</si>
  <si>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</si>
  <si>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</si>
  <si>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</si>
  <si>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</si>
  <si>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</si>
  <si>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</si>
  <si>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</si>
  <si>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</si>
  <si>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</si>
  <si>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</si>
  <si>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</si>
  <si>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</si>
  <si>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</si>
  <si>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</si>
  <si>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</si>
  <si>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</si>
  <si>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</si>
  <si>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</si>
  <si>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</si>
  <si>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</si>
  <si>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</si>
  <si>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</si>
  <si>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</si>
  <si>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</si>
  <si>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</si>
  <si>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</si>
  <si>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</si>
  <si>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</si>
  <si>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</si>
  <si>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</si>
  <si>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</si>
  <si>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</si>
  <si>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</si>
  <si>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</si>
  <si>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</si>
  <si>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</si>
  <si>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</si>
  <si>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</si>
  <si>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</si>
  <si>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</si>
  <si>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</si>
  <si>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</si>
  <si>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</si>
  <si>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</si>
  <si>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</si>
  <si>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</si>
  <si>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</si>
  <si>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</si>
  <si>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</si>
  <si>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</si>
  <si>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</si>
  <si>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</si>
  <si>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</si>
  <si>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</si>
  <si>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</si>
  <si>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</si>
  <si>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</si>
  <si>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</si>
  <si>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</si>
  <si>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</si>
  <si>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</si>
  <si>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</si>
  <si>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</si>
  <si>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</si>
  <si>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</si>
  <si>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</si>
  <si>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</si>
  <si>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</si>
  <si>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</si>
  <si>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</si>
  <si>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</si>
  <si>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</si>
  <si>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</si>
  <si>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</si>
  <si>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</si>
  <si>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</si>
  <si>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</si>
  <si>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</si>
  <si>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</si>
  <si>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</si>
  <si>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</si>
  <si>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</si>
  <si>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</si>
  <si>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</si>
  <si>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</si>
  <si>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</si>
  <si>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</si>
  <si>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</si>
  <si>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</si>
  <si>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</si>
  <si>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</si>
  <si>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</si>
  <si>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</si>
  <si>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</si>
  <si>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</si>
  <si>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</si>
  <si>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</si>
  <si>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</si>
  <si>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</si>
  <si>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</si>
  <si>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</si>
  <si>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</si>
  <si>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</si>
  <si>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</si>
  <si>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</si>
  <si>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</si>
  <si>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</si>
  <si>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</si>
  <si>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</si>
  <si>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</si>
  <si>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</si>
  <si>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</si>
  <si>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</si>
  <si>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</si>
  <si>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</si>
  <si>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</si>
  <si>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</si>
  <si>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</si>
  <si>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</si>
  <si>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</si>
  <si>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</si>
  <si>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</si>
  <si>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</si>
  <si>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</si>
  <si>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</si>
  <si>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</si>
  <si>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</si>
  <si>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</si>
  <si>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</si>
  <si>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</si>
  <si>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</si>
  <si>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</si>
  <si>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</si>
  <si>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</si>
  <si>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</si>
  <si>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</si>
  <si>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</si>
  <si>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</si>
  <si>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</si>
  <si>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</si>
  <si>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</si>
  <si>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</si>
  <si>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</si>
  <si>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</si>
  <si>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</si>
  <si>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</si>
  <si>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</si>
  <si>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</si>
  <si>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</si>
  <si>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</si>
  <si>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</si>
  <si>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</si>
  <si>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</si>
  <si>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</si>
  <si>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</si>
  <si>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</si>
  <si>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</si>
  <si>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</si>
  <si>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</si>
  <si>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</si>
  <si>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</si>
  <si>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</si>
  <si>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</si>
  <si>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</si>
  <si>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</si>
  <si>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</si>
  <si>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</si>
  <si>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</si>
  <si>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</si>
  <si>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</si>
  <si>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</si>
  <si>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</si>
  <si>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</si>
  <si>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</si>
  <si>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</si>
  <si>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</si>
  <si>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</si>
  <si>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</si>
  <si>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</si>
  <si>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</si>
  <si>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</si>
  <si>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</si>
  <si>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</si>
  <si>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</si>
  <si>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</si>
  <si>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</si>
  <si>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</si>
  <si>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</si>
  <si>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</si>
  <si>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</si>
  <si>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</si>
  <si>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</si>
  <si>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</si>
  <si>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</si>
  <si>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</si>
  <si>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</si>
  <si>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</si>
  <si>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</si>
  <si>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</si>
  <si>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</si>
  <si>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</si>
  <si>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</si>
  <si>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</si>
  <si>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</si>
  <si>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</si>
  <si>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</si>
  <si>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</si>
  <si>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</si>
  <si>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</si>
  <si>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</si>
  <si>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</si>
  <si>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</si>
  <si>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</si>
  <si>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</si>
  <si>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</si>
  <si>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</si>
  <si>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</si>
  <si>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</si>
  <si>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</si>
  <si>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</si>
  <si>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</si>
  <si>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</si>
  <si>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</si>
  <si>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</si>
  <si>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</si>
  <si>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</si>
  <si>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</si>
  <si>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</si>
  <si>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</si>
  <si>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</si>
  <si>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</si>
  <si>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</si>
  <si>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</si>
  <si>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</si>
  <si>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</si>
  <si>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</si>
  <si>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</si>
  <si>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</si>
  <si>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</si>
  <si>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</si>
  <si>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</si>
  <si>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</si>
  <si>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</si>
  <si>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</si>
  <si>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</si>
  <si>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</si>
  <si>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</si>
  <si>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</si>
  <si>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</si>
  <si>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</si>
  <si>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</si>
  <si>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</si>
  <si>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</si>
  <si>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</si>
  <si>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</si>
  <si>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</si>
  <si>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</si>
  <si>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</si>
  <si>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</si>
  <si>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</si>
  <si>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</si>
  <si>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</si>
  <si>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</si>
  <si>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</si>
  <si>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</si>
  <si>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</si>
  <si>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</si>
  <si>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</si>
  <si>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</si>
  <si>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</si>
  <si>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</si>
  <si>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</si>
  <si>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</si>
  <si>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</si>
  <si>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</si>
  <si>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</si>
  <si>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</si>
  <si>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</si>
  <si>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</si>
  <si>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</si>
  <si>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</si>
  <si>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</si>
  <si>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</si>
  <si>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</si>
  <si>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</si>
  <si>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</si>
  <si>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</si>
  <si>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</si>
  <si>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</si>
  <si>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</si>
  <si>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</si>
  <si>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</si>
  <si>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</si>
  <si>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</si>
  <si>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</si>
  <si>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</si>
  <si>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</si>
  <si>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</si>
  <si>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</si>
  <si>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</si>
  <si>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</si>
  <si>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</si>
  <si>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</si>
  <si>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</si>
  <si>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</si>
  <si>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</si>
  <si>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</si>
  <si>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</si>
  <si>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</si>
  <si>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</si>
  <si>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</si>
  <si>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</si>
  <si>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</si>
  <si>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</si>
  <si>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</si>
  <si>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</si>
  <si>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</si>
  <si>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</si>
  <si>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</si>
  <si>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</si>
  <si>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</si>
  <si>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</si>
  <si>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</si>
  <si>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</si>
  <si>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</si>
  <si>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</si>
  <si>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</si>
  <si>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</si>
  <si>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</si>
  <si>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</si>
  <si>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</si>
  <si>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</si>
  <si>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</si>
  <si>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</si>
  <si>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</si>
  <si>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</si>
  <si>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</si>
  <si>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</si>
  <si>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</si>
  <si>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</si>
  <si>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</si>
  <si>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</si>
  <si>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</si>
  <si>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</si>
  <si>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</si>
  <si>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</si>
  <si>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</si>
  <si>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</si>
  <si>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</si>
  <si>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</si>
  <si>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</si>
  <si>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</si>
  <si>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</si>
  <si>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</si>
  <si>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</si>
  <si>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</si>
  <si>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</si>
  <si>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</si>
  <si>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</si>
  <si>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</si>
  <si>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</si>
  <si>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</si>
  <si>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</si>
  <si>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</si>
  <si>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</si>
  <si>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</si>
  <si>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</si>
  <si>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</si>
  <si>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</si>
  <si>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</si>
  <si>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</si>
  <si>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</si>
  <si>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</si>
  <si>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</si>
  <si>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</si>
  <si>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</si>
  <si>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</si>
  <si>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</si>
  <si>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</si>
  <si>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</si>
  <si>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</si>
  <si>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</si>
  <si>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</si>
  <si>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</si>
  <si>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</si>
  <si>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</si>
  <si>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</si>
  <si>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</si>
  <si>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</si>
  <si>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</si>
  <si>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</si>
  <si>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</si>
  <si>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</si>
  <si>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</si>
  <si>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</si>
  <si>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</si>
  <si>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</si>
  <si>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</si>
  <si>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</si>
  <si>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</si>
  <si>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</si>
  <si>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</si>
  <si>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</si>
  <si>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</si>
  <si>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</si>
  <si>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</si>
  <si>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</si>
  <si>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</si>
  <si>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</si>
  <si>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</si>
  <si>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</si>
  <si>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</si>
  <si>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</si>
  <si>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</si>
  <si>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</si>
  <si>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</si>
  <si>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</si>
  <si>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</si>
  <si>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</si>
  <si>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</si>
  <si>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</si>
  <si>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</si>
  <si>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</si>
  <si>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</si>
  <si>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</si>
  <si>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</si>
  <si>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</si>
  <si>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</si>
  <si>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</si>
  <si>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</si>
  <si>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</si>
  <si>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</si>
  <si>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</si>
  <si>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</si>
  <si>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</si>
  <si>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</si>
  <si>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</si>
  <si>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</si>
  <si>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</si>
  <si>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</si>
  <si>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</si>
  <si>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</si>
  <si>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</si>
  <si>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</si>
  <si>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</si>
  <si>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</si>
  <si>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</si>
  <si>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</si>
  <si>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</si>
  <si>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</si>
  <si>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</si>
  <si>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</si>
  <si>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</si>
  <si>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</si>
  <si>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</si>
  <si>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</si>
  <si>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</si>
  <si>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</si>
  <si>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</si>
  <si>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</si>
  <si>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</si>
  <si>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</si>
  <si>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</si>
  <si>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</si>
  <si>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</si>
  <si>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</si>
  <si>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</si>
  <si>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</si>
  <si>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</si>
  <si>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</si>
  <si>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</si>
  <si>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</si>
  <si>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</si>
  <si>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</si>
  <si>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</si>
  <si>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</si>
  <si>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</si>
  <si>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</si>
  <si>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</si>
  <si>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</si>
  <si>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</si>
  <si>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</si>
  <si>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</si>
  <si>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</si>
  <si>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</si>
  <si>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</si>
  <si>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</si>
  <si>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</si>
  <si>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</si>
  <si>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</si>
  <si>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</si>
  <si>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</si>
  <si>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</si>
  <si>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</si>
  <si>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</si>
  <si>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</si>
  <si>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</si>
  <si>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</si>
  <si>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</si>
  <si>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</si>
  <si>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</si>
  <si>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</si>
  <si>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</si>
  <si>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</si>
  <si>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</si>
  <si>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</si>
  <si>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</si>
  <si>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</si>
  <si>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</si>
  <si>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</si>
  <si>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</si>
  <si>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</si>
  <si>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</si>
  <si>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</si>
  <si>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</si>
  <si>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</si>
  <si>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</si>
  <si>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</si>
  <si>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</si>
  <si>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</si>
  <si>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</si>
  <si>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</si>
  <si>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</si>
  <si>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</si>
  <si>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</si>
  <si>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</si>
  <si>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</si>
  <si>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</si>
  <si>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</si>
  <si>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</si>
  <si>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</si>
  <si>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</si>
  <si>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</si>
  <si>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</si>
  <si>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</si>
  <si>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</si>
  <si>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</si>
  <si>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</si>
  <si>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</si>
  <si>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</si>
  <si>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</si>
  <si>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</si>
  <si>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</si>
  <si>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</si>
  <si>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</si>
  <si>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</si>
  <si>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</si>
  <si>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</si>
  <si>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</si>
  <si>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</si>
  <si>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</si>
  <si>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</si>
  <si>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</si>
  <si>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</si>
  <si>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</si>
  <si>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</si>
  <si>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</si>
  <si>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</si>
  <si>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</si>
  <si>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</si>
  <si>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</si>
  <si>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</si>
  <si>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</si>
  <si>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</si>
  <si>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</si>
  <si>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</si>
  <si>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</si>
  <si>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</si>
  <si>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</si>
  <si>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</si>
  <si>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</si>
  <si>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</si>
  <si>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</si>
  <si>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</si>
  <si>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</si>
  <si>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</si>
  <si>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</si>
  <si>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</si>
  <si>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</si>
  <si>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</si>
  <si>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</si>
  <si>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</si>
  <si>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</si>
  <si>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</si>
  <si>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</si>
  <si>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</si>
  <si>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</si>
  <si>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</si>
  <si>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</si>
  <si>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</si>
  <si>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</si>
  <si>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</si>
  <si>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</si>
  <si>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</si>
  <si>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</si>
  <si>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</si>
  <si>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</si>
  <si>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</si>
  <si>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</si>
  <si>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</si>
  <si>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</si>
  <si>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</si>
  <si>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</si>
  <si>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</si>
  <si>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</si>
  <si>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</si>
  <si>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</si>
  <si>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</si>
  <si>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</si>
  <si>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</si>
  <si>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</si>
  <si>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</si>
  <si>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</si>
  <si>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</si>
  <si>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</si>
  <si>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</si>
  <si>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</si>
  <si>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</si>
  <si>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</si>
  <si>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</si>
  <si>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</si>
  <si>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</si>
  <si>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</si>
  <si>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</si>
  <si>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</si>
  <si>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</si>
  <si>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</si>
  <si>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</si>
  <si>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</si>
  <si>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</si>
  <si>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</si>
  <si>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</si>
  <si>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</si>
  <si>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</si>
  <si>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</si>
  <si>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</si>
  <si>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</si>
  <si>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</si>
  <si>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</si>
  <si>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</si>
  <si>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</si>
  <si>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</si>
  <si>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</si>
  <si>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</si>
  <si>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</si>
  <si>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</si>
  <si>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</si>
  <si>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</si>
  <si>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</si>
  <si>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</si>
  <si>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</si>
  <si>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</si>
  <si>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</si>
  <si>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</si>
  <si>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</si>
  <si>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</si>
  <si>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</si>
  <si>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</si>
  <si>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</si>
  <si>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</si>
  <si>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</si>
  <si>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</si>
  <si>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</si>
  <si>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</si>
  <si>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</si>
  <si>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</si>
  <si>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</si>
  <si>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</si>
  <si>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</si>
  <si>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</si>
  <si>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</si>
  <si>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</si>
  <si>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</si>
  <si>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</si>
  <si>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</si>
  <si>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</si>
  <si>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</si>
  <si>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</si>
  <si>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</si>
  <si>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</si>
  <si>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</si>
  <si>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</si>
  <si>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</si>
  <si>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</si>
  <si>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</si>
  <si>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</si>
  <si>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</si>
  <si>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</si>
  <si>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</si>
  <si>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</si>
  <si>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</si>
  <si>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</si>
  <si>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</si>
  <si>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</si>
  <si>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</si>
  <si>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</si>
  <si>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</si>
  <si>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</si>
  <si>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</si>
  <si>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</si>
  <si>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</si>
  <si>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</si>
  <si>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</si>
  <si>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</si>
  <si>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</si>
  <si>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</si>
  <si>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</si>
  <si>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</si>
  <si>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</si>
  <si>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</si>
  <si>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</si>
  <si>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</si>
  <si>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</si>
  <si>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</si>
  <si>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</si>
  <si>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</si>
  <si>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</si>
  <si>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</si>
  <si>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</si>
  <si>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</si>
  <si>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</si>
  <si>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</si>
  <si>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</si>
  <si>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</si>
  <si>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</si>
  <si>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</si>
  <si>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</si>
  <si>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</si>
  <si>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</si>
  <si>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</si>
  <si>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</si>
  <si>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</si>
  <si>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</si>
  <si>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</si>
  <si>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</si>
  <si>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</si>
  <si>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</si>
  <si>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</si>
  <si>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</si>
  <si>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</si>
  <si>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</si>
  <si>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</si>
  <si>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</si>
  <si>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</si>
  <si>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</si>
  <si>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</si>
  <si>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</si>
  <si>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</si>
  <si>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</si>
  <si>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</si>
  <si>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</si>
  <si>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</si>
  <si>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</si>
  <si>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</si>
  <si>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</si>
  <si>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</si>
  <si>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</si>
  <si>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</si>
  <si>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</si>
  <si>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</si>
  <si>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</si>
  <si>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</si>
  <si>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</si>
  <si>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</si>
  <si>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</si>
  <si>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</si>
  <si>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</si>
  <si>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</si>
  <si>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</si>
  <si>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</si>
  <si>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</si>
  <si>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</si>
  <si>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</si>
  <si>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</si>
  <si>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</si>
  <si>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</si>
  <si>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</si>
  <si>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</si>
  <si>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</si>
  <si>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</si>
  <si>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</si>
  <si>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</si>
  <si>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</si>
  <si>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</si>
  <si>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</si>
  <si>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</si>
  <si>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</si>
  <si>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</si>
  <si>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</si>
  <si>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</si>
  <si>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</si>
  <si>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</si>
  <si>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</si>
  <si>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</si>
  <si>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</si>
  <si>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</si>
  <si>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</si>
  <si>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</si>
  <si>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</si>
  <si>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</si>
  <si>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</si>
  <si>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</si>
  <si>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</si>
  <si>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</si>
  <si>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</si>
  <si>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</si>
  <si>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</si>
  <si>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</si>
  <si>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</si>
  <si>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</si>
  <si>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</si>
  <si>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</si>
  <si>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</si>
  <si>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</si>
  <si>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</si>
  <si>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</si>
  <si>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</si>
  <si>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</si>
  <si>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</si>
  <si>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</si>
  <si>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</si>
  <si>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</si>
  <si>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</si>
  <si>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</si>
  <si>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</si>
  <si>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</si>
  <si>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</si>
  <si>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</si>
  <si>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</si>
  <si>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</si>
  <si>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</si>
  <si>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</si>
  <si>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</si>
  <si>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</si>
  <si>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</si>
  <si>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</si>
  <si>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</si>
  <si>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</si>
  <si>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</si>
  <si>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</si>
  <si>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</si>
  <si>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</si>
  <si>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</si>
  <si>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</si>
  <si>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</si>
  <si>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</si>
  <si>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</si>
  <si>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</si>
  <si>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</si>
  <si>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</si>
  <si>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</si>
  <si>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</si>
  <si>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</si>
  <si>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</si>
  <si>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</si>
  <si>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</si>
  <si>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</si>
  <si>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</si>
  <si>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</si>
  <si>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</si>
  <si>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</si>
  <si>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</si>
  <si>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</si>
  <si>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</si>
  <si>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</si>
  <si>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</si>
  <si>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</si>
  <si>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</si>
  <si>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</si>
  <si>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</si>
  <si>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</si>
  <si>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</si>
  <si>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</si>
  <si>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</si>
  <si>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</si>
  <si>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</si>
  <si>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</si>
  <si>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</si>
  <si>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</si>
  <si>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</si>
  <si>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</si>
  <si>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</si>
  <si>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</si>
  <si>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</si>
  <si>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</si>
  <si>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</si>
  <si>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</si>
  <si>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</si>
  <si>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</si>
  <si>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</si>
  <si>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</si>
  <si>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</si>
  <si>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</si>
  <si>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</si>
  <si>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</si>
  <si>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</si>
  <si>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</si>
  <si>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</si>
  <si>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</si>
  <si>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</si>
  <si>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</si>
  <si>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</si>
  <si>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</si>
  <si>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</si>
  <si>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</si>
  <si>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</si>
  <si>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</si>
  <si>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</si>
  <si>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</si>
  <si>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</si>
  <si>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</si>
  <si>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</si>
  <si>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</si>
  <si>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</si>
  <si>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</si>
  <si>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</si>
  <si>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</si>
  <si>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</si>
  <si>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</si>
  <si>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</si>
  <si>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</si>
  <si>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</si>
  <si>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</si>
  <si>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</si>
  <si>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</si>
  <si>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</si>
  <si>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</si>
  <si>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</si>
  <si>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</si>
  <si>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</si>
  <si>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</si>
  <si>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</si>
  <si>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</si>
  <si>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</si>
  <si>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</si>
  <si>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</si>
  <si>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</si>
  <si>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</si>
  <si>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</si>
  <si>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</si>
  <si>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</si>
  <si>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</si>
  <si>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</si>
  <si>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</si>
  <si>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</si>
  <si>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</si>
  <si>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</si>
  <si>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</si>
  <si>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</si>
  <si>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</si>
  <si>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</si>
  <si>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</si>
  <si>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</si>
  <si>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</si>
  <si>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</si>
  <si>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</si>
  <si>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</si>
  <si>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</si>
  <si>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</si>
  <si>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</si>
  <si>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</si>
  <si>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</si>
  <si>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</si>
  <si>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</si>
  <si>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</si>
  <si>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</si>
  <si>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</si>
  <si>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</si>
  <si>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</si>
  <si>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</si>
  <si>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</si>
  <si>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</si>
  <si>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</si>
  <si>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</si>
  <si>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</si>
  <si>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</si>
  <si>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</si>
  <si>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</si>
  <si>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</si>
  <si>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</si>
  <si>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</si>
  <si>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</si>
  <si>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</si>
  <si>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</si>
  <si>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</si>
  <si>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</si>
  <si>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</si>
  <si>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</si>
  <si>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</si>
  <si>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</si>
  <si>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</si>
  <si>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</si>
  <si>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</si>
  <si>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</si>
  <si>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</si>
  <si>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</si>
  <si>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</si>
  <si>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</si>
  <si>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</si>
  <si>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</si>
  <si>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</si>
  <si>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</si>
  <si>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</si>
  <si>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</si>
  <si>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</si>
  <si>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</si>
  <si>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</si>
  <si>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</si>
  <si>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</si>
  <si>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</si>
  <si>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</si>
  <si>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</si>
  <si>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</si>
  <si>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</si>
  <si>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</si>
  <si>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</si>
  <si>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</si>
  <si>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</si>
  <si>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</si>
  <si>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</si>
  <si>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</si>
  <si>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</si>
  <si>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</si>
  <si>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</si>
  <si>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</si>
  <si>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</si>
  <si>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</si>
  <si>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</si>
  <si>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</si>
  <si>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</si>
  <si>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</si>
  <si>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</si>
  <si>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</si>
  <si>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</si>
  <si>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</si>
  <si>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</si>
  <si>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</si>
  <si>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</si>
  <si>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</si>
  <si>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</si>
  <si>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</si>
  <si>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</si>
  <si>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</si>
  <si>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</si>
  <si>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</si>
  <si>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</si>
  <si>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</si>
  <si>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</si>
  <si>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</si>
  <si>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</si>
  <si>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</si>
  <si>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</si>
  <si>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</si>
  <si>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</si>
  <si>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</si>
  <si>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</si>
  <si>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</si>
  <si>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</si>
  <si>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</si>
  <si>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</si>
  <si>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</si>
  <si>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</si>
  <si>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</si>
  <si>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</si>
  <si>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</si>
  <si>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</si>
  <si>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</si>
  <si>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</si>
  <si>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</si>
  <si>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</si>
  <si>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</si>
  <si>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</si>
  <si>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</si>
  <si>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</si>
  <si>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</si>
  <si>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</si>
  <si>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</si>
  <si>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</si>
  <si>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</si>
  <si>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</si>
  <si>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</si>
  <si>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</si>
  <si>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</si>
  <si>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</si>
  <si>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</si>
  <si>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</si>
  <si>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</si>
  <si>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</si>
  <si>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</si>
  <si>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</si>
  <si>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</si>
  <si>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</si>
  <si>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</si>
  <si>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</si>
  <si>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</si>
  <si>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</si>
  <si>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</si>
  <si>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</si>
  <si>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</si>
  <si>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</si>
  <si>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</si>
  <si>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</si>
  <si>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</si>
  <si>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</si>
  <si>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</si>
  <si>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</si>
  <si>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</si>
  <si>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</si>
  <si>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</si>
  <si>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</si>
  <si>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</si>
  <si>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</si>
  <si>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</si>
  <si>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</si>
  <si>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</si>
  <si>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</si>
  <si>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</si>
  <si>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</si>
  <si>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</si>
  <si>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</si>
  <si>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</si>
  <si>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</si>
  <si>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</si>
  <si>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</si>
  <si>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</si>
  <si>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</si>
  <si>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</si>
  <si>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</si>
  <si>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</si>
  <si>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</si>
  <si>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</si>
  <si>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</si>
  <si>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</si>
  <si>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</si>
  <si>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</si>
  <si>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</si>
  <si>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</si>
  <si>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</si>
  <si>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</si>
  <si>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</si>
  <si>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</si>
  <si>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</si>
  <si>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</si>
  <si>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</si>
  <si>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</si>
  <si>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</si>
  <si>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</si>
  <si>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</si>
  <si>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</si>
  <si>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</si>
  <si>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</si>
  <si>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</si>
  <si>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</si>
  <si>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</si>
  <si>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</si>
  <si>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</si>
  <si>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</si>
  <si>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</si>
  <si>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</si>
  <si>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</si>
  <si>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</si>
  <si>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</si>
  <si>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</si>
  <si>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</si>
  <si>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</si>
  <si>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</si>
  <si>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</si>
  <si>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</si>
  <si>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</si>
  <si>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</si>
  <si>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</si>
  <si>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</si>
  <si>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</si>
  <si>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</si>
  <si>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</si>
  <si>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</si>
  <si>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</si>
  <si>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</si>
  <si>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</si>
  <si>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</si>
  <si>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</si>
  <si>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</si>
  <si>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</si>
  <si>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</si>
  <si>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</si>
  <si>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</si>
  <si>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</si>
  <si>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</si>
  <si>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</si>
  <si>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</si>
  <si>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</si>
  <si>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</si>
  <si>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</si>
  <si>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</si>
  <si>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</si>
  <si>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</si>
  <si>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</si>
  <si>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</si>
  <si>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</si>
  <si>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</si>
  <si>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</si>
  <si>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</si>
  <si>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</si>
  <si>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</si>
  <si>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</si>
  <si>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</si>
  <si>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</si>
  <si>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</si>
  <si>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</si>
  <si>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</si>
  <si>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</si>
  <si>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</si>
  <si>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</si>
  <si>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</si>
  <si>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</si>
  <si>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</si>
  <si>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</si>
  <si>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</si>
  <si>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</si>
  <si>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</si>
  <si>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</si>
  <si>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</si>
  <si>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</si>
  <si>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</si>
  <si>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</si>
  <si>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</si>
  <si>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</si>
  <si>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</si>
  <si>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</si>
  <si>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</si>
  <si>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</si>
  <si>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</si>
  <si>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</si>
  <si>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</si>
  <si>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</si>
  <si>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</si>
  <si>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</si>
  <si>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</si>
  <si>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</si>
  <si>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</si>
  <si>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</si>
  <si>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</si>
  <si>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</si>
  <si>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</si>
  <si>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</si>
  <si>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</si>
  <si>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</si>
  <si>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</si>
  <si>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</si>
  <si>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</si>
  <si>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</si>
  <si>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</si>
  <si>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</si>
  <si>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</si>
  <si>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</si>
  <si>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</si>
  <si>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</si>
  <si>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</si>
  <si>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</si>
  <si>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</si>
  <si>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</si>
  <si>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</si>
  <si>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</si>
  <si>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</si>
  <si>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</si>
  <si>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</si>
  <si>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</si>
  <si>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</si>
  <si>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</si>
  <si>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</si>
  <si>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</si>
  <si>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</si>
  <si>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</si>
  <si>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</si>
  <si>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</si>
  <si>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</si>
  <si>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</si>
  <si>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</si>
  <si>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</si>
  <si>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</si>
  <si>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</si>
  <si>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</si>
  <si>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</si>
  <si>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</si>
  <si>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</si>
  <si>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</si>
  <si>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</si>
  <si>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</si>
  <si>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</si>
  <si>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</si>
  <si>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</si>
  <si>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</si>
  <si>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</si>
  <si>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</si>
  <si>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</si>
  <si>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</si>
  <si>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</si>
  <si>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</si>
  <si>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</si>
  <si>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</si>
  <si>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</si>
  <si>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</si>
  <si>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</si>
  <si>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</si>
  <si>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</si>
  <si>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</si>
  <si>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</si>
  <si>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</si>
  <si>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</si>
  <si>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</si>
  <si>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</si>
  <si>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</si>
  <si>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</si>
  <si>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</si>
  <si>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</si>
  <si>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</si>
  <si>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</si>
  <si>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</si>
  <si>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</si>
  <si>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</si>
  <si>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</si>
  <si>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</si>
  <si>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</si>
  <si>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</si>
  <si>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</si>
  <si>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</si>
  <si>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</si>
  <si>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</si>
  <si>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</si>
  <si>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</si>
  <si>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</si>
  <si>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</si>
  <si>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</si>
  <si>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</si>
  <si>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</si>
  <si>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</si>
  <si>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</si>
  <si>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</si>
  <si>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</si>
  <si>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</si>
  <si>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</si>
  <si>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</si>
  <si>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</si>
  <si>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</si>
  <si>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</si>
  <si>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</si>
  <si>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</si>
  <si>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</si>
  <si>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</si>
  <si>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</si>
  <si>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</si>
  <si>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</si>
  <si>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</si>
  <si>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</si>
  <si>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</si>
  <si>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</si>
  <si>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</si>
  <si>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</si>
  <si>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</si>
  <si>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</si>
  <si>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</si>
  <si>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</si>
  <si>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</si>
  <si>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</si>
  <si>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</si>
  <si>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</si>
  <si>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</si>
  <si>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</si>
  <si>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</si>
  <si>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</si>
  <si>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</si>
  <si>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</si>
  <si>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</si>
  <si>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</si>
  <si>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</si>
  <si>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</si>
  <si>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</si>
  <si>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</si>
  <si>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</si>
  <si>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</si>
  <si>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</si>
  <si>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</si>
  <si>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</si>
  <si>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</si>
  <si>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</si>
  <si>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</si>
  <si>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</si>
  <si>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</si>
  <si>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</si>
  <si>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</si>
  <si>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</si>
  <si>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</si>
  <si>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</si>
  <si>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</si>
  <si>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</si>
  <si>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</si>
  <si>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</si>
  <si>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</si>
  <si>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</si>
  <si>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</si>
  <si>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</si>
  <si>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</si>
  <si>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</si>
  <si>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</si>
  <si>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</si>
  <si>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</si>
  <si>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</si>
  <si>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</si>
  <si>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</si>
  <si>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</si>
  <si>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</si>
  <si>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</si>
  <si>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</si>
  <si>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</si>
  <si>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</si>
  <si>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</si>
  <si>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</si>
  <si>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</si>
  <si>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</si>
  <si>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</si>
  <si>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</si>
  <si>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</si>
  <si>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</si>
  <si>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</si>
  <si>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</si>
  <si>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</si>
  <si>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</si>
  <si>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</si>
  <si>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</si>
  <si>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</si>
  <si>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</si>
  <si>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</si>
  <si>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</si>
  <si>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</si>
  <si>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</si>
  <si>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</si>
  <si>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</si>
  <si>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</si>
  <si>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</si>
  <si>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</si>
  <si>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</si>
  <si>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</si>
  <si>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</si>
  <si>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</si>
  <si>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</si>
  <si>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</si>
  <si>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</si>
  <si>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</si>
  <si>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</si>
  <si>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</si>
  <si>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</si>
  <si>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</si>
  <si>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</si>
  <si>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</si>
  <si>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</si>
  <si>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</si>
  <si>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</si>
  <si>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</si>
  <si>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</si>
  <si>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</si>
  <si>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</si>
  <si>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</si>
  <si>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</si>
  <si>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</si>
  <si>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</si>
  <si>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</si>
  <si>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</si>
  <si>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</si>
  <si>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</si>
  <si>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</si>
  <si>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</si>
  <si>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</si>
  <si>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</si>
  <si>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</si>
  <si>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</si>
  <si>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</si>
  <si>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</si>
  <si>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</si>
  <si>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</si>
  <si>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</si>
  <si>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</si>
  <si>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</si>
  <si>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</si>
  <si>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</si>
  <si>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</si>
  <si>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</si>
  <si>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</si>
  <si>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</si>
  <si>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</si>
  <si>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</si>
  <si>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</si>
  <si>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</si>
  <si>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</si>
  <si>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</si>
  <si>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</si>
  <si>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</si>
  <si>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</si>
  <si>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</si>
  <si>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</si>
  <si>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</si>
  <si>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</si>
  <si>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</si>
  <si>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</si>
  <si>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</si>
  <si>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</si>
  <si>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</si>
  <si>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</si>
  <si>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</si>
  <si>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</si>
  <si>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</si>
  <si>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</si>
  <si>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</si>
  <si>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</si>
  <si>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</si>
  <si>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</si>
  <si>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</si>
  <si>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</si>
  <si>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</si>
  <si>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</si>
  <si>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</si>
  <si>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</si>
  <si>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</si>
  <si>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</si>
  <si>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</si>
  <si>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</si>
  <si>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</si>
  <si>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</si>
  <si>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</si>
  <si>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</si>
  <si>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</si>
  <si>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</si>
  <si>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</si>
  <si>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</si>
  <si>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</si>
  <si>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</si>
  <si>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</si>
  <si>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</si>
  <si>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</si>
  <si>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</si>
  <si>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</si>
  <si>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</si>
  <si>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</si>
  <si>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</si>
  <si>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</si>
  <si>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</si>
  <si>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</si>
  <si>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</si>
  <si>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</si>
  <si>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</si>
  <si>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</si>
  <si>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</si>
  <si>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</si>
  <si>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</si>
  <si>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</si>
  <si>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</si>
  <si>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</si>
  <si>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</si>
  <si>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</si>
  <si>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</si>
  <si>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</si>
  <si>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</si>
  <si>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</si>
  <si>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</si>
  <si>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</si>
  <si>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</si>
  <si>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</si>
  <si>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</si>
  <si>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</si>
  <si>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</si>
  <si>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</si>
  <si>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</si>
  <si>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</si>
  <si>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</si>
  <si>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</si>
  <si>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</si>
  <si>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</si>
  <si>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</si>
  <si>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</si>
  <si>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</si>
  <si>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</si>
  <si>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</si>
  <si>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</si>
  <si>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</si>
  <si>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</si>
  <si>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</si>
  <si>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</si>
  <si>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</si>
  <si>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</si>
  <si>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</si>
  <si>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</si>
  <si>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</si>
  <si>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</si>
  <si>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</si>
  <si>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</si>
  <si>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</si>
  <si>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</si>
  <si>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</si>
  <si>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</si>
  <si>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</si>
  <si>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</si>
  <si>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</si>
  <si>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</si>
  <si>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</si>
  <si>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</si>
  <si>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</si>
  <si>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</si>
  <si>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</si>
  <si>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</si>
  <si>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</si>
  <si>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</si>
  <si>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</si>
  <si>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</si>
  <si>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</si>
  <si>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</si>
  <si>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</si>
  <si>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</si>
  <si>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</si>
  <si>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</si>
  <si>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</si>
  <si>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</si>
  <si>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</si>
  <si>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</si>
  <si>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</si>
  <si>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</si>
  <si>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</si>
  <si>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</si>
  <si>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</si>
  <si>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</si>
  <si>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</si>
  <si>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</si>
  <si>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</si>
  <si>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</si>
  <si>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</si>
  <si>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</si>
  <si>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</si>
  <si>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</si>
  <si>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</si>
  <si>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</si>
  <si>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</si>
  <si>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</si>
  <si>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</si>
  <si>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</si>
  <si>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</si>
  <si>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</si>
  <si>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</si>
  <si>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</si>
  <si>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</si>
  <si>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</si>
  <si>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</si>
  <si>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</si>
  <si>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</si>
  <si>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</si>
  <si>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</si>
  <si>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</si>
  <si>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</si>
  <si>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</si>
  <si>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</si>
  <si>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</si>
  <si>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</si>
  <si>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</si>
  <si>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</si>
  <si>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</si>
  <si>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</si>
  <si>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</si>
  <si>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</si>
  <si>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</si>
  <si>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</si>
  <si>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</si>
  <si>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</si>
  <si>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</si>
  <si>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</si>
  <si>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</si>
  <si>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</si>
  <si>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</si>
  <si>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</si>
  <si>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</si>
  <si>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</si>
  <si>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</si>
  <si>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</si>
  <si>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</si>
  <si>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</si>
  <si>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</si>
  <si>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</si>
  <si>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</si>
  <si>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</si>
  <si>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</si>
  <si>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</si>
  <si>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</si>
  <si>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</si>
  <si>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</si>
  <si>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</si>
  <si>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</si>
  <si>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</si>
  <si>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</si>
  <si>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</si>
  <si>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</si>
  <si>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</si>
  <si>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</si>
  <si>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</si>
  <si>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</si>
  <si>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</si>
  <si>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</si>
  <si>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</si>
  <si>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</si>
  <si>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</si>
  <si>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</si>
  <si>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</si>
  <si>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</si>
  <si>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</si>
  <si>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</si>
  <si>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</si>
  <si>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</si>
  <si>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</si>
  <si>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</si>
  <si>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</si>
  <si>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</si>
  <si>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</si>
  <si>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</si>
  <si>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</si>
  <si>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</si>
  <si>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</si>
  <si>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</si>
  <si>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</si>
  <si>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</si>
  <si>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</si>
  <si>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</si>
  <si>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</si>
  <si>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</si>
  <si>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</si>
  <si>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</si>
  <si>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</si>
  <si>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</si>
  <si>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</si>
  <si>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</si>
  <si>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</si>
  <si>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</si>
  <si>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</si>
  <si>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</si>
  <si>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</si>
  <si>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</si>
  <si>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</si>
  <si>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</si>
  <si>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</si>
  <si>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</si>
  <si>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</si>
  <si>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</si>
  <si>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</si>
  <si>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</si>
  <si>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</si>
  <si>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</si>
  <si>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</si>
  <si>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</si>
  <si>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</si>
  <si>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</si>
  <si>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</si>
  <si>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</si>
  <si>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</si>
  <si>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</si>
  <si>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</si>
  <si>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</si>
  <si>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</si>
  <si>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</si>
  <si>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</si>
  <si>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</si>
  <si>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</si>
  <si>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</si>
  <si>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</si>
  <si>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</si>
  <si>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</si>
  <si>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</si>
  <si>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</si>
  <si>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</si>
  <si>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</si>
  <si>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</si>
  <si>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</si>
  <si>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</si>
  <si>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</si>
  <si>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</si>
  <si>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</si>
  <si>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</si>
  <si>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</si>
  <si>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</si>
  <si>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</si>
  <si>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</si>
  <si>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</si>
  <si>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</si>
  <si>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</si>
  <si>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</si>
  <si>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</si>
  <si>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</si>
  <si>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</si>
  <si>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</si>
  <si>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</si>
  <si>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</si>
  <si>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</si>
  <si>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</si>
  <si>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</si>
  <si>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</si>
  <si>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</si>
  <si>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</si>
  <si>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</si>
  <si>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</si>
  <si>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</si>
  <si>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</si>
  <si>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</si>
  <si>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</si>
  <si>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</si>
  <si>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</si>
  <si>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</si>
  <si>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</si>
  <si>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</si>
  <si>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</si>
  <si>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</si>
  <si>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</si>
  <si>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</si>
  <si>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</si>
  <si>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</si>
  <si>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</si>
  <si>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</si>
  <si>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</si>
  <si>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</si>
  <si>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</si>
  <si>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</si>
  <si>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</si>
  <si>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</si>
  <si>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</si>
  <si>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</si>
  <si>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</si>
  <si>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</si>
  <si>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</si>
  <si>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</si>
  <si>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</si>
  <si>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</si>
  <si>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</si>
  <si>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</si>
  <si>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</si>
  <si>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</si>
  <si>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</si>
  <si>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</si>
  <si>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</si>
  <si>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</si>
  <si>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</si>
  <si>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</si>
  <si>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</si>
  <si>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</si>
  <si>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</si>
  <si>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</si>
  <si>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</si>
  <si>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</si>
  <si>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</si>
  <si>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</si>
  <si>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</si>
  <si>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</si>
  <si>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</si>
  <si>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</si>
  <si>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</si>
  <si>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</si>
  <si>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</si>
  <si>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</si>
  <si>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</si>
  <si>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</si>
  <si>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</si>
  <si>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</si>
  <si>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</si>
  <si>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</si>
  <si>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</si>
  <si>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</si>
  <si>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</si>
  <si>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</si>
  <si>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</si>
  <si>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</si>
  <si>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</si>
  <si>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</si>
  <si>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</si>
  <si>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</si>
  <si>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</si>
  <si>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</si>
  <si>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</si>
  <si>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</si>
  <si>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</si>
  <si>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</si>
  <si>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</si>
  <si>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</si>
  <si>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</si>
  <si>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</si>
  <si>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</si>
  <si>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</si>
  <si>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</si>
  <si>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</si>
  <si>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</si>
  <si>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</si>
  <si>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</si>
  <si>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</si>
  <si>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</si>
  <si>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</si>
  <si>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</si>
  <si>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</si>
  <si>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</si>
  <si>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</si>
  <si>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</si>
  <si>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</si>
  <si>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</si>
  <si>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</si>
  <si>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</si>
  <si>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</si>
  <si>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</si>
  <si>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</si>
  <si>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</si>
  <si>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</si>
  <si>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</si>
  <si>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</si>
  <si>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</si>
  <si>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</si>
  <si>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</si>
  <si>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</si>
  <si>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</si>
  <si>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</si>
  <si>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</si>
  <si>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</si>
  <si>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</si>
  <si>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</si>
  <si>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</si>
  <si>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</si>
  <si>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</si>
  <si>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</si>
  <si>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</si>
  <si>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</si>
  <si>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</si>
  <si>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</si>
  <si>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</si>
  <si>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</si>
  <si>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</si>
  <si>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</si>
  <si>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</si>
  <si>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</si>
  <si>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</si>
  <si>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</si>
  <si>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</si>
  <si>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</si>
  <si>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</si>
  <si>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</si>
  <si>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</si>
  <si>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</si>
  <si>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</si>
  <si>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</si>
  <si>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</si>
  <si>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</si>
  <si>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</si>
  <si>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</si>
  <si>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</si>
  <si>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</si>
  <si>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</si>
  <si>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</si>
  <si>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</si>
  <si>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</si>
  <si>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</si>
  <si>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</si>
  <si>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</si>
  <si>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</si>
  <si>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</si>
  <si>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</si>
  <si>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</si>
  <si>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</si>
  <si>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</si>
  <si>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</si>
  <si>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</si>
  <si>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</si>
  <si>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</si>
  <si>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</si>
  <si>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</si>
  <si>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</si>
  <si>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</si>
  <si>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</si>
  <si>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</si>
  <si>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</si>
  <si>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</si>
  <si>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</si>
  <si>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</si>
  <si>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</si>
  <si>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</si>
  <si>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</si>
  <si>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</si>
  <si>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</si>
  <si>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</si>
  <si>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</si>
  <si>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</si>
  <si>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</si>
  <si>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</si>
  <si>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</si>
  <si>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</si>
  <si>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</si>
  <si>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</si>
  <si>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</si>
  <si>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</si>
  <si>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</si>
  <si>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</si>
  <si>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</si>
  <si>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</si>
  <si>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</si>
  <si>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</si>
  <si>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</si>
  <si>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</si>
  <si>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</si>
  <si>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</si>
  <si>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</si>
  <si>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</si>
  <si>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</si>
  <si>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</si>
  <si>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</si>
  <si>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</si>
  <si>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</si>
  <si>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</si>
  <si>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</si>
  <si>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</si>
  <si>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</si>
  <si>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</si>
  <si>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</si>
  <si>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</si>
  <si>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</si>
  <si>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</si>
  <si>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</si>
  <si>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</si>
  <si>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</si>
  <si>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</si>
  <si>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</si>
  <si>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</si>
  <si>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</si>
  <si>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</si>
  <si>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</si>
  <si>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</si>
  <si>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</si>
  <si>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</si>
  <si>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</si>
  <si>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</si>
  <si>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</si>
  <si>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</si>
  <si>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</si>
  <si>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</si>
  <si>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</si>
  <si>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</si>
  <si>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</si>
  <si>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</si>
  <si>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</si>
  <si>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</si>
  <si>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</si>
  <si>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</si>
  <si>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</si>
  <si>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</si>
  <si>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</si>
  <si>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</si>
  <si>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</si>
  <si>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</si>
  <si>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</si>
  <si>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</si>
  <si>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</si>
  <si>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</si>
  <si>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</si>
  <si>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</si>
  <si>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</si>
  <si>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</si>
  <si>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</si>
  <si>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</si>
  <si>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</si>
  <si>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</si>
  <si>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</si>
  <si>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</si>
  <si>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</si>
  <si>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</si>
  <si>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</si>
  <si>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</si>
  <si>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</si>
  <si>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</si>
  <si>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</si>
  <si>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</si>
  <si>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</si>
  <si>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</si>
  <si>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</si>
  <si>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</si>
  <si>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</si>
  <si>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</si>
  <si>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</si>
  <si>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</si>
  <si>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</si>
  <si>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</si>
  <si>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</si>
  <si>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</si>
  <si>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</si>
  <si>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</si>
  <si>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</si>
  <si>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</si>
  <si>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</si>
  <si>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</si>
  <si>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</si>
  <si>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</si>
  <si>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</si>
  <si>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</si>
  <si>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</si>
  <si>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</si>
  <si>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</si>
  <si>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</si>
  <si>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</si>
  <si>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</si>
  <si>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</si>
  <si>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</si>
  <si>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</si>
  <si>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</si>
  <si>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</si>
  <si>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</si>
  <si>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</si>
  <si>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</si>
  <si>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</si>
  <si>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</si>
  <si>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</si>
  <si>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</si>
  <si>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</si>
  <si>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</si>
  <si>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</si>
  <si>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</si>
  <si>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</si>
  <si>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</si>
  <si>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</si>
  <si>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</si>
  <si>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</si>
  <si>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</si>
  <si>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</si>
  <si>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</si>
  <si>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</si>
  <si>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</si>
  <si>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</si>
  <si>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</si>
  <si>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</si>
  <si>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</si>
  <si>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</si>
  <si>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</si>
  <si>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</si>
  <si>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</si>
  <si>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</si>
  <si>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</si>
  <si>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</si>
  <si>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</si>
  <si>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</si>
  <si>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</si>
  <si>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</si>
  <si>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</si>
  <si>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</si>
  <si>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</si>
  <si>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</si>
  <si>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</si>
  <si>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</si>
  <si>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</si>
  <si>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</si>
  <si>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</si>
  <si>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</si>
  <si>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</si>
  <si>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</si>
  <si>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</si>
  <si>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</si>
  <si>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</si>
  <si>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</si>
  <si>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</si>
  <si>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</si>
  <si>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</si>
  <si>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</si>
  <si>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</si>
  <si>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</si>
  <si>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</si>
  <si>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</si>
  <si>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</si>
  <si>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</si>
  <si>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</si>
  <si>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</si>
  <si>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</si>
  <si>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</si>
  <si>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</si>
  <si>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</si>
  <si>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</si>
  <si>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</si>
  <si>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</si>
  <si>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</si>
  <si>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</si>
  <si>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</si>
  <si>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</si>
  <si>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</si>
  <si>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</si>
  <si>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</si>
  <si>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</si>
  <si>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</si>
  <si>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</si>
  <si>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</si>
  <si>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</si>
  <si>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</si>
  <si>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</si>
  <si>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</si>
  <si>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</si>
  <si>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</si>
  <si>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</si>
  <si>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</si>
  <si>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</si>
  <si>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</si>
  <si>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</si>
  <si>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</si>
  <si>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</si>
  <si>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</si>
  <si>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</si>
  <si>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</si>
  <si>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</si>
  <si>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</si>
  <si>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</si>
  <si>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</si>
  <si>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</si>
  <si>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</si>
  <si>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</si>
  <si>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</si>
  <si>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</si>
  <si>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</si>
  <si>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</si>
  <si>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</si>
  <si>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</si>
  <si>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</si>
  <si>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</si>
  <si>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</si>
  <si>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</si>
  <si>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</si>
  <si>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</si>
  <si>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</si>
  <si>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</si>
  <si>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</si>
  <si>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</si>
  <si>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</si>
  <si>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</si>
  <si>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</si>
  <si>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</si>
  <si>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</si>
  <si>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</si>
  <si>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</si>
  <si>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</si>
  <si>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</si>
  <si>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</si>
  <si>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</si>
  <si>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</si>
  <si>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</si>
  <si>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</si>
  <si>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</si>
  <si>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</si>
  <si>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</si>
  <si>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</si>
  <si>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</si>
  <si>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</si>
  <si>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</si>
  <si>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</si>
  <si>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</si>
  <si>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</si>
  <si>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</si>
  <si>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</si>
  <si>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</si>
  <si>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</si>
  <si>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</si>
  <si>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</si>
  <si>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</si>
  <si>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</si>
  <si>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</si>
  <si>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</si>
  <si>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</si>
  <si>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</si>
  <si>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</si>
  <si>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</si>
  <si>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</si>
  <si>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</si>
  <si>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</si>
  <si>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</si>
  <si>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</si>
  <si>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</si>
  <si>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</si>
  <si>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</si>
  <si>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</si>
  <si>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</si>
  <si>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</si>
  <si>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</si>
  <si>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</si>
  <si>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</si>
  <si>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</si>
  <si>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</si>
  <si>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</si>
  <si>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</si>
  <si>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</si>
  <si>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</si>
  <si>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</si>
  <si>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</si>
  <si>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</si>
  <si>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</si>
  <si>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</si>
  <si>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</si>
  <si>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</si>
  <si>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</si>
  <si>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</si>
  <si>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</si>
  <si>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</si>
  <si>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</si>
  <si>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</si>
  <si>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</si>
  <si>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</si>
  <si>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</si>
  <si>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</si>
  <si>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</si>
  <si>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</si>
  <si>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</si>
  <si>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</si>
  <si>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</si>
  <si>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</si>
  <si>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</si>
  <si>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</si>
  <si>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</si>
  <si>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</si>
  <si>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</si>
  <si>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</si>
  <si>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</si>
  <si>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</si>
  <si>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</si>
  <si>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</si>
  <si>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</si>
  <si>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</si>
  <si>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</si>
  <si>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</si>
  <si>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</si>
  <si>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</si>
  <si>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</si>
  <si>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</si>
  <si>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</si>
  <si>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</si>
  <si>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</si>
  <si>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</si>
  <si>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</si>
  <si>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</si>
  <si>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</si>
  <si>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</si>
  <si>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</si>
  <si>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</si>
  <si>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</si>
  <si>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</si>
  <si>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</si>
  <si>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</si>
  <si>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</si>
  <si>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</si>
  <si>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</si>
  <si>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</si>
  <si>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</si>
  <si>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</si>
  <si>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</si>
  <si>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</si>
  <si>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</si>
  <si>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</si>
  <si>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</si>
  <si>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</si>
  <si>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</si>
  <si>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</si>
  <si>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</si>
  <si>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</si>
  <si>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</si>
  <si>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</si>
  <si>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</si>
  <si>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</si>
  <si>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</si>
  <si>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</si>
  <si>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</si>
  <si>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</si>
  <si>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</si>
  <si>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</si>
  <si>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</si>
  <si>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</si>
  <si>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</si>
  <si>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</si>
  <si>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</si>
  <si>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</si>
  <si>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</si>
  <si>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</si>
  <si>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</si>
  <si>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</si>
  <si>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</si>
  <si>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</si>
  <si>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</si>
  <si>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</si>
  <si>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</si>
  <si>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</si>
  <si>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</si>
  <si>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</si>
  <si>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</si>
  <si>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</si>
  <si>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</si>
  <si>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</si>
  <si>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</si>
  <si>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</si>
  <si>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</si>
  <si>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</si>
  <si>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</si>
  <si>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</si>
  <si>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</si>
  <si>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</si>
  <si>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</si>
  <si>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</si>
  <si>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</si>
  <si>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</si>
  <si>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</si>
  <si>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</si>
  <si>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</si>
  <si>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</si>
  <si>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</si>
  <si>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</si>
  <si>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</si>
  <si>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</si>
  <si>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</si>
  <si>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</si>
  <si>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</si>
  <si>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</si>
  <si>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</si>
  <si>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</si>
  <si>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</si>
  <si>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</si>
  <si>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</si>
  <si>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</si>
  <si>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</si>
  <si>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</si>
  <si>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</si>
  <si>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</si>
  <si>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</si>
  <si>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</si>
  <si>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</si>
  <si>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</si>
  <si>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</si>
  <si>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</si>
  <si>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</si>
  <si>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</si>
  <si>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</si>
  <si>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</si>
  <si>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</si>
  <si>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</si>
  <si>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</si>
  <si>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</si>
  <si>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</si>
  <si>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</si>
  <si>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</si>
  <si>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</si>
  <si>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</si>
  <si>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</si>
  <si>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</si>
  <si>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</si>
  <si>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</si>
  <si>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</si>
  <si>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</si>
  <si>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</si>
  <si>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</si>
  <si>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</si>
  <si>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</si>
  <si>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</si>
  <si>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</si>
  <si>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</si>
  <si>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</si>
  <si>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</si>
  <si>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</si>
  <si>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</si>
  <si>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</si>
  <si>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</si>
  <si>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</si>
  <si>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</si>
  <si>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</si>
  <si>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</si>
  <si>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</si>
  <si>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</si>
  <si>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</si>
  <si>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</si>
  <si>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</si>
  <si>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</si>
  <si>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</si>
  <si>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</si>
  <si>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</si>
  <si>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</si>
  <si>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</si>
  <si>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</si>
  <si>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</si>
  <si>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</si>
  <si>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</si>
  <si>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</si>
  <si>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</si>
  <si>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</si>
  <si>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</si>
  <si>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</si>
  <si>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</si>
  <si>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</si>
  <si>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</si>
  <si>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</si>
  <si>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</si>
  <si>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</si>
  <si>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</si>
  <si>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</si>
  <si>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</si>
  <si>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</si>
  <si>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</si>
  <si>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</si>
  <si>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</si>
  <si>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</si>
  <si>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</si>
  <si>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</si>
  <si>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</si>
  <si>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</si>
  <si>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</si>
  <si>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</si>
  <si>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</si>
  <si>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</si>
  <si>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</si>
  <si>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</si>
  <si>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</si>
  <si>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</si>
  <si>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</si>
  <si>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</si>
  <si>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</si>
  <si>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</si>
  <si>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</si>
  <si>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</si>
  <si>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</si>
  <si>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</si>
  <si>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</si>
  <si>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</si>
  <si>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</si>
  <si>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</si>
  <si>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</si>
  <si>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</si>
  <si>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</si>
  <si>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</si>
  <si>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</si>
  <si>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</si>
  <si>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</si>
  <si>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</si>
  <si>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</si>
  <si>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</si>
  <si>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</si>
  <si>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</si>
  <si>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</si>
  <si>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</si>
  <si>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</si>
  <si>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</si>
  <si>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</si>
  <si>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</si>
  <si>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</si>
  <si>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</si>
  <si>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</si>
  <si>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</si>
  <si>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</si>
  <si>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</si>
  <si>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</si>
  <si>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</si>
  <si>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</si>
  <si>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</si>
  <si>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</si>
  <si>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</si>
  <si>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</si>
  <si>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</si>
  <si>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</si>
  <si>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</si>
  <si>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</si>
  <si>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</si>
  <si>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</si>
  <si>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</si>
  <si>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</si>
  <si>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</si>
  <si>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</si>
  <si>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</si>
  <si>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</si>
  <si>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</si>
  <si>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</si>
  <si>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</si>
  <si>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</si>
  <si>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</si>
  <si>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</si>
  <si>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</si>
  <si>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</si>
  <si>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</si>
  <si>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</si>
  <si>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</si>
  <si>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</si>
  <si>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</si>
  <si>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</si>
  <si>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</si>
  <si>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</si>
  <si>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</si>
  <si>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</si>
  <si>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</si>
  <si>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</si>
  <si>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</si>
  <si>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</si>
  <si>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</si>
  <si>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</si>
  <si>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</si>
  <si>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</si>
  <si>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</si>
  <si>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</si>
  <si>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</si>
  <si>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</si>
  <si>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</si>
  <si>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</si>
  <si>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</si>
  <si>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</si>
  <si>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</si>
  <si>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</si>
  <si>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</si>
  <si>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</si>
  <si>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</si>
  <si>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</si>
  <si>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</si>
  <si>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</si>
  <si>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</si>
  <si>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</si>
  <si>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</si>
  <si>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</si>
  <si>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</si>
  <si>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</si>
  <si>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</si>
  <si>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</si>
  <si>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</si>
  <si>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</si>
  <si>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</si>
  <si>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</si>
  <si>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</si>
  <si>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</si>
  <si>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</si>
  <si>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</si>
  <si>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</si>
  <si>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</si>
  <si>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</si>
  <si>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</si>
  <si>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</si>
  <si>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</si>
  <si>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</si>
  <si>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</si>
  <si>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</si>
  <si>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</si>
  <si>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</si>
  <si>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</si>
  <si>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</si>
  <si>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</si>
  <si>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</si>
  <si>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</si>
  <si>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</si>
  <si>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</si>
  <si>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</si>
  <si>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</si>
  <si>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</si>
  <si>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</si>
  <si>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</si>
  <si>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</si>
  <si>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</si>
  <si>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</si>
  <si>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</si>
  <si>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</si>
  <si>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</si>
  <si>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</si>
  <si>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</si>
  <si>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</si>
  <si>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</si>
  <si>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</si>
  <si>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</si>
  <si>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</si>
  <si>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</si>
  <si>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</si>
  <si>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</si>
  <si>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</si>
  <si>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</si>
  <si>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</si>
  <si>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</si>
  <si>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</si>
  <si>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</si>
  <si>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</si>
  <si>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</si>
  <si>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</si>
  <si>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</si>
  <si>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</si>
  <si>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</si>
  <si>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</si>
  <si>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</si>
  <si>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</si>
  <si>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</si>
  <si>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</si>
  <si>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</si>
  <si>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</si>
  <si>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</si>
  <si>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</si>
  <si>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</si>
  <si>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</si>
  <si>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</si>
  <si>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</si>
  <si>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</si>
  <si>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</si>
  <si>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</si>
  <si>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</si>
  <si>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</si>
  <si>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</si>
  <si>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</si>
  <si>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</si>
  <si>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</si>
  <si>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</si>
  <si>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</si>
  <si>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</si>
  <si>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</si>
  <si>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</si>
  <si>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</si>
  <si>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</si>
  <si>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</si>
  <si>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</si>
  <si>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</si>
  <si>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</si>
  <si>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</si>
  <si>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</si>
  <si>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</si>
  <si>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</si>
  <si>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</si>
  <si>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</si>
  <si>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</si>
  <si>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</si>
  <si>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</si>
  <si>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</si>
  <si>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</si>
  <si>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</si>
  <si>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</si>
  <si>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</si>
  <si>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</si>
  <si>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</si>
  <si>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</si>
  <si>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</si>
  <si>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</si>
  <si>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</si>
  <si>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</si>
  <si>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</si>
  <si>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</si>
  <si>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</si>
  <si>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</si>
  <si>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</si>
  <si>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</si>
  <si>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</si>
  <si>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</si>
  <si>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</si>
  <si>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</si>
  <si>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</si>
  <si>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</si>
  <si>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</si>
  <si>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</si>
  <si>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</si>
  <si>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</si>
  <si>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</si>
  <si>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</si>
  <si>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</si>
  <si>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</si>
  <si>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</si>
  <si>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</si>
  <si>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</si>
  <si>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</si>
  <si>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</si>
  <si>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</si>
  <si>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</si>
  <si>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</si>
  <si>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</si>
  <si>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</si>
  <si>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</si>
  <si>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</si>
  <si>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</si>
  <si>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</si>
  <si>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</si>
  <si>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</si>
  <si>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</si>
  <si>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</si>
  <si>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</si>
  <si>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</si>
  <si>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</si>
  <si>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</si>
  <si>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</si>
  <si>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</si>
  <si>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</si>
  <si>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</si>
  <si>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</si>
  <si>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</si>
  <si>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</si>
  <si>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</si>
  <si>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</si>
  <si>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</si>
  <si>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</si>
  <si>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</si>
  <si>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</si>
  <si>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</si>
  <si>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</si>
  <si>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</si>
  <si>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</si>
  <si>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</si>
  <si>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</si>
  <si>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</si>
  <si>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</si>
  <si>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</si>
  <si>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</si>
  <si>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</si>
  <si>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</si>
  <si>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</si>
  <si>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</si>
  <si>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</si>
  <si>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</si>
  <si>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</si>
  <si>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</si>
  <si>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</si>
  <si>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</si>
  <si>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</si>
  <si>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</si>
  <si>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</si>
  <si>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</si>
  <si>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</si>
  <si>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</si>
  <si>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</si>
  <si>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</si>
  <si>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</si>
  <si>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</si>
  <si>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</si>
  <si>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</si>
  <si>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</si>
  <si>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</si>
  <si>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</si>
  <si>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</si>
  <si>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</si>
  <si>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</si>
  <si>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</si>
  <si>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</si>
  <si>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</si>
  <si>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</si>
  <si>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</si>
  <si>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</si>
  <si>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</si>
  <si>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</si>
  <si>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</si>
  <si>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</si>
  <si>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</si>
  <si>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</si>
  <si>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</si>
  <si>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</si>
  <si>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</si>
  <si>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</si>
  <si>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</si>
  <si>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</si>
  <si>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</si>
  <si>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</si>
  <si>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</si>
  <si>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</si>
  <si>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</si>
  <si>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</si>
  <si>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</si>
  <si>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</si>
  <si>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</si>
  <si>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</si>
  <si>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</si>
  <si>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</si>
  <si>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</si>
  <si>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</si>
  <si>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</si>
  <si>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</si>
  <si>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</si>
  <si>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</si>
  <si>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</si>
  <si>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</si>
  <si>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</si>
  <si>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</si>
  <si>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</si>
  <si>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</si>
  <si>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</si>
  <si>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</si>
  <si>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</si>
  <si>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</si>
  <si>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</si>
  <si>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</si>
  <si>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</si>
  <si>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</si>
  <si>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</si>
  <si>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</si>
  <si>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</si>
  <si>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</si>
  <si>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</si>
  <si>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</si>
  <si>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</si>
  <si>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</si>
  <si>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</si>
  <si>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</si>
  <si>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</si>
  <si>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企业</t>
  </si>
  <si>
    <t>出让</t>
  </si>
  <si>
    <t>地上</t>
  </si>
  <si>
    <t>是</t>
  </si>
  <si>
    <t>工业</t>
    <phoneticPr fontId="7" type="noConversion"/>
  </si>
  <si>
    <t>利息：取LPR加浮动点数</t>
  </si>
  <si>
    <t>成新度</t>
  </si>
  <si>
    <t>收益法</t>
  </si>
  <si>
    <t>押一</t>
  </si>
  <si>
    <t>按租金收入计税</t>
  </si>
  <si>
    <t>砖混</t>
  </si>
  <si>
    <t>非生产用房</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</si>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</sst>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5" borderId="23" xfId="0" applyFont="1" applyFill="1" applyBorder="1" applyAlignment="1" applyProtection="1">
      <alignment vertical="center"/>
      <protection locked="0"/>
    </xf>
    <xf numFmtId="181" fontId="46" fillId="5" borderId="1" xfId="0"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4310;&#24198;&#21496;&#23478;&#33829;&#264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2)"/>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2850</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9" customWidth="1"/>
    <col min="2" max="2" width="81" style="1326" customWidth="1"/>
    <col min="3" max="16384" width="9" style="1324"/>
  </cols>
  <sheetData>
    <row r="1" spans="1:2" s="1312" customFormat="1" ht="16.2" thickBot="1">
      <c r="A1" s="1311" t="s">
        <v>946</v>
      </c>
      <c r="B1" s="1310" t="s">
        <v>1025</v>
      </c>
    </row>
    <row r="2" spans="1:2" s="1315" customFormat="1" ht="16.2" thickTop="1">
      <c r="A2" s="1313" t="s">
        <v>947</v>
      </c>
      <c r="B2" s="1314" t="str">
        <f>'预评函-封皮'!B37:I37</f>
        <v>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6.2" thickBot="1">
      <c r="A5" s="1319" t="s">
        <v>950</v>
      </c>
      <c r="B5" s="1320" t="str">
        <f>'预评函-封皮'!B49</f>
        <v>康正预评字号</v>
      </c>
    </row>
    <row r="6" spans="1:2" s="1315" customFormat="1" ht="16.2" thickTop="1">
      <c r="A6" s="1313" t="s">
        <v>951</v>
      </c>
      <c r="B6" s="1314" t="str">
        <f>'预评函-1'!A4</f>
        <v>受贵公司委托，我公司对房地产抵押价值进行了预评估。</v>
      </c>
    </row>
    <row r="7" spans="1:2" s="1318" customFormat="1">
      <c r="A7" s="1316" t="s">
        <v>991</v>
      </c>
      <c r="B7" s="1317" t="str">
        <f>'预评函-1'!A7</f>
        <v>估价对象为房地产，为所有。根据《国有土地使用证》[]，估价对象（分摊）出让国有建设用地使用权面积为41059.64平方米，建筑面积为11798.5平方米。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估价对象为房地产,属开发建设的，该项目尚在开发建设中。根据《国有土地使用证》[]，估价对象（分摊）出让国有建设用地使用权面积为41059.64平方米，规划建筑面积为11798.5平方米。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2022年11月24日</v>
      </c>
    </row>
    <row r="13" spans="1:2" s="1318" customFormat="1">
      <c r="A13" s="1316" t="s">
        <v>954</v>
      </c>
      <c r="B13" s="1317" t="str">
        <f>'预评函-1'!A18</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6.2" thickBot="1">
      <c r="A18" s="1319" t="s">
        <v>959</v>
      </c>
      <c r="B18" s="1320" t="str">
        <f>'预评函-1'!A24</f>
        <v>本次评估采用的主估价方法为成本法和收益法。</v>
      </c>
    </row>
    <row r="19" spans="1:2" s="1315" customFormat="1" ht="16.2"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3219</v>
      </c>
    </row>
    <row r="21" spans="1:2" s="1318" customFormat="1">
      <c r="A21" s="1316" t="s">
        <v>962</v>
      </c>
      <c r="B21" s="1317">
        <f ca="1">'预评函-2'!D7</f>
        <v>2728</v>
      </c>
    </row>
    <row r="22" spans="1:2" s="1318" customFormat="1">
      <c r="A22" s="1316" t="s">
        <v>963</v>
      </c>
      <c r="B22" s="1317" t="str">
        <f ca="1">'预评函-2'!D6</f>
        <v>叁仟贰佰壹拾玖万元整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3219</v>
      </c>
    </row>
    <row r="31" spans="1:2" s="1318" customFormat="1">
      <c r="A31" s="1316" t="s">
        <v>1001</v>
      </c>
      <c r="B31" s="1317">
        <f ca="1">'预评函-2'!D15</f>
        <v>2728</v>
      </c>
    </row>
    <row r="32" spans="1:2" s="1318" customFormat="1">
      <c r="A32" s="1316" t="s">
        <v>968</v>
      </c>
      <c r="B32" s="1317" t="str">
        <f ca="1">'预评函-2'!D14</f>
        <v>叁仟贰佰壹拾玖万元整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房地产</v>
      </c>
    </row>
    <row r="42" spans="1:2" s="1318" customFormat="1" ht="31.2">
      <c r="A42" s="1316" t="s">
        <v>1015</v>
      </c>
      <c r="B42" s="1317" t="str">
        <f>'预评函-3'!B2</f>
        <v>建筑面积</v>
      </c>
    </row>
    <row r="43" spans="1:2" s="1318" customFormat="1">
      <c r="A43" s="1316" t="s">
        <v>1016</v>
      </c>
      <c r="B43" s="1317">
        <f>'预评函-3'!B4</f>
        <v>11798.5</v>
      </c>
    </row>
    <row r="44" spans="1:2" s="1318" customFormat="1" ht="31.2">
      <c r="A44" s="1316" t="s">
        <v>1000</v>
      </c>
      <c r="B44" s="1317" t="str">
        <f>'预评函-3'!C2</f>
        <v>(分摊)土地面积</v>
      </c>
    </row>
    <row r="45" spans="1:2" s="1318" customFormat="1">
      <c r="A45" s="1316" t="s">
        <v>972</v>
      </c>
      <c r="B45" s="1317">
        <f>'预评函-3'!C4</f>
        <v>41059.64</v>
      </c>
    </row>
    <row r="46" spans="1:2" s="1318" customFormat="1">
      <c r="A46" s="1316" t="s">
        <v>998</v>
      </c>
      <c r="B46" s="1317" t="str">
        <f>'预评函-3'!D2</f>
        <v>出让国有建设用地使用权价值</v>
      </c>
    </row>
    <row r="47" spans="1:2" s="1318" customFormat="1">
      <c r="A47" s="1316" t="s">
        <v>973</v>
      </c>
      <c r="B47" s="1317">
        <f ca="1">'预评函-3'!D4</f>
        <v>2308</v>
      </c>
    </row>
    <row r="48" spans="1:2" s="1318" customFormat="1">
      <c r="A48" s="1316" t="s">
        <v>974</v>
      </c>
      <c r="B48" s="1317">
        <f ca="1">'预评函-3'!E4</f>
        <v>1956</v>
      </c>
    </row>
    <row r="49" spans="1:2" s="1318" customFormat="1">
      <c r="A49" s="1316" t="s">
        <v>975</v>
      </c>
      <c r="B49" s="1317" t="str">
        <f ca="1">'预评函-3'!D5</f>
        <v>贰仟叁佰零捌万元整</v>
      </c>
    </row>
    <row r="50" spans="1:2" s="1318" customFormat="1">
      <c r="A50" s="1316" t="s">
        <v>999</v>
      </c>
      <c r="B50" s="1317" t="str">
        <f>'预评函-3'!F2</f>
        <v>在建建筑物价值</v>
      </c>
    </row>
    <row r="51" spans="1:2" s="1318" customFormat="1">
      <c r="A51" s="1316" t="s">
        <v>976</v>
      </c>
      <c r="B51" s="1317">
        <f ca="1">'预评函-3'!F4</f>
        <v>911</v>
      </c>
    </row>
    <row r="52" spans="1:2" s="1318" customFormat="1">
      <c r="A52" s="1316" t="s">
        <v>977</v>
      </c>
      <c r="B52" s="1317">
        <f ca="1">'预评函-3'!G4</f>
        <v>772</v>
      </c>
    </row>
    <row r="53" spans="1:2" s="1318" customFormat="1">
      <c r="A53" s="1316" t="s">
        <v>1005</v>
      </c>
      <c r="B53" s="1317" t="str">
        <f ca="1">'预评函-3'!F5</f>
        <v>玖佰壹拾壹万元整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6.2" thickBot="1">
      <c r="A57" s="1319" t="s">
        <v>1024</v>
      </c>
      <c r="B57" s="1320" t="str">
        <f>'预评函-3'!A6</f>
        <v>估价师知悉的法定优先受偿款</v>
      </c>
    </row>
    <row r="58" spans="1:2" s="1315" customFormat="1" ht="16.2"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6.2" thickBot="1">
      <c r="A69" s="1319" t="s">
        <v>986</v>
      </c>
      <c r="B69" s="1321">
        <f>'预评函-4'!C31</f>
        <v>42551</v>
      </c>
    </row>
    <row r="70" spans="1:2" ht="16.2" thickTop="1">
      <c r="A70" s="1322" t="s">
        <v>987</v>
      </c>
      <c r="B70" s="1323">
        <f>'预评函-4'!A4</f>
        <v>0</v>
      </c>
    </row>
    <row r="71" spans="1:2">
      <c r="A71" s="1316" t="s">
        <v>988</v>
      </c>
      <c r="B71" s="1317">
        <f>'预评函-4'!B4</f>
        <v>0</v>
      </c>
    </row>
    <row r="72" spans="1:2">
      <c r="A72" s="1316" t="s">
        <v>989</v>
      </c>
      <c r="B72" s="1325">
        <f>'预评函-4'!A5</f>
        <v>0</v>
      </c>
    </row>
    <row r="73" spans="1:2" s="1312" customFormat="1" ht="16.2" thickBot="1">
      <c r="A73" s="1319" t="s">
        <v>990</v>
      </c>
      <c r="B73" s="1320">
        <f>'预评函-4'!B5</f>
        <v>0</v>
      </c>
    </row>
    <row r="74" spans="1:2" ht="16.2"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1692" customWidth="1"/>
    <col min="2" max="2" width="23.21875" style="1643" customWidth="1"/>
    <col min="3" max="3" width="13" style="1687" customWidth="1"/>
    <col min="4" max="4" width="5.77734375" style="1684" customWidth="1"/>
    <col min="5" max="5" width="7.109375" style="1684" customWidth="1"/>
    <col min="6" max="6" width="10.6640625" style="1684" customWidth="1"/>
    <col min="7" max="7" width="7.44140625" style="1684" customWidth="1"/>
    <col min="8" max="8" width="9" style="1687" customWidth="1"/>
    <col min="9" max="9" width="11.6640625" style="1687" customWidth="1"/>
    <col min="10" max="10" width="9" style="1687" customWidth="1"/>
    <col min="11" max="19" width="9" style="1684" customWidth="1"/>
    <col min="20" max="23" width="9" style="1687" customWidth="1"/>
    <col min="24" max="24" width="21.109375" style="1643" customWidth="1"/>
    <col min="25" max="16384" width="9" style="1643"/>
  </cols>
  <sheetData>
    <row r="1" spans="1:23" s="1681" customFormat="1" ht="28.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690" t="s">
        <v>651</v>
      </c>
      <c r="C54" s="1687" t="s">
        <v>1008</v>
      </c>
    </row>
    <row r="55" spans="1:4">
      <c r="A55" s="3274"/>
      <c r="B55" s="1690" t="s">
        <v>652</v>
      </c>
      <c r="C55" s="1687" t="s">
        <v>1009</v>
      </c>
    </row>
    <row r="56" spans="1:4">
      <c r="A56" s="3274"/>
      <c r="B56" s="1690" t="s">
        <v>653</v>
      </c>
      <c r="C56" s="1687" t="s">
        <v>1013</v>
      </c>
    </row>
    <row r="57" spans="1:4">
      <c r="A57" s="327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3" sqref="I13"/>
    </sheetView>
  </sheetViews>
  <sheetFormatPr defaultColWidth="10" defaultRowHeight="13.2"/>
  <cols>
    <col min="1" max="1" width="16.88671875" style="1882" customWidth="1"/>
    <col min="2" max="2" width="10" style="1882" customWidth="1"/>
    <col min="3" max="3" width="11.44140625" style="1882" customWidth="1"/>
    <col min="4" max="4" width="10" style="1882" customWidth="1"/>
    <col min="5" max="5" width="12.6640625" style="1882" customWidth="1"/>
    <col min="6" max="6" width="10" style="1882" customWidth="1"/>
    <col min="7" max="7" width="10.77734375" style="1882" customWidth="1"/>
    <col min="8" max="8" width="10" style="1882" customWidth="1"/>
    <col min="9" max="9" width="11.109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8" thickBot="1">
      <c r="A1" s="2540" t="s">
        <v>2669</v>
      </c>
      <c r="B1" s="3275" t="str">
        <f>IF(B10="北京市","北京市",C10)&amp;F10&amp;IF(结果表!G1="在建","出让国有建设用地使用权及在建建筑物",IF(结果表!G1="土地","出让国有建设用地使用权",))&amp;B9&amp;"预评估"</f>
        <v>房地产抵押价值预评估</v>
      </c>
      <c r="C1" s="3276"/>
      <c r="D1" s="3276"/>
      <c r="E1" s="3276"/>
      <c r="F1" s="3276"/>
      <c r="G1" s="3276"/>
      <c r="H1" s="3276"/>
      <c r="I1" s="3277"/>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房地产</v>
      </c>
      <c r="T2" s="1882"/>
      <c r="U2" s="1882"/>
      <c r="V2" s="1882"/>
      <c r="W2" s="1882"/>
      <c r="X2" s="1882"/>
      <c r="Y2" s="1882"/>
      <c r="Z2" s="1882"/>
      <c r="AA2" s="1882"/>
      <c r="AB2" s="1882"/>
    </row>
    <row r="3" spans="1:28">
      <c r="A3" s="308" t="s">
        <v>2671</v>
      </c>
      <c r="B3" s="2547"/>
      <c r="C3" s="2548" t="s">
        <v>2672</v>
      </c>
      <c r="D3" s="2547">
        <v>44889</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8"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8"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78" t="s">
        <v>2678</v>
      </c>
      <c r="E8" s="2565" t="s">
        <v>3176</v>
      </c>
      <c r="F8" s="2566"/>
      <c r="G8" s="2840"/>
      <c r="H8" s="2840"/>
      <c r="I8" s="2840"/>
      <c r="J8" s="2615"/>
      <c r="K8" s="2790"/>
      <c r="L8" s="2789"/>
      <c r="M8" s="2789"/>
      <c r="N8" s="2615"/>
      <c r="O8" s="2626"/>
      <c r="P8" s="2615"/>
      <c r="Q8" s="2615"/>
      <c r="R8" s="2615"/>
    </row>
    <row r="9" spans="1:28" ht="13.8" thickBot="1">
      <c r="A9" s="2567" t="s">
        <v>2679</v>
      </c>
      <c r="B9" s="2568" t="s">
        <v>3176</v>
      </c>
      <c r="C9" s="2569"/>
      <c r="D9" s="3279"/>
      <c r="E9" s="2568" t="s">
        <v>70</v>
      </c>
      <c r="F9" s="2570"/>
      <c r="G9" s="2842"/>
      <c r="H9" s="2842"/>
      <c r="I9" s="2842"/>
      <c r="J9" s="2615"/>
      <c r="K9" s="2792"/>
      <c r="L9" s="2789"/>
      <c r="M9" s="2789"/>
      <c r="N9" s="2615"/>
      <c r="O9" s="2626"/>
      <c r="P9" s="2615"/>
      <c r="Q9" s="2615"/>
      <c r="R9" s="2615"/>
    </row>
    <row r="10" spans="1:28" ht="13.8" thickTop="1">
      <c r="A10" s="2571" t="s">
        <v>2680</v>
      </c>
      <c r="B10" s="2572"/>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3177</v>
      </c>
      <c r="C11" s="2577"/>
      <c r="D11" s="2578"/>
      <c r="E11" s="2544"/>
      <c r="F11" s="2544"/>
      <c r="G11" s="2544"/>
      <c r="H11" s="2544"/>
      <c r="I11" s="2544"/>
      <c r="J11" s="2615"/>
      <c r="K11" s="2792"/>
      <c r="L11" s="2789"/>
      <c r="M11" s="2789"/>
      <c r="N11" s="2615"/>
      <c r="O11" s="2626"/>
      <c r="P11" s="2615"/>
      <c r="Q11" s="2615"/>
      <c r="R11" s="2615"/>
    </row>
    <row r="12" spans="1:28">
      <c r="A12" s="2579" t="s">
        <v>2683</v>
      </c>
      <c r="B12" s="2576" t="s">
        <v>3178</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53503</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23.6</v>
      </c>
      <c r="J15" s="2615"/>
      <c r="K15" s="2794"/>
      <c r="L15" s="2627"/>
      <c r="M15" s="2627"/>
      <c r="N15" s="2685"/>
      <c r="O15" s="2627"/>
      <c r="P15" s="2685"/>
      <c r="Q15" s="2615"/>
      <c r="R15" s="2615"/>
    </row>
    <row r="16" spans="1:28">
      <c r="A16" s="2574" t="s">
        <v>2694</v>
      </c>
      <c r="B16" s="3285"/>
      <c r="C16" s="3286"/>
      <c r="D16" s="3287"/>
      <c r="E16" s="2589" t="s">
        <v>2695</v>
      </c>
      <c r="F16" s="3288"/>
      <c r="G16" s="3289"/>
      <c r="H16" s="3289"/>
      <c r="I16" s="3290"/>
      <c r="J16" s="2615"/>
      <c r="K16" s="2794"/>
      <c r="L16" s="2627"/>
      <c r="M16" s="2627"/>
      <c r="N16" s="2685"/>
      <c r="O16" s="2627"/>
      <c r="P16" s="2685"/>
      <c r="Q16" s="2615"/>
      <c r="R16" s="2615"/>
    </row>
    <row r="17" spans="1:28">
      <c r="A17" s="319" t="s">
        <v>2696</v>
      </c>
      <c r="B17" s="308" t="s">
        <v>2697</v>
      </c>
      <c r="C17" s="11">
        <f>'数据-汇总表'!E3</f>
        <v>11798.5</v>
      </c>
      <c r="D17" s="2496" t="s">
        <v>2698</v>
      </c>
      <c r="E17" s="3291" t="s">
        <v>2699</v>
      </c>
      <c r="F17" s="3292"/>
      <c r="G17" s="3292"/>
      <c r="H17" s="3292"/>
      <c r="I17" s="3293"/>
      <c r="J17" s="2615"/>
      <c r="K17" s="2795"/>
      <c r="L17" s="2627"/>
      <c r="M17" s="2627"/>
      <c r="N17" s="2685"/>
      <c r="O17" s="2627"/>
      <c r="P17" s="2685"/>
      <c r="Q17" s="2615"/>
      <c r="R17" s="2615"/>
      <c r="S17" s="2615"/>
      <c r="T17" s="2615"/>
      <c r="U17" s="2615"/>
      <c r="V17" s="2615"/>
    </row>
    <row r="18" spans="1:28" ht="24.6" thickBot="1">
      <c r="A18" s="2590" t="s">
        <v>2700</v>
      </c>
      <c r="B18" s="1203" t="s">
        <v>2701</v>
      </c>
      <c r="C18" s="2591">
        <f>'数据-汇总表'!D3</f>
        <v>41059.64</v>
      </c>
      <c r="D18" s="1205" t="s">
        <v>2702</v>
      </c>
      <c r="E18" s="3294" t="s">
        <v>2703</v>
      </c>
      <c r="F18" s="3295"/>
      <c r="G18" s="3295"/>
      <c r="H18" s="3295"/>
      <c r="I18" s="3296"/>
      <c r="J18" s="2615"/>
      <c r="K18" s="2795"/>
      <c r="L18" s="2627"/>
      <c r="M18" s="2627"/>
      <c r="N18" s="2685"/>
      <c r="O18" s="2627"/>
      <c r="P18" s="2685"/>
      <c r="Q18" s="2615"/>
      <c r="R18" s="2615"/>
      <c r="S18" s="2615"/>
      <c r="T18" s="2615"/>
      <c r="U18" s="2615"/>
      <c r="V18" s="2615"/>
    </row>
    <row r="19" spans="1:28" ht="37.200000000000003"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1" t="s">
        <v>2707</v>
      </c>
      <c r="C20" s="3282"/>
      <c r="D20" s="3283" t="s">
        <v>2708</v>
      </c>
      <c r="E20" s="3284"/>
      <c r="F20" s="2824" t="s">
        <v>1501</v>
      </c>
      <c r="G20" s="2841"/>
      <c r="H20" s="2841"/>
      <c r="I20" s="2841"/>
      <c r="J20" s="2615"/>
      <c r="K20" s="328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36.6" thickBot="1">
      <c r="A21" s="2809"/>
      <c r="B21" s="2810" t="s">
        <v>2710</v>
      </c>
      <c r="C21" s="2811" t="s">
        <v>1502</v>
      </c>
      <c r="D21" s="1704" t="s">
        <v>2711</v>
      </c>
      <c r="E21" s="2812" t="s">
        <v>1502</v>
      </c>
      <c r="F21" s="2825"/>
      <c r="G21" s="2841"/>
      <c r="H21" s="2841"/>
      <c r="I21" s="2841"/>
      <c r="J21" s="2615"/>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36.6" thickBot="1">
      <c r="A22" s="2809"/>
      <c r="B22" s="2813" t="s">
        <v>2712</v>
      </c>
      <c r="C22" s="2811" t="s">
        <v>1503</v>
      </c>
      <c r="D22" s="2840"/>
      <c r="E22" s="2840"/>
      <c r="F22" s="2840"/>
      <c r="G22" s="2841"/>
      <c r="H22" s="2841"/>
      <c r="I22" s="2841"/>
      <c r="J22" s="2615"/>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8"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8" thickTop="1">
      <c r="A27" s="3298"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8"/>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8"/>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9"/>
      <c r="B30" s="308" t="s">
        <v>2719</v>
      </c>
      <c r="C30" s="3300"/>
      <c r="D30" s="3301"/>
      <c r="E30" s="2841"/>
      <c r="F30" s="2841"/>
      <c r="G30" s="2841"/>
      <c r="H30" s="2841"/>
      <c r="I30" s="2841"/>
      <c r="J30" s="2615"/>
      <c r="K30" s="2792"/>
      <c r="L30" s="2789"/>
      <c r="M30" s="2789"/>
      <c r="N30" s="2615"/>
      <c r="O30" s="2626"/>
      <c r="P30" s="2615"/>
      <c r="Q30" s="2615"/>
      <c r="R30" s="2615"/>
      <c r="S30" s="2615"/>
      <c r="T30" s="2615"/>
      <c r="U30" s="2615"/>
      <c r="V30" s="2615"/>
    </row>
    <row r="31" spans="1:28">
      <c r="A31" s="3302"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3"/>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3"/>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7" t="s">
        <v>2729</v>
      </c>
      <c r="T34" s="2604" t="str">
        <f>NUMBERSTRING(7-K34,1)&amp;"通"</f>
        <v>七通</v>
      </c>
      <c r="U34" s="2615"/>
      <c r="V34" s="2615"/>
    </row>
    <row r="35" spans="1:30">
      <c r="A35" s="2605"/>
      <c r="B35" s="3304" t="s">
        <v>2730</v>
      </c>
      <c r="C35" s="3304"/>
      <c r="D35" s="3304"/>
      <c r="E35" s="3304"/>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7"/>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8"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4"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2">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18" sqref="P18"/>
    </sheetView>
  </sheetViews>
  <sheetFormatPr defaultColWidth="8.88671875" defaultRowHeight="13.8"/>
  <cols>
    <col min="1" max="1" width="10.6640625" style="1709" customWidth="1"/>
    <col min="2" max="2" width="11" style="1709" customWidth="1"/>
    <col min="3" max="3" width="10.33203125" style="1709" customWidth="1"/>
    <col min="4" max="4" width="9.109375" style="1709" customWidth="1"/>
    <col min="5" max="6" width="10" style="1770" customWidth="1"/>
    <col min="7" max="8" width="10" style="1709" customWidth="1"/>
    <col min="9" max="9" width="10.6640625" style="1709" customWidth="1"/>
    <col min="10" max="10" width="9.44140625" style="1709" customWidth="1"/>
    <col min="11" max="11" width="11" style="1709" customWidth="1"/>
    <col min="12" max="14" width="9.44140625" style="1709" customWidth="1"/>
    <col min="15" max="15" width="9.88671875" style="1709" customWidth="1"/>
    <col min="16" max="16" width="9.77734375" style="1709" customWidth="1"/>
    <col min="17" max="17" width="9.33203125" style="1709" customWidth="1"/>
    <col min="18" max="18" width="9.21875" style="1709" customWidth="1"/>
    <col min="19" max="19" width="10.88671875" style="1709" customWidth="1"/>
    <col min="20" max="21" width="10.77734375" style="1709" customWidth="1"/>
    <col min="22" max="22" width="10.88671875" style="1709" customWidth="1"/>
    <col min="23" max="27" width="10.77734375" style="1709" customWidth="1"/>
    <col min="28" max="28" width="10.88671875" style="1709" customWidth="1"/>
    <col min="29" max="29" width="11" style="1709" bestFit="1" customWidth="1"/>
    <col min="30" max="30" width="10" style="1709" bestFit="1" customWidth="1"/>
    <col min="31" max="31" width="9.77734375" style="1709" customWidth="1"/>
    <col min="32" max="46" width="9.44140625" style="1709" customWidth="1"/>
    <col min="47" max="47" width="18.109375" style="1709" customWidth="1"/>
    <col min="48" max="50" width="9.77734375" style="1709" customWidth="1"/>
    <col min="51" max="55" width="10.44140625" style="1709" bestFit="1" customWidth="1"/>
    <col min="56" max="56" width="9.44140625" style="1709" bestFit="1" customWidth="1"/>
    <col min="57" max="63" width="9.109375" style="1709" bestFit="1" customWidth="1"/>
    <col min="64" max="64" width="9.44140625" style="1709" bestFit="1" customWidth="1"/>
    <col min="65" max="65" width="9.109375" style="1709" bestFit="1" customWidth="1"/>
    <col min="66" max="66" width="9.44140625" style="1709" bestFit="1" customWidth="1"/>
    <col min="67" max="69" width="9.109375" style="1709" bestFit="1" customWidth="1"/>
    <col min="70" max="70" width="9.44140625" style="1709" bestFit="1" customWidth="1"/>
    <col min="71" max="71" width="9" style="1709" customWidth="1"/>
    <col min="72" max="72" width="9.109375" style="1709" bestFit="1" customWidth="1"/>
    <col min="73" max="16384" width="8.8867187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2">
      <c r="A3" s="13">
        <v>41059.64</v>
      </c>
      <c r="B3" s="14">
        <f>IF(C3="否",G5-AT5,G5)</f>
        <v>11798.5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2">
      <c r="A5" s="15" t="s">
        <v>1516</v>
      </c>
      <c r="B5" s="1482"/>
      <c r="C5" s="1482"/>
      <c r="D5" s="1484"/>
      <c r="E5" s="16" t="s">
        <v>1</v>
      </c>
      <c r="F5" s="16">
        <f>SUM(F13:F587)</f>
        <v>0</v>
      </c>
      <c r="G5" s="16">
        <f>SUM(G13:G587)</f>
        <v>11798.5</v>
      </c>
      <c r="H5" s="16">
        <f t="shared" ref="H5:AT5" si="0">SUM(H13:H656)</f>
        <v>11798.5</v>
      </c>
      <c r="I5" s="16">
        <f t="shared" si="0"/>
        <v>11798.5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11798.5</v>
      </c>
      <c r="BA5" s="18">
        <f t="shared" si="1"/>
        <v>11798.5</v>
      </c>
      <c r="BB5" s="18">
        <f t="shared" si="1"/>
        <v>11798.5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2">
      <c r="A6" s="15" t="s">
        <v>1517</v>
      </c>
      <c r="B6" s="1722"/>
      <c r="C6" s="1722"/>
      <c r="D6" s="1723"/>
      <c r="E6" s="16">
        <f>H6+AC6+AT6</f>
        <v>41059.64</v>
      </c>
      <c r="F6" s="16" t="s">
        <v>1</v>
      </c>
      <c r="G6" s="16" t="s">
        <v>2</v>
      </c>
      <c r="H6" s="20">
        <f>SUMIF(I$12:AB$12,"总值",I6:AB6)</f>
        <v>41059.64</v>
      </c>
      <c r="I6" s="16">
        <f t="shared" ref="I6:AB6" si="2">ROUND($A$3*I5/$B$3,2)</f>
        <v>41059.64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41059.64</v>
      </c>
      <c r="AZ6" s="16" t="s">
        <v>3</v>
      </c>
      <c r="BA6" s="16">
        <f>ROUND($AY$6*BA5/$AZ$5,2)</f>
        <v>41059.64</v>
      </c>
      <c r="BB6" s="16">
        <f>ROUND($AY$6*BB5/$AZ$5,2)</f>
        <v>41059.64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5.2">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2">
      <c r="A9" s="1730"/>
      <c r="B9" s="1730"/>
      <c r="C9" s="1730"/>
      <c r="D9" s="1730"/>
      <c r="E9" s="1730"/>
      <c r="F9" s="1730"/>
      <c r="G9" s="1183"/>
      <c r="H9" s="1738" t="s">
        <v>1536</v>
      </c>
      <c r="I9" s="1739" t="s">
        <v>3179</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2">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2">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2">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3.2">
      <c r="A13" s="1163"/>
      <c r="B13" s="1163"/>
      <c r="C13" s="1163"/>
      <c r="D13" s="1761" t="s">
        <v>3180</v>
      </c>
      <c r="E13" s="16">
        <f>IF($C$3="是",ROUND($A$3*G13/$B$3,2),ROUND($A$3*(G13-AT13)/$B$3,2))</f>
        <v>41059.64</v>
      </c>
      <c r="F13" s="32"/>
      <c r="G13" s="33">
        <f>H13+AC13+AT13</f>
        <v>11798.5</v>
      </c>
      <c r="H13" s="20">
        <f>SUMIF(I$12:AB$12,"总值",I13:AB13)</f>
        <v>11798.5</v>
      </c>
      <c r="I13" s="1762">
        <v>11798.5</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41059.64</v>
      </c>
      <c r="AZ13" s="16">
        <f>BA13+BL13</f>
        <v>11798.5</v>
      </c>
      <c r="BA13" s="16">
        <f>SUM(BB13:BK13)</f>
        <v>11798.5</v>
      </c>
      <c r="BB13" s="16">
        <f>IF($D13="是",I13-J13,0)</f>
        <v>11798.5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3.2">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3.2">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3.2">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3.2">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05" t="s">
        <v>0</v>
      </c>
      <c r="B1" s="3305" t="s">
        <v>4</v>
      </c>
      <c r="C1" s="3305" t="s">
        <v>5</v>
      </c>
      <c r="D1" s="3306" t="s">
        <v>53</v>
      </c>
      <c r="E1" s="3306" t="s">
        <v>54</v>
      </c>
      <c r="F1" s="3306"/>
      <c r="G1" s="3306"/>
      <c r="H1" s="3306"/>
      <c r="I1" s="3306"/>
      <c r="J1" s="3306"/>
      <c r="K1" s="3306"/>
      <c r="L1" s="3306"/>
      <c r="M1" s="3306"/>
    </row>
    <row r="2" spans="1:13" ht="27" customHeight="1">
      <c r="A2" s="3305"/>
      <c r="B2" s="3305"/>
      <c r="C2" s="3305"/>
      <c r="D2" s="3306"/>
      <c r="E2" s="3306" t="s">
        <v>37</v>
      </c>
      <c r="F2" s="3306" t="s">
        <v>38</v>
      </c>
      <c r="G2" s="3306"/>
      <c r="H2" s="3306"/>
      <c r="I2" s="3306"/>
      <c r="J2" s="3306" t="s">
        <v>39</v>
      </c>
      <c r="K2" s="3306"/>
      <c r="L2" s="3306"/>
      <c r="M2" s="3306"/>
    </row>
    <row r="3" spans="1:13" ht="46.8">
      <c r="A3" s="3305"/>
      <c r="B3" s="3305"/>
      <c r="C3" s="3305"/>
      <c r="D3" s="3306"/>
      <c r="E3" s="330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6" t="s">
        <v>55</v>
      </c>
      <c r="B9" s="3306"/>
      <c r="C9" s="3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774" customWidth="1"/>
    <col min="2" max="2" width="10.21875" style="1774" customWidth="1"/>
    <col min="3" max="3" width="18.44140625" style="1774" customWidth="1"/>
    <col min="4" max="4" width="11.6640625" style="1774" customWidth="1"/>
    <col min="5" max="5" width="13.33203125" style="1774" customWidth="1"/>
    <col min="6" max="8" width="11.44140625" style="1774" customWidth="1"/>
    <col min="9" max="9" width="11.109375" style="1774" customWidth="1"/>
    <col min="10" max="10" width="3.109375" style="2826" customWidth="1"/>
    <col min="11" max="16" width="10" style="1774" customWidth="1"/>
    <col min="17" max="17" width="2.6640625" style="1774" customWidth="1"/>
    <col min="18" max="18" width="9.33203125" style="1774" bestFit="1" customWidth="1"/>
    <col min="19" max="19" width="10.44140625" style="1774" bestFit="1" customWidth="1"/>
    <col min="20" max="16384" width="9.21875" style="1774"/>
  </cols>
  <sheetData>
    <row r="1" spans="1:16" ht="18" thickBot="1">
      <c r="A1" s="1773" t="s">
        <v>1575</v>
      </c>
      <c r="B1" s="1254"/>
      <c r="C1" s="1254"/>
      <c r="D1" s="1254"/>
      <c r="E1" s="1254"/>
      <c r="F1" s="1254"/>
      <c r="G1" s="1254"/>
      <c r="H1" s="1254"/>
      <c r="I1" s="1254"/>
      <c r="J1" s="1254"/>
      <c r="K1" s="1254"/>
      <c r="L1" s="1254"/>
      <c r="M1" s="1254"/>
      <c r="N1" s="1254"/>
      <c r="O1" s="1254"/>
      <c r="P1" s="1254"/>
    </row>
    <row r="2" spans="1:16" ht="14.4">
      <c r="A2" s="3316" t="s">
        <v>1576</v>
      </c>
      <c r="B2" s="3316"/>
      <c r="C2" s="3316"/>
      <c r="D2" s="885" t="s">
        <v>1552</v>
      </c>
      <c r="E2" s="1775" t="s">
        <v>1553</v>
      </c>
      <c r="F2" s="2836"/>
      <c r="G2" s="2827"/>
      <c r="H2" s="2828"/>
      <c r="I2" s="2499" t="s">
        <v>1577</v>
      </c>
      <c r="J2" s="2836"/>
      <c r="K2" s="2836"/>
      <c r="L2" s="2836"/>
      <c r="M2" s="2836"/>
      <c r="N2" s="2838"/>
      <c r="O2" s="2836"/>
      <c r="P2" s="2836"/>
    </row>
    <row r="3" spans="1:16" ht="15" thickBot="1">
      <c r="A3" s="3317" t="s">
        <v>1550</v>
      </c>
      <c r="B3" s="3317"/>
      <c r="C3" s="3317"/>
      <c r="D3" s="46">
        <f>'数据-基础表'!AY6</f>
        <v>41059.64</v>
      </c>
      <c r="E3" s="46">
        <f>'数据-基础表'!AZ5</f>
        <v>11798.5</v>
      </c>
      <c r="F3" s="2836"/>
      <c r="G3" s="1260"/>
      <c r="H3" s="1138" t="s">
        <v>1551</v>
      </c>
      <c r="I3" s="945">
        <f>ROUND('数据-基础表'!B3/'数据-基础表'!A3,2)</f>
        <v>0.28999999999999998</v>
      </c>
      <c r="J3" s="2836"/>
      <c r="K3" s="2836"/>
      <c r="L3" s="2836"/>
      <c r="M3" s="2836"/>
      <c r="N3" s="2838"/>
      <c r="O3" s="2836"/>
      <c r="P3" s="2836"/>
    </row>
    <row r="4" spans="1:16" ht="14.4">
      <c r="A4" s="3318"/>
      <c r="B4" s="3319"/>
      <c r="C4" s="3320"/>
      <c r="D4" s="1777" t="s">
        <v>1552</v>
      </c>
      <c r="E4" s="1778" t="s">
        <v>1553</v>
      </c>
      <c r="F4" s="2836"/>
      <c r="G4" s="2829" t="s">
        <v>1578</v>
      </c>
      <c r="H4" s="1138" t="s">
        <v>1558</v>
      </c>
      <c r="I4" s="945">
        <f>ROUND(SUMIF('数据-基础表'!I9:AS9,"地上",'数据-基础表'!I5:AS5)/'数据-基础表'!A3,2)</f>
        <v>0.28999999999999998</v>
      </c>
      <c r="J4" s="2836"/>
      <c r="K4" s="2836"/>
      <c r="L4" s="2836"/>
      <c r="M4" s="2836"/>
      <c r="N4" s="2838"/>
      <c r="O4" s="2836"/>
      <c r="P4" s="2836"/>
    </row>
    <row r="5" spans="1:16" ht="14.4">
      <c r="A5" s="47" t="s">
        <v>1554</v>
      </c>
      <c r="B5" s="3321" t="s">
        <v>1555</v>
      </c>
      <c r="C5" s="3321"/>
      <c r="D5" s="48">
        <f>ROUND($D$3*E5/$E$3,2)</f>
        <v>0</v>
      </c>
      <c r="E5" s="49">
        <f>SUMIF('数据-基础表'!$11:$11,"住宅",'数据-基础表'!$5:$5)</f>
        <v>0</v>
      </c>
      <c r="F5" s="2836"/>
      <c r="G5" s="1260"/>
      <c r="H5" s="1138" t="s">
        <v>1551</v>
      </c>
      <c r="I5" s="945">
        <f>ROUND(E31/D31,2)</f>
        <v>0.28999999999999998</v>
      </c>
      <c r="J5" s="2836"/>
      <c r="K5" s="2836"/>
      <c r="L5" s="2836"/>
      <c r="M5" s="2836"/>
      <c r="N5" s="2836"/>
      <c r="O5" s="2836"/>
      <c r="P5" s="2836"/>
    </row>
    <row r="6" spans="1:16" ht="15" thickBot="1">
      <c r="A6" s="1780"/>
      <c r="B6" s="3321" t="s">
        <v>1556</v>
      </c>
      <c r="C6" s="3321"/>
      <c r="D6" s="48">
        <f>ROUND($D$3*E6/$E$3,2)</f>
        <v>41059.64</v>
      </c>
      <c r="E6" s="49">
        <f>E3-E5</f>
        <v>11798.5</v>
      </c>
      <c r="F6" s="2836"/>
      <c r="G6" s="2830" t="s">
        <v>1557</v>
      </c>
      <c r="H6" s="1261" t="s">
        <v>1558</v>
      </c>
      <c r="I6" s="2831">
        <f>ROUND(F31/D31,2)</f>
        <v>0.28999999999999998</v>
      </c>
      <c r="J6" s="2836"/>
      <c r="K6" s="2836"/>
      <c r="L6" s="2836"/>
      <c r="M6" s="2836"/>
      <c r="N6" s="2836"/>
      <c r="O6" s="2836"/>
      <c r="P6" s="2836"/>
    </row>
    <row r="7" spans="1:16" ht="15" thickBot="1">
      <c r="A7" s="3313"/>
      <c r="B7" s="3314"/>
      <c r="C7" s="3315"/>
      <c r="D7" s="1777" t="s">
        <v>1552</v>
      </c>
      <c r="E7" s="1781" t="s">
        <v>1559</v>
      </c>
      <c r="F7" s="2836"/>
      <c r="G7" s="2832" t="s">
        <v>1560</v>
      </c>
      <c r="H7" s="2833"/>
      <c r="I7" s="2834"/>
      <c r="J7" s="2836"/>
      <c r="K7" s="2836"/>
      <c r="L7" s="2836"/>
      <c r="M7" s="2836"/>
      <c r="N7" s="2836"/>
      <c r="O7" s="2836"/>
      <c r="P7" s="2836"/>
    </row>
    <row r="8" spans="1:16" ht="14.4">
      <c r="A8" s="47" t="s">
        <v>1561</v>
      </c>
      <c r="B8" s="50" t="s">
        <v>1562</v>
      </c>
      <c r="C8" s="48" t="s">
        <v>1563</v>
      </c>
      <c r="D8" s="48">
        <f t="shared" ref="D8:D15" si="0">ROUND($D$3*E8/$E$3,2)</f>
        <v>41059.64</v>
      </c>
      <c r="E8" s="51">
        <f>SUMIF('数据-基础表'!BB10:BK10,"地上",'数据-基础表'!BB5:BK5)</f>
        <v>11798.5</v>
      </c>
      <c r="F8" s="2836"/>
      <c r="G8" s="2837"/>
      <c r="H8" s="2837"/>
      <c r="I8" s="2836"/>
      <c r="J8" s="2836"/>
      <c r="K8" s="2836"/>
      <c r="L8" s="2836"/>
      <c r="M8" s="2836"/>
      <c r="N8" s="2836"/>
      <c r="O8" s="2836"/>
      <c r="P8" s="2836"/>
    </row>
    <row r="9" spans="1:16" ht="14.4">
      <c r="A9" s="1782"/>
      <c r="B9" s="1783"/>
      <c r="C9" s="48" t="s">
        <v>1564</v>
      </c>
      <c r="D9" s="48">
        <f t="shared" si="0"/>
        <v>0</v>
      </c>
      <c r="E9" s="52">
        <v>0</v>
      </c>
      <c r="F9" s="2836"/>
      <c r="G9" s="2837"/>
      <c r="H9" s="2837"/>
      <c r="I9" s="2836"/>
      <c r="J9" s="2836"/>
      <c r="K9" s="2836"/>
      <c r="L9" s="2836"/>
      <c r="M9" s="2836"/>
      <c r="N9" s="2836"/>
      <c r="O9" s="2836"/>
      <c r="P9" s="2836"/>
    </row>
    <row r="10" spans="1:16" ht="14.4">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ht="14.4">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ht="14.4">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ht="14.4">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ht="14.4">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 thickBot="1">
      <c r="A16" s="1780"/>
      <c r="B16" s="1783"/>
      <c r="C16" s="50" t="s">
        <v>1568</v>
      </c>
      <c r="D16" s="50">
        <f>SUM(D8:D15)</f>
        <v>41059.64</v>
      </c>
      <c r="E16" s="53">
        <f>SUM(E8:E15)</f>
        <v>11798.5</v>
      </c>
      <c r="F16" s="2836"/>
      <c r="G16" s="2837"/>
      <c r="H16" s="1784" t="s">
        <v>1580</v>
      </c>
      <c r="I16" s="1785"/>
      <c r="J16" s="1254"/>
      <c r="K16" s="3310" t="s">
        <v>1580</v>
      </c>
      <c r="L16" s="3311"/>
      <c r="M16" s="3311"/>
      <c r="N16" s="3311"/>
      <c r="O16" s="3311"/>
      <c r="P16" s="3312"/>
    </row>
    <row r="17" spans="1:19" ht="14.4">
      <c r="A17" s="1786" t="s">
        <v>1581</v>
      </c>
      <c r="B17" s="1787" t="s">
        <v>1582</v>
      </c>
      <c r="C17" s="1788" t="s">
        <v>1583</v>
      </c>
      <c r="D17" s="1789" t="s">
        <v>1571</v>
      </c>
      <c r="E17" s="1790" t="s">
        <v>1572</v>
      </c>
      <c r="F17" s="1791"/>
      <c r="G17" s="1792"/>
      <c r="H17" s="1793" t="s">
        <v>1584</v>
      </c>
      <c r="I17" s="1794" t="s">
        <v>1569</v>
      </c>
      <c r="J17" s="1254"/>
      <c r="K17" s="3307" t="s">
        <v>1585</v>
      </c>
      <c r="L17" s="3308"/>
      <c r="M17" s="3309"/>
      <c r="N17" s="3307" t="s">
        <v>1586</v>
      </c>
      <c r="O17" s="3308"/>
      <c r="P17" s="3309"/>
      <c r="R17" s="1776" t="s">
        <v>1587</v>
      </c>
      <c r="S17" s="60"/>
    </row>
    <row r="18" spans="1:19" ht="14.4">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ht="14.4">
      <c r="A19" s="1803"/>
      <c r="B19" s="50" t="s">
        <v>1570</v>
      </c>
      <c r="C19" s="3231" t="s">
        <v>3181</v>
      </c>
      <c r="D19" s="48">
        <f>ROUND($D$3*E19/$E$3,2)</f>
        <v>41059.64</v>
      </c>
      <c r="E19" s="56">
        <f t="shared" ref="E19:E26" si="1">SUM(F19:G19)</f>
        <v>11798.5</v>
      </c>
      <c r="F19" s="2976">
        <f>'数据-基础表'!I5</f>
        <v>11798.5</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41059.64</v>
      </c>
      <c r="S19" s="1139">
        <f t="shared" si="5"/>
        <v>11798.5</v>
      </c>
    </row>
    <row r="20" spans="1:19" ht="14.4">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ht="14.4">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ht="14.4">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ht="14.4">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ht="14.4">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ht="14.4">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ht="14.4">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 thickBot="1">
      <c r="A27" s="1807"/>
      <c r="B27" s="48"/>
      <c r="C27" s="1810" t="s">
        <v>1599</v>
      </c>
      <c r="D27" s="1255">
        <f>SUM(D19:D26)</f>
        <v>41059.64</v>
      </c>
      <c r="E27" s="1256">
        <f>IF(SUM(E19:E26)='数据-基础表'!BA5,SUM(E19:E26),IF(F27="地上面积有误","面积有误","地下面积有误"))</f>
        <v>11798.5</v>
      </c>
      <c r="F27" s="1255">
        <f>IF(SUM(F19:F26)=E8,SUM(F19:F26),"地上面积有误")</f>
        <v>11798.5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41059.64</v>
      </c>
      <c r="S27" s="1138">
        <f>IF(SUM(S19:S26)=$E$3,SUM(S19:S26),SUM(S19:S26)&amp;"误差"&amp;ROUND(SUM(S19:S26)-E3,2))</f>
        <v>11798.5</v>
      </c>
    </row>
    <row r="28" spans="1:19" ht="14.4">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ht="14.4">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4.4">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 thickBot="1">
      <c r="A31" s="1813"/>
      <c r="B31" s="1814"/>
      <c r="C31" s="925" t="s">
        <v>1603</v>
      </c>
      <c r="D31" s="685">
        <f>D27+D30</f>
        <v>41059.64</v>
      </c>
      <c r="E31" s="685">
        <f>E27+E30</f>
        <v>11798.5</v>
      </c>
      <c r="F31" s="686">
        <f>F27+F30</f>
        <v>11798.5</v>
      </c>
      <c r="G31" s="687">
        <f>G27+G30</f>
        <v>0</v>
      </c>
      <c r="H31" s="2836"/>
      <c r="I31" s="2836"/>
      <c r="J31" s="2836"/>
      <c r="K31" s="2836"/>
      <c r="L31" s="2836"/>
      <c r="M31" s="2836"/>
      <c r="N31" s="2836"/>
      <c r="O31" s="2836"/>
      <c r="P31" s="2836"/>
    </row>
    <row r="32" spans="1:19" ht="14.4">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V6" sqref="V6"/>
    </sheetView>
  </sheetViews>
  <sheetFormatPr defaultColWidth="13.77734375" defaultRowHeight="13.2"/>
  <cols>
    <col min="1" max="1" width="20.88671875" style="1882" customWidth="1"/>
    <col min="2" max="2" width="12" style="1819" customWidth="1"/>
    <col min="3" max="3" width="12.77734375" style="1819" customWidth="1"/>
    <col min="4" max="4" width="9.109375" style="1883" customWidth="1"/>
    <col min="5" max="5" width="15" style="1819" bestFit="1" customWidth="1"/>
    <col min="6" max="10" width="8.88671875" style="1819" customWidth="1"/>
    <col min="11" max="12" width="12.33203125" style="1737" customWidth="1"/>
    <col min="13" max="13" width="8.6640625" style="1819" customWidth="1"/>
    <col min="14" max="14" width="11.88671875" style="1819" customWidth="1"/>
    <col min="15" max="15" width="8.44140625" style="1819" customWidth="1"/>
    <col min="16" max="17" width="10.88671875" style="1819" customWidth="1"/>
    <col min="18" max="19" width="12.44140625" style="1819" customWidth="1"/>
    <col min="20" max="20" width="12.109375" style="1819" customWidth="1"/>
    <col min="21" max="21" width="7.44140625" style="1819" customWidth="1"/>
    <col min="22" max="22" width="6.33203125" style="1819" customWidth="1"/>
    <col min="23" max="30" width="6.77734375" style="1819" customWidth="1"/>
    <col min="31" max="31" width="8" style="1819" customWidth="1"/>
    <col min="32" max="34" width="7.21875" style="1819" customWidth="1"/>
    <col min="35" max="39" width="8" style="1819" customWidth="1"/>
    <col min="40" max="40" width="13.77734375" style="1818"/>
    <col min="41" max="41" width="11.6640625" style="1818" customWidth="1"/>
    <col min="42" max="42" width="9.77734375" style="1818" customWidth="1"/>
    <col min="43" max="67" width="13.77734375" style="1818"/>
    <col min="68" max="16384" width="13.7773437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44889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4"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57.6">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3.8">
      <c r="A6" s="1849" t="str">
        <f>'数据-汇总表'!C19</f>
        <v>工业</v>
      </c>
      <c r="B6" s="1850" t="str">
        <f>IF(A6=0,"","经营性")</f>
        <v>经营性</v>
      </c>
      <c r="C6" s="1851" t="s">
        <v>6</v>
      </c>
      <c r="D6" s="948">
        <f>SUMIF(项目基本情况!D$12:I$12,C6,项目基本情况!D$14:I$14)</f>
        <v>50</v>
      </c>
      <c r="E6" s="947">
        <f>IF(B6="","",SUMIF(项目基本情况!D$12:I$12,C6,项目基本情况!D$13:I$13))</f>
        <v>53503</v>
      </c>
      <c r="F6" s="68">
        <f>SUMIF(项目基本情况!D$12:I$12,C6,项目基本情况!D$15:I$15)</f>
        <v>23.6</v>
      </c>
      <c r="G6" s="69">
        <f>IF(ISERROR(ROUND(POWER(1+H6,D6-F6)*(POWER(1+H6,F6)-1)/(POWER(1+H6,D6)-1),3)),0,ROUND(POWER(1+H6,D6-F6)*(POWER(1+H6,F6)-1)/(POWER(1+H6,D6)-1),3))</f>
        <v>0.72699999999999998</v>
      </c>
      <c r="H6" s="741">
        <v>4.4999999999999998E-2</v>
      </c>
      <c r="I6" s="741">
        <v>0.05</v>
      </c>
      <c r="J6" s="70">
        <v>7.4999999999999997E-2</v>
      </c>
      <c r="K6" s="1142">
        <f>SUMIF('数据-汇总表'!C$19:C$33,A6,'数据-汇总表'!E$19:E$33)</f>
        <v>11798.5</v>
      </c>
      <c r="L6" s="742">
        <v>1500</v>
      </c>
      <c r="M6" s="71">
        <f t="shared" ref="M6:M14" si="0">ROUND(K6*L6/10000,0)</f>
        <v>1770</v>
      </c>
      <c r="N6" s="740">
        <v>0.6</v>
      </c>
      <c r="O6" s="71" t="str">
        <f>IF($N$5="成新度","——",ROUND(M6*N6,0))</f>
        <v>——</v>
      </c>
      <c r="P6" s="72" t="str">
        <f>IF($N$5="成新度","——",M6-O6)</f>
        <v>——</v>
      </c>
      <c r="Q6" s="743">
        <v>0.1</v>
      </c>
      <c r="R6" s="73">
        <f ca="1">SUMIF('数据-汇总表'!C$19:C$33,A6,'数据-汇总表'!R$19:R$27)</f>
        <v>41059.64</v>
      </c>
      <c r="S6" s="54">
        <f>IF('数据-汇总表'!$I$17="按面积比例",SUMIF('数据-汇总表'!C$19:C$33,A6,'数据-汇总表'!K$19:K$33),SUMIF('数据-汇总表'!C$19:C$33,A6,'数据-汇总表'!N$19:N$33))</f>
        <v>0</v>
      </c>
      <c r="T6" s="1287">
        <f>ROUND($L$14*S6/10000,0)</f>
        <v>0</v>
      </c>
      <c r="U6" s="3579">
        <v>0.5</v>
      </c>
      <c r="V6" s="3580">
        <v>0</v>
      </c>
      <c r="W6" s="75">
        <v>0.1</v>
      </c>
      <c r="X6" s="1152"/>
      <c r="Y6" s="76">
        <f>N6</f>
        <v>0.6</v>
      </c>
      <c r="Z6" s="77"/>
      <c r="AA6" s="70"/>
      <c r="AB6" s="70"/>
      <c r="AC6" s="1152"/>
      <c r="AD6" s="78"/>
      <c r="AE6" s="1153">
        <f ca="1">IF(AN6="",0,SUMIF(INDIRECT("'"&amp;AN6&amp;"'"&amp;"!E:E"),$AE$5,INDIRECT("'"&amp;AN6&amp;"'"&amp;"!F:F")))</f>
        <v>23.6</v>
      </c>
      <c r="AF6" s="1483"/>
      <c r="AG6" s="143">
        <f>IF(AF6="",0,AE6-AF6)</f>
        <v>0</v>
      </c>
      <c r="AH6" s="79"/>
      <c r="AI6" s="81">
        <v>365</v>
      </c>
      <c r="AJ6" s="82"/>
      <c r="AK6" s="83">
        <v>0.01</v>
      </c>
      <c r="AL6" s="84">
        <v>1.5E-3</v>
      </c>
      <c r="AM6" s="85">
        <v>0.01</v>
      </c>
      <c r="AN6" s="1852" t="s">
        <v>3184</v>
      </c>
      <c r="AO6" s="55">
        <f ca="1">SUMIF(INDIRECT("'"&amp;AN6&amp;"'"&amp;"!A:A"),"总价",INDIRECT("'"&amp;AN6&amp;"'"&amp;"!B:B"))</f>
        <v>1723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3.8">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3.8">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3.8">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3.8">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3.8">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3.8">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3.8">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 thickBot="1">
      <c r="A16" s="1856" t="s">
        <v>1654</v>
      </c>
      <c r="B16" s="93"/>
      <c r="C16" s="923"/>
      <c r="D16" s="1857"/>
      <c r="E16" s="93"/>
      <c r="F16" s="93"/>
      <c r="G16" s="94">
        <f>ROUND(SUMPRODUCT(G6:G13,K6:K13)/SUMPRODUCT((G6:G13&gt;0)*(K6:K13)),3)</f>
        <v>0.72699999999999998</v>
      </c>
      <c r="H16" s="95">
        <f>ROUND(SUMPRODUCT(H6:H13,K6:K13)/SUMPRODUCT((H6:H13&gt;0)*(K6:K13)),3)</f>
        <v>4.4999999999999998E-2</v>
      </c>
      <c r="I16" s="96"/>
      <c r="J16" s="96"/>
      <c r="K16" s="97">
        <f>SUM(K6:K15)</f>
        <v>11798.5</v>
      </c>
      <c r="L16" s="98">
        <f>ROUND(M16*10000/SUM(K6:K14),0)</f>
        <v>1500</v>
      </c>
      <c r="M16" s="98">
        <f>SUM(M6:M14)</f>
        <v>1770</v>
      </c>
      <c r="N16" s="99">
        <f>ROUND(SUMPRODUCT(M6:M14,N6:N14)/M16,3)</f>
        <v>0.6</v>
      </c>
      <c r="O16" s="98">
        <f>SUM(O6:O14)</f>
        <v>0</v>
      </c>
      <c r="P16" s="98">
        <f>SUM(P6:P14)</f>
        <v>0</v>
      </c>
      <c r="Q16" s="100">
        <f>ROUND(SUMPRODUCT(Q6:Q13,K6:K13)/SUMPRODUCT((Q6:Q13&gt;0)*(K6:K13)),2)</f>
        <v>0.1</v>
      </c>
      <c r="R16" s="1146">
        <f ca="1">SUM(R6:R13)</f>
        <v>41059.64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8"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4">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f>1100000/365/'数据-汇总表'!E3</f>
        <v>0.25543065899368445</v>
      </c>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4">
      <c r="A20" s="1860" t="s">
        <v>1657</v>
      </c>
      <c r="B20" s="109">
        <v>1</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4">
      <c r="A21" s="1861" t="s">
        <v>1658</v>
      </c>
      <c r="B21" s="109">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4">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4">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4"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8">
      <c r="A27" s="1864" t="s">
        <v>1665</v>
      </c>
      <c r="B27" s="112">
        <v>100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8">
      <c r="A28" s="1866" t="s">
        <v>1666</v>
      </c>
      <c r="B28" s="115">
        <v>150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4" thickBot="1">
      <c r="A29" s="1867" t="s">
        <v>1667</v>
      </c>
      <c r="B29" s="117">
        <f ca="1">成本法!C10</f>
        <v>177</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8">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8">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9.4"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4">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4">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4">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4">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4">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4">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2" thickBot="1">
      <c r="A40" s="2996" t="s">
        <v>3182</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4">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4">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4">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4">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4">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4">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v>0</v>
      </c>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4">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4">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4">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8">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4">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4">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4">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4">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4">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4">
      <c r="A59" s="1876" t="s">
        <v>1697</v>
      </c>
      <c r="B59" s="80">
        <f>C59</f>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4">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4">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4">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23" customWidth="1"/>
    <col min="2" max="2" width="24.44140625" style="1708" customWidth="1"/>
    <col min="3" max="3" width="24.44140625" style="2686" customWidth="1"/>
    <col min="4" max="4" width="2.6640625" style="2686" customWidth="1"/>
    <col min="5" max="5" width="5.88671875" style="2686" customWidth="1"/>
    <col min="6" max="6" width="27" style="1708" customWidth="1"/>
    <col min="7" max="7" width="27" style="2687" customWidth="1"/>
    <col min="8" max="8" width="11.88671875" style="2667" customWidth="1"/>
    <col min="9" max="9" width="16.77734375" style="2668" customWidth="1"/>
    <col min="10" max="10" width="2.6640625" style="2667" customWidth="1"/>
    <col min="11" max="11" width="11.88671875" style="2667" customWidth="1"/>
    <col min="12" max="12" width="16.77734375" style="2668" customWidth="1"/>
    <col min="13" max="13" width="2.6640625" style="2667" customWidth="1"/>
    <col min="14" max="14" width="11.88671875" style="2667" customWidth="1"/>
    <col min="15" max="15" width="16.77734375" style="2668" customWidth="1"/>
    <col min="16" max="16" width="2.6640625" style="2667" customWidth="1"/>
    <col min="17" max="17" width="11.88671875" style="2667" customWidth="1"/>
    <col min="18" max="18" width="16.77734375" style="2669" customWidth="1"/>
    <col min="19" max="29" width="9" style="888"/>
    <col min="30" max="16384" width="9" style="1823"/>
  </cols>
  <sheetData>
    <row r="1" spans="1:29" s="2633" customFormat="1" ht="18" thickBot="1">
      <c r="A1" s="3322" t="s">
        <v>2787</v>
      </c>
      <c r="B1" s="3323"/>
      <c r="C1" s="3323"/>
      <c r="D1" s="3323"/>
      <c r="E1" s="3323"/>
      <c r="F1" s="3323"/>
      <c r="G1" s="3323"/>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4"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7.200000000000003">
      <c r="A4" s="2618"/>
      <c r="B4" s="329" t="s">
        <v>2755</v>
      </c>
      <c r="C4" s="2644" t="s">
        <v>2756</v>
      </c>
      <c r="D4" s="2641"/>
      <c r="E4" s="2645"/>
      <c r="F4" s="1508" t="s">
        <v>2757</v>
      </c>
      <c r="G4" s="2646" t="s">
        <v>2758</v>
      </c>
      <c r="H4" s="888"/>
      <c r="I4" s="888"/>
      <c r="J4" s="888"/>
      <c r="K4" s="888"/>
      <c r="L4" s="888"/>
      <c r="M4" s="888"/>
      <c r="N4" s="888"/>
      <c r="O4" s="888"/>
      <c r="P4" s="888"/>
      <c r="Q4" s="888"/>
      <c r="R4" s="888"/>
    </row>
    <row r="5" spans="1:29" ht="37.200000000000003">
      <c r="A5" s="2618"/>
      <c r="B5" s="329" t="s">
        <v>2759</v>
      </c>
      <c r="C5" s="2644" t="s">
        <v>2760</v>
      </c>
      <c r="D5" s="2641"/>
      <c r="E5" s="2645"/>
      <c r="F5" s="329" t="s">
        <v>2761</v>
      </c>
      <c r="G5" s="2646" t="s">
        <v>2762</v>
      </c>
      <c r="H5" s="888"/>
      <c r="I5" s="888"/>
      <c r="J5" s="888"/>
      <c r="K5" s="888"/>
      <c r="L5" s="888"/>
      <c r="M5" s="888"/>
      <c r="N5" s="888"/>
      <c r="O5" s="888"/>
      <c r="P5" s="888"/>
      <c r="Q5" s="888"/>
      <c r="R5" s="888"/>
    </row>
    <row r="6" spans="1:29" ht="48">
      <c r="A6" s="2618"/>
      <c r="B6" s="329" t="s">
        <v>2763</v>
      </c>
      <c r="C6" s="2646" t="s">
        <v>2758</v>
      </c>
      <c r="D6" s="2641"/>
      <c r="E6" s="2645"/>
      <c r="F6" s="329" t="s">
        <v>2764</v>
      </c>
      <c r="G6" s="2646" t="s">
        <v>2765</v>
      </c>
      <c r="H6" s="888"/>
      <c r="I6" s="888"/>
      <c r="J6" s="888"/>
      <c r="K6" s="888"/>
      <c r="L6" s="888"/>
      <c r="M6" s="888"/>
      <c r="N6" s="888"/>
      <c r="O6" s="888"/>
      <c r="P6" s="888"/>
      <c r="Q6" s="888"/>
      <c r="R6" s="888"/>
    </row>
    <row r="7" spans="1:29" ht="36.6"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ht="24">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4.4"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7.399999999999999">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 thickBot="1">
      <c r="A13" s="2666" t="s">
        <v>2788</v>
      </c>
      <c r="B13" s="2660"/>
      <c r="C13" s="2660"/>
      <c r="D13" s="2658"/>
      <c r="E13" s="2660"/>
      <c r="F13" s="2660"/>
      <c r="G13" s="2660"/>
    </row>
    <row r="14" spans="1:29" ht="14.4" thickBot="1">
      <c r="A14" s="2670"/>
      <c r="B14" s="2670"/>
      <c r="C14" s="2671" t="s">
        <v>2771</v>
      </c>
      <c r="D14" s="2641"/>
      <c r="E14" s="2672"/>
      <c r="F14" s="2672"/>
      <c r="G14" s="2636" t="s">
        <v>2772</v>
      </c>
    </row>
    <row r="15" spans="1:29" ht="52.8">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9.6">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9.6">
      <c r="A17" s="2622"/>
      <c r="B17" s="2676" t="s">
        <v>2759</v>
      </c>
      <c r="C17" s="2677" t="str">
        <f>C5</f>
        <v>估价对象位于XX商圈，周边办公楼项目较多，入驻率高，办公集聚程度较好</v>
      </c>
      <c r="D17" s="2647"/>
      <c r="E17" s="2623"/>
      <c r="F17" s="2678" t="s">
        <v>2776</v>
      </c>
      <c r="G17" s="2680"/>
    </row>
    <row r="18" spans="1:18" ht="52.8">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6.4">
      <c r="A19" s="2622"/>
      <c r="B19" s="2678" t="s">
        <v>2777</v>
      </c>
      <c r="C19" s="2680"/>
      <c r="D19" s="2641"/>
      <c r="E19" s="2623"/>
      <c r="F19" s="329" t="s">
        <v>2761</v>
      </c>
      <c r="G19" s="2679" t="str">
        <f>G5</f>
        <v>估价对象所在区域公共配套设施齐备情况</v>
      </c>
    </row>
    <row r="20" spans="1:18" ht="26.4">
      <c r="A20" s="2622"/>
      <c r="B20" s="2678" t="s">
        <v>2778</v>
      </c>
      <c r="C20" s="2677" t="str">
        <f>C9</f>
        <v>区域自然环境：；人文环境；综合评价环境状况一般</v>
      </c>
      <c r="D20" s="2647"/>
      <c r="E20" s="2623"/>
      <c r="F20" s="329" t="s">
        <v>2764</v>
      </c>
      <c r="G20" s="2679" t="str">
        <f>G6</f>
        <v>估价对象所在区域基础设施水平</v>
      </c>
    </row>
    <row r="21" spans="1:18" ht="26.4">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4.4"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4.4"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689" customWidth="1"/>
    <col min="2" max="9" width="15.77734375" style="2689" customWidth="1"/>
    <col min="10" max="16384" width="9" style="2689"/>
  </cols>
  <sheetData>
    <row r="1" spans="1:11" ht="16.2">
      <c r="A1" s="2688" t="s">
        <v>1090</v>
      </c>
      <c r="B1" s="2688">
        <f>SUM(B14:B23)</f>
        <v>11798.5</v>
      </c>
      <c r="C1" s="2865"/>
      <c r="D1" s="2865"/>
      <c r="E1" s="2865"/>
      <c r="F1" s="2865"/>
      <c r="G1" s="2866"/>
      <c r="H1" s="2867"/>
      <c r="I1" s="2867"/>
      <c r="J1" s="2867"/>
      <c r="K1" s="2867"/>
    </row>
    <row r="2" spans="1:11" ht="16.2">
      <c r="A2" s="2688" t="s">
        <v>1078</v>
      </c>
      <c r="B2" s="2688">
        <f>SUM(C14:C23)</f>
        <v>41059.64</v>
      </c>
      <c r="C2" s="2865"/>
      <c r="D2" s="2865"/>
      <c r="E2" s="2865"/>
      <c r="F2" s="2865"/>
      <c r="G2" s="2866"/>
      <c r="H2" s="2867"/>
      <c r="I2" s="2867"/>
      <c r="J2" s="2867"/>
      <c r="K2" s="2867"/>
    </row>
    <row r="3" spans="1:11" ht="15.6">
      <c r="A3" s="2688" t="s">
        <v>1087</v>
      </c>
      <c r="B3" s="2690">
        <f>项目基本情况!D3</f>
        <v>44889</v>
      </c>
      <c r="C3" s="2865"/>
      <c r="D3" s="2865"/>
      <c r="E3" s="2865"/>
      <c r="F3" s="2865"/>
      <c r="G3" s="2866"/>
      <c r="H3" s="2867"/>
      <c r="I3" s="2867"/>
      <c r="J3" s="2867"/>
      <c r="K3" s="2867"/>
    </row>
    <row r="4" spans="1:11" ht="31.2">
      <c r="A4" s="2688" t="s">
        <v>1086</v>
      </c>
      <c r="B4" s="2688" t="s">
        <v>1085</v>
      </c>
      <c r="C4" s="2688" t="s">
        <v>1084</v>
      </c>
      <c r="D4" s="2688" t="s">
        <v>1083</v>
      </c>
      <c r="E4" s="2865"/>
      <c r="F4" s="2866"/>
      <c r="G4" s="2866"/>
      <c r="H4" s="2867"/>
      <c r="I4" s="2867"/>
      <c r="J4" s="2867"/>
      <c r="K4" s="2867"/>
    </row>
    <row r="5" spans="1:11" ht="15.6">
      <c r="A5" s="2688" t="s">
        <v>1082</v>
      </c>
      <c r="B5" s="2688">
        <f ca="1">SUM(D14:D23)</f>
        <v>3219</v>
      </c>
      <c r="C5" s="2688">
        <f ca="1">ROUND(B5*10000/$B$1,0)</f>
        <v>2728</v>
      </c>
      <c r="D5" s="2688">
        <f ca="1">ROUND(B5*10000/$B$2,0)</f>
        <v>784</v>
      </c>
      <c r="E5" s="2865"/>
      <c r="F5" s="2866"/>
      <c r="G5" s="2866"/>
      <c r="H5" s="2867"/>
      <c r="I5" s="2867"/>
      <c r="J5" s="2867"/>
      <c r="K5" s="2867"/>
    </row>
    <row r="6" spans="1:11" ht="15.6">
      <c r="A6" s="2688" t="s">
        <v>1081</v>
      </c>
      <c r="B6" s="2688">
        <f ca="1">SUM(G14:G23)</f>
        <v>3219</v>
      </c>
      <c r="C6" s="2688">
        <f ca="1">ROUND(B6*10000/$B$1,0)</f>
        <v>2728</v>
      </c>
      <c r="D6" s="2688">
        <f ca="1">ROUND(B6*10000/$B$2,0)</f>
        <v>784</v>
      </c>
      <c r="E6" s="2865"/>
      <c r="F6" s="2866"/>
      <c r="G6" s="2866"/>
      <c r="H6" s="2867"/>
      <c r="I6" s="2867"/>
      <c r="J6" s="2867"/>
      <c r="K6" s="2867"/>
    </row>
    <row r="7" spans="1:11" ht="15.6">
      <c r="A7" s="2688" t="s">
        <v>1089</v>
      </c>
      <c r="B7" s="2688">
        <f>SUM(H14:H23)</f>
        <v>0</v>
      </c>
      <c r="C7" s="2688">
        <f>ROUND(B7*10000/$B$1,0)</f>
        <v>0</v>
      </c>
      <c r="D7" s="2688">
        <f>ROUND(B7*10000/$B$2,0)</f>
        <v>0</v>
      </c>
      <c r="E7" s="2865"/>
      <c r="F7" s="2866"/>
      <c r="G7" s="2866"/>
      <c r="H7" s="2867"/>
      <c r="I7" s="2867"/>
      <c r="J7" s="2867"/>
      <c r="K7" s="2867"/>
    </row>
    <row r="8" spans="1:11" ht="15.6">
      <c r="A8" s="2688" t="s">
        <v>1012</v>
      </c>
      <c r="B8" s="2688">
        <f>SUM(I14:I23)</f>
        <v>0</v>
      </c>
      <c r="C8" s="2688">
        <f>ROUND(B8*10000/$B$1,0)</f>
        <v>0</v>
      </c>
      <c r="D8" s="2688">
        <f>ROUND(B8*10000/$B$2,0)</f>
        <v>0</v>
      </c>
      <c r="E8" s="2865"/>
      <c r="F8" s="2866"/>
      <c r="G8" s="2866"/>
      <c r="H8" s="2867"/>
      <c r="I8" s="2867"/>
      <c r="J8" s="2867"/>
      <c r="K8" s="2867"/>
    </row>
    <row r="9" spans="1:11" ht="15.6">
      <c r="A9" s="2688" t="s">
        <v>1080</v>
      </c>
      <c r="B9" s="2696"/>
      <c r="C9" s="2865"/>
      <c r="D9" s="2865"/>
      <c r="E9" s="2865"/>
      <c r="F9" s="2866"/>
      <c r="G9" s="2866"/>
      <c r="H9" s="2867"/>
      <c r="I9" s="2867"/>
      <c r="J9" s="2867"/>
      <c r="K9" s="2867"/>
    </row>
    <row r="10" spans="1:11" ht="15.6">
      <c r="A10" s="2688" t="s">
        <v>1079</v>
      </c>
      <c r="B10" s="2696"/>
      <c r="C10" s="2865"/>
      <c r="D10" s="2865"/>
      <c r="E10" s="2865"/>
      <c r="F10" s="2866"/>
      <c r="G10" s="2866"/>
      <c r="H10" s="2867"/>
      <c r="I10" s="2867"/>
      <c r="J10" s="2867"/>
      <c r="K10" s="2867"/>
    </row>
    <row r="11" spans="1:11" ht="15.6">
      <c r="A11" s="2688" t="s">
        <v>1095</v>
      </c>
      <c r="B11" s="2696"/>
      <c r="C11" s="2865"/>
      <c r="D11" s="2865"/>
      <c r="E11" s="2865"/>
      <c r="F11" s="2866"/>
      <c r="G11" s="2866"/>
      <c r="H11" s="2867"/>
      <c r="I11" s="2867"/>
      <c r="J11" s="2867"/>
      <c r="K11" s="2867"/>
    </row>
    <row r="12" spans="1:11" ht="15.6">
      <c r="A12" s="2865"/>
      <c r="B12" s="2865"/>
      <c r="C12" s="2865"/>
      <c r="D12" s="2865"/>
      <c r="E12" s="2865"/>
      <c r="F12" s="2866"/>
      <c r="G12" s="2866"/>
      <c r="H12" s="2867"/>
      <c r="I12" s="2867"/>
      <c r="J12" s="2867"/>
      <c r="K12" s="2867"/>
    </row>
    <row r="13" spans="1:11" ht="31.8">
      <c r="A13" s="2691" t="s">
        <v>1094</v>
      </c>
      <c r="B13" s="2692" t="s">
        <v>1091</v>
      </c>
      <c r="C13" s="2692" t="s">
        <v>1093</v>
      </c>
      <c r="D13" s="2692" t="s">
        <v>1092</v>
      </c>
      <c r="E13" s="2688" t="s">
        <v>1084</v>
      </c>
      <c r="F13" s="2688" t="s">
        <v>1083</v>
      </c>
      <c r="G13" s="2692" t="s">
        <v>1077</v>
      </c>
      <c r="H13" s="2692" t="s">
        <v>1088</v>
      </c>
      <c r="I13" s="2692" t="s">
        <v>1076</v>
      </c>
      <c r="J13" s="2866"/>
      <c r="K13" s="2867"/>
    </row>
    <row r="14" spans="1:11" ht="15.6">
      <c r="A14" s="2693" t="s">
        <v>1075</v>
      </c>
      <c r="B14" s="2694">
        <f>结果表!B118</f>
        <v>11798.5</v>
      </c>
      <c r="C14" s="2694">
        <f>结果表!C118</f>
        <v>41059.64</v>
      </c>
      <c r="D14" s="2694">
        <f ca="1">结果表!H118</f>
        <v>3219</v>
      </c>
      <c r="E14" s="2694">
        <f ca="1">ROUND(D14*10000/B14,0)</f>
        <v>2728</v>
      </c>
      <c r="F14" s="2694">
        <f ca="1">ROUND(D14*10000/C14,0)</f>
        <v>784</v>
      </c>
      <c r="G14" s="2694">
        <f ca="1">结果表!D122</f>
        <v>3219</v>
      </c>
      <c r="H14" s="2694" t="str">
        <f>结果表!D124</f>
        <v>——</v>
      </c>
      <c r="I14" s="2694" t="str">
        <f>结果表!D126</f>
        <v>——</v>
      </c>
      <c r="J14" s="2866"/>
      <c r="K14" s="2867"/>
    </row>
    <row r="15" spans="1:11" ht="15.6">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5.6">
      <c r="A16" s="2693" t="s">
        <v>1073</v>
      </c>
      <c r="B16" s="2695"/>
      <c r="C16" s="2695"/>
      <c r="D16" s="2695"/>
      <c r="E16" s="2694" t="e">
        <f t="shared" si="0"/>
        <v>#DIV/0!</v>
      </c>
      <c r="F16" s="2694" t="e">
        <f t="shared" si="1"/>
        <v>#DIV/0!</v>
      </c>
      <c r="G16" s="1452"/>
      <c r="H16" s="1452"/>
      <c r="I16" s="2695"/>
      <c r="J16" s="2867"/>
      <c r="K16" s="2867"/>
    </row>
    <row r="17" spans="1:11" ht="15.6">
      <c r="A17" s="2693" t="s">
        <v>1072</v>
      </c>
      <c r="B17" s="2695"/>
      <c r="C17" s="2695"/>
      <c r="D17" s="2695"/>
      <c r="E17" s="2694" t="e">
        <f t="shared" si="0"/>
        <v>#DIV/0!</v>
      </c>
      <c r="F17" s="2694" t="e">
        <f t="shared" si="1"/>
        <v>#DIV/0!</v>
      </c>
      <c r="G17" s="1452"/>
      <c r="H17" s="1452"/>
      <c r="I17" s="2695"/>
      <c r="J17" s="2867"/>
      <c r="K17" s="2867"/>
    </row>
    <row r="18" spans="1:11" ht="15.6">
      <c r="A18" s="2693" t="s">
        <v>1071</v>
      </c>
      <c r="B18" s="2695"/>
      <c r="C18" s="2695"/>
      <c r="D18" s="2695"/>
      <c r="E18" s="2694" t="e">
        <f t="shared" si="0"/>
        <v>#DIV/0!</v>
      </c>
      <c r="F18" s="2694" t="e">
        <f t="shared" si="1"/>
        <v>#DIV/0!</v>
      </c>
      <c r="G18" s="2695"/>
      <c r="H18" s="2695"/>
      <c r="I18" s="2695"/>
      <c r="J18" s="2867"/>
      <c r="K18" s="2867"/>
    </row>
    <row r="19" spans="1:11" ht="15.6">
      <c r="A19" s="2693" t="s">
        <v>1070</v>
      </c>
      <c r="B19" s="2695"/>
      <c r="C19" s="2695"/>
      <c r="D19" s="2695"/>
      <c r="E19" s="2694" t="e">
        <f t="shared" si="0"/>
        <v>#DIV/0!</v>
      </c>
      <c r="F19" s="2694" t="e">
        <f t="shared" si="1"/>
        <v>#DIV/0!</v>
      </c>
      <c r="G19" s="2695"/>
      <c r="H19" s="2695"/>
      <c r="I19" s="2695"/>
      <c r="J19" s="2867"/>
      <c r="K19" s="2867"/>
    </row>
    <row r="20" spans="1:11" ht="15.6">
      <c r="A20" s="2693" t="s">
        <v>1069</v>
      </c>
      <c r="B20" s="2695"/>
      <c r="C20" s="2695"/>
      <c r="D20" s="2695"/>
      <c r="E20" s="2694" t="e">
        <f t="shared" si="0"/>
        <v>#DIV/0!</v>
      </c>
      <c r="F20" s="2694" t="e">
        <f t="shared" si="1"/>
        <v>#DIV/0!</v>
      </c>
      <c r="G20" s="2695"/>
      <c r="H20" s="2695"/>
      <c r="I20" s="2695"/>
      <c r="J20" s="2867"/>
      <c r="K20" s="2867"/>
    </row>
    <row r="21" spans="1:11" ht="15.6">
      <c r="A21" s="2693" t="s">
        <v>1068</v>
      </c>
      <c r="B21" s="2695"/>
      <c r="C21" s="2695"/>
      <c r="D21" s="2695"/>
      <c r="E21" s="2694" t="e">
        <f t="shared" si="0"/>
        <v>#DIV/0!</v>
      </c>
      <c r="F21" s="2694" t="e">
        <f t="shared" si="1"/>
        <v>#DIV/0!</v>
      </c>
      <c r="G21" s="2695"/>
      <c r="H21" s="2695"/>
      <c r="I21" s="2695"/>
      <c r="J21" s="2867"/>
      <c r="K21" s="2867"/>
    </row>
    <row r="22" spans="1:11" ht="15.6">
      <c r="A22" s="2693" t="s">
        <v>1067</v>
      </c>
      <c r="B22" s="2695"/>
      <c r="C22" s="2695"/>
      <c r="D22" s="2695"/>
      <c r="E22" s="2694" t="e">
        <f t="shared" si="0"/>
        <v>#DIV/0!</v>
      </c>
      <c r="F22" s="2694" t="e">
        <f t="shared" si="1"/>
        <v>#DIV/0!</v>
      </c>
      <c r="G22" s="2695"/>
      <c r="H22" s="2695"/>
      <c r="I22" s="2695"/>
      <c r="J22" s="2867"/>
      <c r="K22" s="2867"/>
    </row>
    <row r="23" spans="1:11" ht="15.6">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H27" sqref="H27"/>
    </sheetView>
  </sheetViews>
  <sheetFormatPr defaultColWidth="12.6640625" defaultRowHeight="21.75" customHeight="1"/>
  <cols>
    <col min="1" max="2" width="12.6640625" style="1890"/>
    <col min="3" max="4" width="12.6640625" style="1890" customWidth="1"/>
    <col min="5" max="9" width="12.6640625" style="1890"/>
    <col min="10" max="11" width="12.6640625" style="734" customWidth="1"/>
    <col min="12" max="12" width="12.6640625" style="734"/>
    <col min="13" max="13" width="14.109375" style="734" bestFit="1" customWidth="1"/>
    <col min="14" max="26" width="12.6640625" style="734"/>
    <col min="27" max="35" width="12.6640625" style="1889"/>
    <col min="36" max="16384" width="12.6640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4" t="str">
        <f>项目基本情况!S2</f>
        <v>房地产</v>
      </c>
      <c r="B2" s="3395"/>
      <c r="C2" s="3395"/>
      <c r="D2" s="3395"/>
      <c r="E2" s="3395"/>
      <c r="F2" s="3395"/>
      <c r="G2" s="3395"/>
      <c r="H2" s="3395"/>
      <c r="I2" s="3396"/>
    </row>
    <row r="3" spans="1:12" ht="13.2">
      <c r="A3" s="3398" t="s">
        <v>1709</v>
      </c>
      <c r="B3" s="3399"/>
      <c r="C3" s="3399"/>
      <c r="D3" s="3399"/>
      <c r="E3" s="3399"/>
      <c r="F3" s="3399"/>
      <c r="G3" s="3399"/>
      <c r="H3" s="3399"/>
      <c r="I3" s="3399"/>
    </row>
    <row r="4" spans="1:12" ht="14.4">
      <c r="A4" s="1891" t="s">
        <v>1710</v>
      </c>
      <c r="B4" s="1892" t="s">
        <v>1711</v>
      </c>
      <c r="C4" s="1893" t="s">
        <v>3192</v>
      </c>
      <c r="D4" s="1893" t="s">
        <v>3184</v>
      </c>
      <c r="E4" s="3403" t="s">
        <v>1712</v>
      </c>
      <c r="F4" s="3404"/>
      <c r="G4" s="3404"/>
      <c r="H4" s="3404"/>
      <c r="I4" s="34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39" t="s">
        <v>1713</v>
      </c>
      <c r="B5" s="3397">
        <v>25</v>
      </c>
      <c r="C5" s="3400"/>
      <c r="D5" s="3388"/>
      <c r="E5" s="136" t="s">
        <v>1714</v>
      </c>
      <c r="F5" s="1894"/>
      <c r="G5" s="1894"/>
      <c r="H5" s="1894"/>
      <c r="I5" s="1508"/>
    </row>
    <row r="6" spans="1:12" ht="13.2">
      <c r="A6" s="3339"/>
      <c r="B6" s="3397"/>
      <c r="C6" s="3402"/>
      <c r="D6" s="3388"/>
      <c r="E6" s="136" t="s">
        <v>1715</v>
      </c>
      <c r="F6" s="1894"/>
      <c r="G6" s="1894"/>
      <c r="H6" s="1894"/>
      <c r="I6" s="1508"/>
    </row>
    <row r="7" spans="1:12" ht="13.2">
      <c r="A7" s="3339"/>
      <c r="B7" s="3397"/>
      <c r="C7" s="3401"/>
      <c r="D7" s="3388"/>
      <c r="E7" s="136" t="s">
        <v>1716</v>
      </c>
      <c r="F7" s="1894"/>
      <c r="G7" s="1894"/>
      <c r="H7" s="1894"/>
      <c r="I7" s="1508"/>
    </row>
    <row r="8" spans="1:12" ht="13.2">
      <c r="A8" s="3339" t="s">
        <v>1717</v>
      </c>
      <c r="B8" s="3397">
        <v>15</v>
      </c>
      <c r="C8" s="3400"/>
      <c r="D8" s="3388"/>
      <c r="E8" s="136" t="s">
        <v>1718</v>
      </c>
      <c r="F8" s="1894"/>
      <c r="G8" s="1894"/>
      <c r="H8" s="1894"/>
      <c r="I8" s="1508"/>
    </row>
    <row r="9" spans="1:12" ht="13.2">
      <c r="A9" s="3339"/>
      <c r="B9" s="3397"/>
      <c r="C9" s="3401"/>
      <c r="D9" s="3388"/>
      <c r="E9" s="136" t="s">
        <v>1719</v>
      </c>
      <c r="F9" s="1894"/>
      <c r="G9" s="1894"/>
      <c r="H9" s="1894"/>
      <c r="I9" s="1508"/>
    </row>
    <row r="10" spans="1:12" ht="13.2">
      <c r="A10" s="3339" t="s">
        <v>1720</v>
      </c>
      <c r="B10" s="3397">
        <v>15</v>
      </c>
      <c r="C10" s="3400"/>
      <c r="D10" s="3388"/>
      <c r="E10" s="136" t="s">
        <v>1721</v>
      </c>
      <c r="F10" s="1894"/>
      <c r="G10" s="1894"/>
      <c r="H10" s="1894"/>
      <c r="I10" s="1508"/>
    </row>
    <row r="11" spans="1:12" ht="13.2">
      <c r="A11" s="3339"/>
      <c r="B11" s="3397"/>
      <c r="C11" s="3401"/>
      <c r="D11" s="3388"/>
      <c r="E11" s="136" t="s">
        <v>1722</v>
      </c>
      <c r="F11" s="1894"/>
      <c r="G11" s="1894"/>
      <c r="H11" s="1894"/>
      <c r="I11" s="1508"/>
    </row>
    <row r="12" spans="1:12" ht="13.2">
      <c r="A12" s="3339" t="s">
        <v>1723</v>
      </c>
      <c r="B12" s="3397">
        <v>15</v>
      </c>
      <c r="C12" s="3400"/>
      <c r="D12" s="3388"/>
      <c r="E12" s="136" t="s">
        <v>1724</v>
      </c>
      <c r="F12" s="1894"/>
      <c r="G12" s="1894"/>
      <c r="H12" s="1894"/>
      <c r="I12" s="1508"/>
    </row>
    <row r="13" spans="1:12" ht="13.2">
      <c r="A13" s="3339"/>
      <c r="B13" s="3397"/>
      <c r="C13" s="3401"/>
      <c r="D13" s="3388"/>
      <c r="E13" s="136" t="s">
        <v>1725</v>
      </c>
      <c r="F13" s="1894"/>
      <c r="G13" s="1894"/>
      <c r="H13" s="1894"/>
      <c r="I13" s="1508"/>
    </row>
    <row r="14" spans="1:12" ht="13.2">
      <c r="A14" s="3339" t="s">
        <v>1726</v>
      </c>
      <c r="B14" s="3397">
        <v>30</v>
      </c>
      <c r="C14" s="3400">
        <v>4</v>
      </c>
      <c r="D14" s="3388">
        <v>6</v>
      </c>
      <c r="E14" s="136" t="s">
        <v>1727</v>
      </c>
      <c r="F14" s="1894"/>
      <c r="G14" s="1894"/>
      <c r="H14" s="1894"/>
      <c r="I14" s="1508"/>
    </row>
    <row r="15" spans="1:12" ht="13.2">
      <c r="A15" s="3339"/>
      <c r="B15" s="3397"/>
      <c r="C15" s="3402"/>
      <c r="D15" s="3388"/>
      <c r="E15" s="136" t="s">
        <v>1728</v>
      </c>
      <c r="F15" s="1894"/>
      <c r="G15" s="1894"/>
      <c r="H15" s="1894"/>
      <c r="I15" s="1508"/>
    </row>
    <row r="16" spans="1:12" ht="13.2">
      <c r="A16" s="3339"/>
      <c r="B16" s="3397"/>
      <c r="C16" s="3401"/>
      <c r="D16" s="3388"/>
      <c r="E16" s="136" t="s">
        <v>1729</v>
      </c>
      <c r="F16" s="1894"/>
      <c r="G16" s="1894"/>
      <c r="H16" s="1894"/>
      <c r="I16" s="1508"/>
    </row>
    <row r="17" spans="1:36" ht="14.4">
      <c r="A17" s="1895" t="s">
        <v>1730</v>
      </c>
      <c r="B17" s="60"/>
      <c r="C17" s="137">
        <f>SUM(C5:C16)</f>
        <v>4</v>
      </c>
      <c r="D17" s="137">
        <f>SUM(D5:D16)</f>
        <v>6</v>
      </c>
      <c r="E17" s="134"/>
      <c r="F17" s="134"/>
      <c r="G17" s="134"/>
      <c r="H17" s="134"/>
      <c r="I17" s="134"/>
      <c r="K17" s="308"/>
      <c r="L17" s="308" t="s">
        <v>1731</v>
      </c>
      <c r="M17" s="308" t="s">
        <v>1732</v>
      </c>
    </row>
    <row r="18" spans="1:36" ht="31.95" customHeight="1" thickBot="1">
      <c r="A18" s="1896" t="s">
        <v>1733</v>
      </c>
      <c r="B18" s="1897"/>
      <c r="C18" s="138">
        <f>ROUND(C17/SUM(C17:D17),2)</f>
        <v>0.4</v>
      </c>
      <c r="D18" s="138">
        <f>1-C18</f>
        <v>0.6</v>
      </c>
      <c r="E18" s="3419" t="s">
        <v>2632</v>
      </c>
      <c r="F18" s="3420"/>
      <c r="G18" s="3420"/>
      <c r="H18" s="3420"/>
      <c r="I18" s="3420"/>
      <c r="K18" s="308" t="s">
        <v>1734</v>
      </c>
      <c r="L18" s="308">
        <f>IF(C1="",'数据-汇总表'!E3,SUMIF(项目类型,C1,'数据-汇总表'!E17:E26)+SUMIF(项目类型,C1,'数据-汇总表'!I17:I26))</f>
        <v>11798.5</v>
      </c>
      <c r="M18" s="308">
        <f>IF(C1="",'数据-汇总表'!E3,SUMIF(项目类型,C1,'数据-汇总表'!E17:E26))</f>
        <v>11798.5</v>
      </c>
    </row>
    <row r="19" spans="1:36" ht="14.4">
      <c r="A19" s="1898" t="s">
        <v>1735</v>
      </c>
      <c r="B19" s="1899" t="s">
        <v>1736</v>
      </c>
      <c r="C19" s="139">
        <f ca="1">SUMIF(INDIRECT("'"&amp;C4&amp;"'"&amp;"!A:A"),结果表!B19,INDIRECT("'"&amp;C4&amp;"'"&amp;"!B:B"))</f>
        <v>5464</v>
      </c>
      <c r="D19" s="140">
        <f ca="1">SUMIF(INDIRECT("'"&amp;D4&amp;"'"&amp;"!A:A"),结果表!B19,INDIRECT("'"&amp;D4&amp;"'"&amp;"!B:B"))</f>
        <v>1723</v>
      </c>
      <c r="E19" s="1898" t="s">
        <v>1737</v>
      </c>
      <c r="F19" s="1899" t="s">
        <v>1736</v>
      </c>
      <c r="G19" s="141">
        <f ca="1">ROUND(C19*$C$18+D19*$D$18,0)</f>
        <v>3219</v>
      </c>
      <c r="H19" s="1900" t="s">
        <v>1738</v>
      </c>
      <c r="I19" s="134"/>
      <c r="K19" s="308" t="s">
        <v>1739</v>
      </c>
      <c r="L19" s="308">
        <f>IF(C1="",'数据-汇总表'!D3,SUMIF(项目类型,C1,'数据-汇总表'!D17:D26)+SUMIF(项目类型,C1,'数据-汇总表'!H17:H27))</f>
        <v>41059.64</v>
      </c>
      <c r="M19" s="308">
        <f>IF(C1="",'数据-汇总表'!D3,SUMIF(项目类型,C1,'数据-汇总表'!D17:D26))</f>
        <v>41059.64</v>
      </c>
    </row>
    <row r="20" spans="1:36" ht="14.4">
      <c r="A20" s="1901"/>
      <c r="B20" s="1138" t="s">
        <v>1740</v>
      </c>
      <c r="C20" s="142">
        <f ca="1">SUMIF(INDIRECT("'"&amp;C4&amp;"'"&amp;"!A:A"),结果表!B20,INDIRECT("'"&amp;C4&amp;"'"&amp;"!B:B"))</f>
        <v>4631</v>
      </c>
      <c r="D20" s="143">
        <f ca="1">SUMIF(INDIRECT("'"&amp;D4&amp;"'"&amp;"!A:A"),结果表!B20,INDIRECT("'"&amp;D4&amp;"'"&amp;"!B:B"))</f>
        <v>1460</v>
      </c>
      <c r="E20" s="1901"/>
      <c r="F20" s="1138" t="s">
        <v>1740</v>
      </c>
      <c r="G20" s="144">
        <f ca="1">ROUND(C20*$C$18+D20*$D$18,0)</f>
        <v>2728</v>
      </c>
      <c r="H20" s="898" t="s">
        <v>1741</v>
      </c>
      <c r="I20" s="134"/>
    </row>
    <row r="21" spans="1:36" ht="15" customHeight="1" thickBot="1">
      <c r="A21" s="918"/>
      <c r="B21" s="1902" t="s">
        <v>1742</v>
      </c>
      <c r="C21" s="728">
        <f ca="1">ROUND(C19*10000/L19,0)</f>
        <v>1331</v>
      </c>
      <c r="D21" s="729">
        <f ca="1">ROUND(D19*10000/L19,0)</f>
        <v>420</v>
      </c>
      <c r="E21" s="918"/>
      <c r="F21" s="1902" t="s">
        <v>1742</v>
      </c>
      <c r="G21" s="145">
        <f ca="1">ROUND(G19*10000/L19,0)</f>
        <v>784</v>
      </c>
      <c r="H21" s="1903" t="s">
        <v>1741</v>
      </c>
      <c r="I21" s="134"/>
    </row>
    <row r="22" spans="1:36" ht="15" thickBot="1">
      <c r="A22" s="1825" t="s">
        <v>1743</v>
      </c>
      <c r="B22" s="1904"/>
      <c r="C22" s="1905"/>
      <c r="D22" s="730">
        <f ca="1">IF(C19&lt;D19,D19/C19-1,C19/D19-1)</f>
        <v>2.1712130005803831</v>
      </c>
      <c r="E22" s="134"/>
      <c r="F22" s="134"/>
      <c r="G22" s="134"/>
      <c r="H22" s="134"/>
      <c r="I22" s="134"/>
    </row>
    <row r="23" spans="1:36" ht="13.8" thickBot="1">
      <c r="A23" s="1884"/>
      <c r="B23" s="1884"/>
      <c r="C23" s="1884"/>
      <c r="D23" s="1884"/>
      <c r="E23" s="134"/>
      <c r="F23" s="134"/>
      <c r="G23" s="134"/>
      <c r="H23" s="134"/>
      <c r="I23" s="134"/>
    </row>
    <row r="24" spans="1:36" ht="14.4">
      <c r="A24" s="3412" t="s">
        <v>1744</v>
      </c>
      <c r="B24" s="1899" t="s">
        <v>1736</v>
      </c>
      <c r="C24" s="141">
        <f>IF(B30=0,0,D30)</f>
        <v>0</v>
      </c>
      <c r="D24" s="1906"/>
      <c r="E24" s="134"/>
      <c r="F24" s="134"/>
      <c r="G24" s="134"/>
      <c r="H24" s="134"/>
      <c r="I24" s="134"/>
    </row>
    <row r="25" spans="1:36" ht="14.4">
      <c r="A25" s="341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3.8">
      <c r="A27" s="1908"/>
      <c r="B27" s="147">
        <v>0</v>
      </c>
      <c r="C27" s="147">
        <v>0</v>
      </c>
      <c r="D27" s="148">
        <f>ROUND(C27*B27/10000,0)</f>
        <v>0</v>
      </c>
      <c r="E27" s="134"/>
      <c r="F27" s="134"/>
      <c r="G27" s="134"/>
      <c r="H27" s="134"/>
      <c r="I27" s="134"/>
    </row>
    <row r="28" spans="1:36" ht="13.8">
      <c r="A28" s="1908"/>
      <c r="B28" s="147"/>
      <c r="C28" s="147"/>
      <c r="D28" s="148"/>
      <c r="E28" s="134"/>
      <c r="F28" s="134"/>
      <c r="G28" s="134"/>
      <c r="H28" s="134"/>
      <c r="I28" s="134"/>
    </row>
    <row r="29" spans="1:36" ht="13.8">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6" thickTop="1" thickBot="1">
      <c r="A32" s="1910" t="s">
        <v>1750</v>
      </c>
      <c r="B32" s="1911"/>
      <c r="C32" s="149">
        <f ca="1">IF(D32="总价",G19-C24,G20-C25)</f>
        <v>3219</v>
      </c>
      <c r="D32" s="1912" t="s">
        <v>3193</v>
      </c>
      <c r="E32" s="134"/>
      <c r="F32" s="134"/>
      <c r="G32" s="134"/>
      <c r="H32" s="134"/>
      <c r="I32" s="134"/>
    </row>
    <row r="33" spans="1:15" ht="14.4">
      <c r="A33" s="875" t="s">
        <v>1751</v>
      </c>
      <c r="B33" s="1913"/>
      <c r="C33" s="1914" t="s">
        <v>3194</v>
      </c>
      <c r="D33" s="1915" t="s">
        <v>3192</v>
      </c>
      <c r="E33" s="1916" t="s">
        <v>1752</v>
      </c>
      <c r="F33" s="1917" t="str">
        <f>IF(D32="楼面单价","取值（单价）","取值（总价）")</f>
        <v>取值（总价）</v>
      </c>
      <c r="G33" s="134"/>
      <c r="H33" s="134"/>
      <c r="I33" s="134"/>
    </row>
    <row r="34" spans="1:15" ht="14.4">
      <c r="A34" s="1918"/>
      <c r="B34" s="1919" t="s">
        <v>1753</v>
      </c>
      <c r="C34" s="153">
        <f ca="1">IF(C33="自定义",F34,C32-C35)</f>
        <v>2308</v>
      </c>
      <c r="D34" s="951">
        <f ca="1">IF(C33="自定义",ROUND(C34/C32,3),IF(C33="收益比率",SUMIF(INDIRECT("'"&amp;D33&amp;"'"&amp;"!b:b"),"土地收益比率",INDIRECT("'"&amp;D33&amp;"'"&amp;"!c:c")),SUMIF(INDIRECT("'"&amp;D33&amp;"'"&amp;"!b:b"),"土地成本比率",INDIRECT("'"&amp;D33&amp;"'"&amp;"!c:c"))))</f>
        <v>0.71700000000000008</v>
      </c>
      <c r="E34" s="1920" t="s">
        <v>1754</v>
      </c>
      <c r="F34" s="1451"/>
      <c r="G34" s="134"/>
      <c r="H34" s="134"/>
      <c r="I34" s="134"/>
    </row>
    <row r="35" spans="1:15" ht="15" thickBot="1">
      <c r="A35" s="1921"/>
      <c r="B35" s="1922" t="s">
        <v>1755</v>
      </c>
      <c r="C35" s="1285">
        <f ca="1">IF(C33="自定义",F35,ROUND(C32*D35,0))</f>
        <v>911</v>
      </c>
      <c r="D35" s="1286">
        <f ca="1">IF(C33="自定义",ROUND(C35/C32,3),IF(C33="收益比率",SUMIF(INDIRECT("'"&amp;D33&amp;"'"&amp;"!b:b"),"建筑物收益比率",INDIRECT("'"&amp;D33&amp;"'"&amp;"!c:c")),SUMIF(INDIRECT("'"&amp;D33&amp;"'"&amp;"!b:b"),"建筑物成本比率",INDIRECT("'"&amp;D33&amp;"'"&amp;"!c:c"))))</f>
        <v>0.28299999999999997</v>
      </c>
      <c r="E35" s="1923" t="s">
        <v>1756</v>
      </c>
      <c r="F35" s="159"/>
      <c r="G35" s="134"/>
      <c r="H35" s="134"/>
      <c r="I35" s="134"/>
    </row>
    <row r="36" spans="1:15" ht="15" thickBot="1">
      <c r="A36" s="3389" t="s">
        <v>1757</v>
      </c>
      <c r="B36" s="1924" t="s">
        <v>1758</v>
      </c>
      <c r="C36" s="150"/>
      <c r="D36" s="1925"/>
      <c r="E36" s="1926"/>
      <c r="F36" s="1927"/>
      <c r="G36" s="134"/>
      <c r="H36" s="134"/>
      <c r="I36" s="134"/>
    </row>
    <row r="37" spans="1:15" ht="15" thickBot="1">
      <c r="A37" s="3390"/>
      <c r="B37" s="1811" t="s">
        <v>1759</v>
      </c>
      <c r="C37" s="152"/>
      <c r="D37" s="1254"/>
      <c r="E37" s="1254"/>
      <c r="F37" s="1927"/>
      <c r="G37" s="134"/>
      <c r="H37" s="134"/>
      <c r="I37" s="134"/>
    </row>
    <row r="38" spans="1:15" ht="15" thickBot="1">
      <c r="A38" s="3391"/>
      <c r="B38" s="1928" t="s">
        <v>1760</v>
      </c>
      <c r="C38" s="683"/>
      <c r="D38" s="1929" t="s">
        <v>1761</v>
      </c>
      <c r="E38" s="1254"/>
      <c r="F38" s="1927"/>
      <c r="G38" s="134"/>
      <c r="H38" s="134"/>
      <c r="I38" s="134"/>
    </row>
    <row r="39" spans="1:15" ht="14.4">
      <c r="A39" s="1901" t="s">
        <v>1762</v>
      </c>
      <c r="B39" s="1930" t="s">
        <v>1763</v>
      </c>
      <c r="C39" s="1931" t="s">
        <v>1764</v>
      </c>
      <c r="D39" s="1931" t="s">
        <v>1765</v>
      </c>
      <c r="E39" s="1932" t="s">
        <v>1766</v>
      </c>
      <c r="F39" s="1927"/>
      <c r="G39" s="134"/>
      <c r="H39" s="134"/>
      <c r="I39" s="134"/>
    </row>
    <row r="40" spans="1:15" ht="13.8">
      <c r="A40" s="1933" t="s">
        <v>1767</v>
      </c>
      <c r="B40" s="154"/>
      <c r="C40" s="155"/>
      <c r="D40" s="155"/>
      <c r="E40" s="156"/>
      <c r="F40" s="1927"/>
      <c r="G40" s="134"/>
      <c r="H40" s="134"/>
      <c r="I40" s="134"/>
    </row>
    <row r="41" spans="1:15" ht="13.8">
      <c r="A41" s="1933" t="s">
        <v>1768</v>
      </c>
      <c r="B41" s="154"/>
      <c r="C41" s="155"/>
      <c r="D41" s="155"/>
      <c r="E41" s="156"/>
      <c r="F41" s="1927"/>
      <c r="G41" s="134"/>
      <c r="H41" s="134"/>
      <c r="I41" s="134"/>
    </row>
    <row r="42" spans="1:15" ht="14.4" thickBot="1">
      <c r="A42" s="1934"/>
      <c r="B42" s="157"/>
      <c r="C42" s="158"/>
      <c r="D42" s="158"/>
      <c r="E42" s="159"/>
      <c r="F42" s="1927"/>
      <c r="G42" s="134"/>
      <c r="H42" s="134"/>
      <c r="I42" s="134"/>
    </row>
    <row r="43" spans="1:15" ht="13.2">
      <c r="A43" s="1713"/>
      <c r="B43" s="1713"/>
      <c r="C43" s="1713"/>
      <c r="D43" s="1713"/>
      <c r="E43" s="1713"/>
      <c r="F43" s="1935"/>
      <c r="G43" s="1935"/>
      <c r="H43" s="1935"/>
      <c r="I43" s="1936"/>
    </row>
    <row r="44" spans="1:15" ht="17.399999999999999">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09" t="s">
        <v>1771</v>
      </c>
      <c r="B45" s="3410"/>
      <c r="C45" s="3411"/>
      <c r="D45" s="160">
        <f ca="1">ROUND(H101*F45,0)</f>
        <v>3219</v>
      </c>
      <c r="E45" s="161" t="s">
        <v>1772</v>
      </c>
      <c r="F45" s="162">
        <v>1</v>
      </c>
      <c r="G45" s="163" t="s">
        <v>1773</v>
      </c>
      <c r="H45" s="134"/>
      <c r="I45" s="134"/>
      <c r="J45" s="3326" t="s">
        <v>1774</v>
      </c>
      <c r="K45" s="3326"/>
      <c r="L45" s="3326"/>
      <c r="M45" s="3326"/>
      <c r="N45" s="3326"/>
      <c r="O45" s="3326"/>
    </row>
    <row r="46" spans="1:15" ht="14.25" customHeight="1">
      <c r="A46" s="3406" t="s">
        <v>1775</v>
      </c>
      <c r="B46" s="3407"/>
      <c r="C46" s="3407"/>
      <c r="D46" s="3407"/>
      <c r="E46" s="3407"/>
      <c r="F46" s="3407"/>
      <c r="G46" s="3408"/>
      <c r="H46" s="1943"/>
      <c r="I46" s="164"/>
      <c r="J46" s="2699">
        <v>1</v>
      </c>
      <c r="K46" s="3327" t="s">
        <v>1776</v>
      </c>
      <c r="L46" s="3327"/>
      <c r="M46" s="3328"/>
      <c r="N46" s="3328"/>
      <c r="O46" s="3328"/>
    </row>
    <row r="47" spans="1:15" ht="12" customHeight="1">
      <c r="A47" s="165" t="s">
        <v>1777</v>
      </c>
      <c r="B47" s="166"/>
      <c r="C47" s="167"/>
      <c r="D47" s="1200" t="s">
        <v>1778</v>
      </c>
      <c r="E47" s="308" t="s">
        <v>1779</v>
      </c>
      <c r="F47" s="168" t="s">
        <v>1780</v>
      </c>
      <c r="G47" s="2722" t="s">
        <v>1781</v>
      </c>
      <c r="H47" s="2723"/>
      <c r="I47" s="164"/>
      <c r="J47" s="2699">
        <v>2</v>
      </c>
      <c r="K47" s="3327" t="s">
        <v>1782</v>
      </c>
      <c r="L47" s="3327"/>
      <c r="M47" s="3329">
        <f>'数据-取费表'!B2</f>
        <v>44889</v>
      </c>
      <c r="N47" s="3329"/>
      <c r="O47" s="3329"/>
    </row>
    <row r="48" spans="1:15" ht="26.4">
      <c r="A48" s="3392" t="s">
        <v>1783</v>
      </c>
      <c r="B48" s="3393"/>
      <c r="C48" s="3393"/>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27" t="s">
        <v>1785</v>
      </c>
      <c r="L48" s="3327"/>
      <c r="M48" s="3330">
        <f ca="1">H101</f>
        <v>3219</v>
      </c>
      <c r="N48" s="3330"/>
      <c r="O48" s="3330"/>
    </row>
    <row r="49" spans="1:35" ht="25.5" customHeight="1">
      <c r="A49" s="2507" t="s">
        <v>1786</v>
      </c>
      <c r="B49" s="3375" t="s">
        <v>1787</v>
      </c>
      <c r="C49" s="3375"/>
      <c r="D49" s="1726">
        <v>0</v>
      </c>
      <c r="E49" s="330" t="s">
        <v>1788</v>
      </c>
      <c r="F49" s="2600" t="s">
        <v>34</v>
      </c>
      <c r="G49" s="3358"/>
      <c r="H49" s="2479" t="s">
        <v>2635</v>
      </c>
      <c r="I49" s="2480"/>
      <c r="J49" s="2699">
        <v>4</v>
      </c>
      <c r="K49" s="3327" t="str">
        <f>IF(项目基本情况!E8="房地产抵押价值","房地产抵押价值","抵押担保权已注销时的房地产抵押价值")</f>
        <v>房地产抵押价值</v>
      </c>
      <c r="L49" s="3327"/>
      <c r="M49" s="3330">
        <f ca="1">IF(项目基本情况!E8="房地产抵押价值",H107,H109)</f>
        <v>3219</v>
      </c>
      <c r="N49" s="3330"/>
      <c r="O49" s="3330"/>
    </row>
    <row r="50" spans="1:35" ht="25.5" customHeight="1">
      <c r="A50" s="2727"/>
      <c r="B50" s="3375" t="s">
        <v>1789</v>
      </c>
      <c r="C50" s="3375"/>
      <c r="D50" s="2728"/>
      <c r="E50" s="338"/>
      <c r="F50" s="2600"/>
      <c r="G50" s="3359"/>
      <c r="H50" s="2481" t="s">
        <v>2636</v>
      </c>
      <c r="I50" s="2480"/>
      <c r="J50" s="3326" t="s">
        <v>1790</v>
      </c>
      <c r="K50" s="3326"/>
      <c r="L50" s="3326"/>
      <c r="M50" s="3326"/>
      <c r="N50" s="3326"/>
      <c r="O50" s="3326"/>
    </row>
    <row r="51" spans="1:35" ht="20.399999999999999" customHeight="1">
      <c r="A51" s="2729"/>
      <c r="B51" s="3375" t="s">
        <v>1791</v>
      </c>
      <c r="C51" s="3375"/>
      <c r="D51" s="1200"/>
      <c r="E51" s="333"/>
      <c r="F51" s="2600"/>
      <c r="G51" s="3360"/>
      <c r="H51" s="2481" t="s">
        <v>2637</v>
      </c>
      <c r="I51" s="2480"/>
      <c r="J51" s="2700" t="s">
        <v>1792</v>
      </c>
      <c r="K51" s="3327" t="s">
        <v>1793</v>
      </c>
      <c r="L51" s="3327"/>
      <c r="M51" s="2700" t="s">
        <v>1794</v>
      </c>
      <c r="N51" s="2700" t="s">
        <v>1795</v>
      </c>
      <c r="O51" s="2700" t="s">
        <v>1796</v>
      </c>
    </row>
    <row r="52" spans="1:35" ht="24" customHeight="1">
      <c r="A52" s="2509" t="s">
        <v>1797</v>
      </c>
      <c r="B52" s="3375" t="s">
        <v>1798</v>
      </c>
      <c r="C52" s="3375"/>
      <c r="D52" s="1200">
        <f ca="1">ROUND(D45*'数据-取费表'!B41/(1+'数据-取费表'!C42),0)</f>
        <v>169</v>
      </c>
      <c r="E52" s="2508" t="s">
        <v>1799</v>
      </c>
      <c r="F52" s="2730">
        <f>'数据-取费表'!B41</f>
        <v>5.5000000000000007E-2</v>
      </c>
      <c r="G52" s="2731"/>
      <c r="H52" s="2720"/>
      <c r="I52" s="1944"/>
      <c r="J52" s="2699">
        <v>1</v>
      </c>
      <c r="K52" s="3352" t="s">
        <v>1800</v>
      </c>
      <c r="L52" s="3352"/>
      <c r="M52" s="2701" t="b">
        <f>D48</f>
        <v>0</v>
      </c>
      <c r="N52" s="2699" t="str">
        <f>E48</f>
        <v>销售额×税（费）率</v>
      </c>
      <c r="O52" s="2702">
        <f>F48</f>
        <v>5.5000000000000007E-2</v>
      </c>
    </row>
    <row r="53" spans="1:35" ht="12" customHeight="1">
      <c r="A53" s="2509" t="s">
        <v>1801</v>
      </c>
      <c r="B53" s="3376" t="s">
        <v>2792</v>
      </c>
      <c r="C53" s="3377"/>
      <c r="D53" s="1200">
        <f ca="1">ROUND(D45*'数据-取费表'!B41/(1+'数据-取费表'!C42),0)</f>
        <v>169</v>
      </c>
      <c r="E53" s="2508" t="s">
        <v>1799</v>
      </c>
      <c r="F53" s="2730">
        <f>'数据-取费表'!B41</f>
        <v>5.5000000000000007E-2</v>
      </c>
      <c r="G53" s="2731"/>
      <c r="H53" s="2720"/>
      <c r="I53" s="1944"/>
      <c r="J53" s="2699">
        <v>2</v>
      </c>
      <c r="K53" s="3352" t="s">
        <v>1802</v>
      </c>
      <c r="L53" s="3352"/>
      <c r="M53" s="2701">
        <f t="shared" ref="M53:O54" ca="1" si="0">D55</f>
        <v>2</v>
      </c>
      <c r="N53" s="2699" t="str">
        <f t="shared" si="0"/>
        <v>销售额×税（费）率</v>
      </c>
      <c r="O53" s="2702" t="str">
        <f t="shared" si="0"/>
        <v>免征</v>
      </c>
    </row>
    <row r="54" spans="1:35" ht="12" customHeight="1">
      <c r="A54" s="2509" t="s">
        <v>1803</v>
      </c>
      <c r="B54" s="3376" t="s">
        <v>2793</v>
      </c>
      <c r="C54" s="3377"/>
      <c r="D54" s="1200">
        <f ca="1">C68</f>
        <v>169</v>
      </c>
      <c r="E54" s="333" t="s">
        <v>1804</v>
      </c>
      <c r="F54" s="2730">
        <f>'数据-取费表'!B41</f>
        <v>5.5000000000000007E-2</v>
      </c>
      <c r="G54" s="2731"/>
      <c r="H54" s="2732"/>
      <c r="I54" s="1944"/>
      <c r="J54" s="2699">
        <v>3</v>
      </c>
      <c r="K54" s="3352" t="s">
        <v>1805</v>
      </c>
      <c r="L54" s="3352"/>
      <c r="M54" s="2701">
        <f t="shared" ca="1" si="0"/>
        <v>1825</v>
      </c>
      <c r="N54" s="2699" t="str">
        <f t="shared" si="0"/>
        <v>增值额×税（费）率</v>
      </c>
      <c r="O54" s="2703" t="str">
        <f t="shared" si="0"/>
        <v>免征</v>
      </c>
    </row>
    <row r="55" spans="1:35" ht="24" customHeight="1">
      <c r="A55" s="3415" t="s">
        <v>1806</v>
      </c>
      <c r="B55" s="3393"/>
      <c r="C55" s="3393"/>
      <c r="D55" s="2498">
        <f ca="1">IF(H55="个人住宅",0,ROUND(D45*I55,0))</f>
        <v>2</v>
      </c>
      <c r="E55" s="2508" t="s">
        <v>1807</v>
      </c>
      <c r="F55" s="2730" t="str">
        <f>IF(H55="正常",I55,"免征")</f>
        <v>免征</v>
      </c>
      <c r="G55" s="2731"/>
      <c r="H55" s="2726"/>
      <c r="I55" s="170">
        <f>'数据-取费表'!B49</f>
        <v>5.0000000000000001E-4</v>
      </c>
      <c r="J55" s="2699">
        <f>IF(H59="非个人房产","",4)</f>
        <v>4</v>
      </c>
      <c r="K55" s="3352" t="str">
        <f>IF(H59="非个人房产","——","个人所得税")</f>
        <v>个人所得税</v>
      </c>
      <c r="L55" s="3352"/>
      <c r="M55" s="2704">
        <f ca="1">D59</f>
        <v>31</v>
      </c>
      <c r="N55" s="2179" t="str">
        <f>E59</f>
        <v>差额计税</v>
      </c>
      <c r="O55" s="2705">
        <f>F59</f>
        <v>0.01</v>
      </c>
    </row>
    <row r="56" spans="1:35" ht="25.2">
      <c r="A56" s="3415" t="s">
        <v>1808</v>
      </c>
      <c r="B56" s="3393"/>
      <c r="C56" s="3393"/>
      <c r="D56" s="2498">
        <f ca="1">IF(H56="个人住宅",D57,D58)</f>
        <v>1825</v>
      </c>
      <c r="E56" s="2508" t="s">
        <v>1809</v>
      </c>
      <c r="F56" s="2730" t="str">
        <f>IF(H56="正常",F58,"免征")</f>
        <v>免征</v>
      </c>
      <c r="G56" s="2733" t="s">
        <v>1810</v>
      </c>
      <c r="H56" s="2734"/>
      <c r="I56" s="1945"/>
      <c r="J56" s="2699" t="str">
        <f>IF(项目基本情况!K6="上海银行",IF(J55="",4,J55+1),"")</f>
        <v/>
      </c>
      <c r="K56" s="3333" t="str">
        <f>IF(项目基本情况!K6="上海银行","其他处置费用","")</f>
        <v/>
      </c>
      <c r="L56" s="3334"/>
      <c r="M56" s="2701" t="str">
        <f>IF(项目基本情况!K6="上海银行",M69,"")</f>
        <v/>
      </c>
      <c r="N56" s="3333" t="str">
        <f>IF(项目基本情况!K6="上海银行","包含处置中涉及的律师、诉讼、拍卖、评估等费用","")</f>
        <v/>
      </c>
      <c r="O56" s="3336"/>
    </row>
    <row r="57" spans="1:35" ht="13.2">
      <c r="A57" s="2509" t="s">
        <v>1786</v>
      </c>
      <c r="B57" s="3376" t="s">
        <v>1811</v>
      </c>
      <c r="C57" s="3377"/>
      <c r="D57" s="1726">
        <v>0</v>
      </c>
      <c r="E57" s="330" t="s">
        <v>1788</v>
      </c>
      <c r="F57" s="308"/>
      <c r="G57" s="2731"/>
      <c r="H57" s="2735"/>
      <c r="I57" s="1945"/>
      <c r="J57" s="3352">
        <f>IF(AND(J55="",J56=""),4,IF(项目基本情况!K6="上海银行",结果表!J56+1,结果表!J55+1))</f>
        <v>5</v>
      </c>
      <c r="K57" s="3352" t="s">
        <v>1812</v>
      </c>
      <c r="L57" s="2706" t="s">
        <v>1813</v>
      </c>
      <c r="M57" s="2707"/>
      <c r="N57" s="2708">
        <f ca="1">SUMIF(M52:M56,"&lt;9e307")</f>
        <v>1858</v>
      </c>
      <c r="O57" s="2709"/>
      <c r="P57" s="2869">
        <f ca="1">N57/M49</f>
        <v>0.57719788754271517</v>
      </c>
    </row>
    <row r="58" spans="1:35" ht="25.2">
      <c r="A58" s="2509" t="s">
        <v>1797</v>
      </c>
      <c r="B58" s="3376" t="s">
        <v>1814</v>
      </c>
      <c r="C58" s="3375"/>
      <c r="D58" s="2498">
        <f ca="1">IF(H58="转让取得",C81,C97)</f>
        <v>1825</v>
      </c>
      <c r="E58" s="2508" t="s">
        <v>1809</v>
      </c>
      <c r="F58" s="308" t="s">
        <v>34</v>
      </c>
      <c r="G58" s="2731"/>
      <c r="H58" s="2734"/>
      <c r="I58" s="1945"/>
      <c r="J58" s="3352"/>
      <c r="K58" s="3352"/>
      <c r="L58" s="2706" t="s">
        <v>1815</v>
      </c>
      <c r="M58" s="2710"/>
      <c r="N58" s="2711" t="str">
        <f ca="1">NUMBERSTRING(INT(N57*10000),2)&amp;"元整"</f>
        <v>壹仟捌佰伍拾捌万元整</v>
      </c>
      <c r="O58" s="2712"/>
    </row>
    <row r="59" spans="1:35" ht="24.6" thickBot="1">
      <c r="A59" s="3356" t="s">
        <v>1816</v>
      </c>
      <c r="B59" s="3357"/>
      <c r="C59" s="3357"/>
      <c r="D59" s="2736">
        <f ca="1">IF(H59="非个人房产","——",IF(H59="个人住宅（满五唯一有凭证）",0,IF(H59="个人其他（无凭证）",ROUND(D45*F59,0),ROUND(C67*F59,0))))</f>
        <v>31</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4">
        <f>J57+1</f>
        <v>6</v>
      </c>
      <c r="K59" s="3352" t="s">
        <v>1817</v>
      </c>
      <c r="L59" s="2699" t="s">
        <v>1813</v>
      </c>
      <c r="M59" s="2713"/>
      <c r="N59" s="2714">
        <f ca="1">M49-N57</f>
        <v>1361</v>
      </c>
      <c r="O59" s="2715"/>
    </row>
    <row r="60" spans="1:35" ht="12" customHeight="1">
      <c r="A60" s="1946"/>
      <c r="B60" s="1884"/>
      <c r="C60" s="1884"/>
      <c r="D60" s="1884"/>
      <c r="E60" s="1714"/>
      <c r="F60" s="1945"/>
      <c r="G60" s="1945"/>
      <c r="H60" s="1947"/>
      <c r="I60" s="134"/>
      <c r="J60" s="3355"/>
      <c r="K60" s="3352"/>
      <c r="L60" s="2706" t="s">
        <v>1815</v>
      </c>
      <c r="M60" s="2710"/>
      <c r="N60" s="2711" t="str">
        <f ca="1">NUMBERSTRING(INT(N59*10000),2)&amp;"元整"</f>
        <v>壹仟叁佰陆拾壹万元整</v>
      </c>
      <c r="O60" s="2712"/>
    </row>
    <row r="61" spans="1:35" ht="13.8" thickBot="1">
      <c r="A61" s="3414" t="s">
        <v>1818</v>
      </c>
      <c r="B61" s="3414"/>
      <c r="C61" s="3414"/>
      <c r="D61" s="3414"/>
      <c r="E61" s="3414"/>
      <c r="F61" s="1945"/>
      <c r="G61" s="1945"/>
      <c r="H61" s="1947"/>
      <c r="I61" s="134"/>
      <c r="J61" s="2699">
        <f>J59+1</f>
        <v>7</v>
      </c>
      <c r="K61" s="3352" t="s">
        <v>1819</v>
      </c>
      <c r="L61" s="3352"/>
      <c r="M61" s="2716"/>
      <c r="N61" s="2717">
        <f ca="1">ROUND(N59*10000/'数据-汇总表'!E3,0)</f>
        <v>1154</v>
      </c>
      <c r="O61" s="2718"/>
    </row>
    <row r="62" spans="1:35" ht="13.2">
      <c r="A62" s="3371" t="s">
        <v>1820</v>
      </c>
      <c r="B62" s="3372"/>
      <c r="C62" s="2160"/>
      <c r="D62" s="2160" t="s">
        <v>1821</v>
      </c>
      <c r="E62" s="171" t="s">
        <v>1822</v>
      </c>
      <c r="F62" s="1945"/>
      <c r="G62" s="1945"/>
      <c r="H62" s="1947"/>
      <c r="I62" s="134"/>
    </row>
    <row r="63" spans="1:35" ht="13.2">
      <c r="A63" s="178" t="s">
        <v>594</v>
      </c>
      <c r="B63" s="172" t="s">
        <v>1823</v>
      </c>
      <c r="C63" s="2740">
        <f ca="1">ROUND((C64+C65)/(1+'数据-取费表'!C42),0)</f>
        <v>3066</v>
      </c>
      <c r="D63" s="172"/>
      <c r="E63" s="173"/>
      <c r="F63" s="1945"/>
      <c r="G63" s="1945"/>
      <c r="H63" s="1947"/>
      <c r="I63" s="134"/>
      <c r="J63" s="3335" t="s">
        <v>1824</v>
      </c>
      <c r="K63" s="1453" t="s">
        <v>1825</v>
      </c>
      <c r="L63" s="1453">
        <f ca="1">IF(M49&gt;10000,M49*0.5%,IF(AND(M49&gt;1000,M49&lt;=10000),M49*1%,IF(AND(M49&gt;100,M49&lt;=1000),M49*3%,IF(AND(M49&gt;10,M49&lt;=100),M49*5%,M49*8%))))</f>
        <v>32.19</v>
      </c>
      <c r="M63" s="308">
        <f ca="1">ROUND(L63,1)</f>
        <v>32.200000000000003</v>
      </c>
      <c r="N63" s="2719"/>
      <c r="Z63" s="1889"/>
      <c r="AI63" s="1890"/>
    </row>
    <row r="64" spans="1:35" ht="14.25" customHeight="1">
      <c r="A64" s="174" t="s">
        <v>589</v>
      </c>
      <c r="B64" s="175" t="s">
        <v>1826</v>
      </c>
      <c r="C64" s="2741">
        <f ca="1">D45</f>
        <v>3219</v>
      </c>
      <c r="D64" s="175" t="s">
        <v>32</v>
      </c>
      <c r="E64" s="177"/>
      <c r="F64" s="1945"/>
      <c r="G64" s="1945"/>
      <c r="H64" s="1947"/>
      <c r="I64" s="134"/>
      <c r="J64" s="3335"/>
      <c r="K64" s="1453" t="s">
        <v>1827</v>
      </c>
      <c r="L64" s="1453">
        <f ca="1">IF(M49&gt;2000,M49*0.5%,IF(AND(M49&gt;1000,M49&lt;=2000),M49*0.6%,IF(AND(M49&gt;500,M49&lt;=1000),M49*0.7%,IF(AND(M49&gt;200,M49&lt;=500),M49*0.8%,IF(AND(M49&gt;100,M49&lt;=200),M49*0.9%,IF(AND(M49&gt;50,M49&lt;=100),M49*1%,IF(AND(M49&gt;20,M49&lt;=50),M49*1.5%,IF(AND(M49&gt;10,M49&lt;=20),M49*2%,IF(AND(M49&gt;1,M49&lt;=10),M49*2.5%)))))))))</f>
        <v>16.094999999999999</v>
      </c>
      <c r="M64" s="308">
        <f t="shared" ref="M64:M65" ca="1" si="1">ROUND(L64,1)</f>
        <v>16.100000000000001</v>
      </c>
      <c r="N64" s="2720" t="s">
        <v>1828</v>
      </c>
      <c r="Z64" s="1889"/>
      <c r="AI64" s="1890"/>
    </row>
    <row r="65" spans="1:35" ht="14.25" customHeight="1">
      <c r="A65" s="174" t="s">
        <v>590</v>
      </c>
      <c r="B65" s="175" t="s">
        <v>1829</v>
      </c>
      <c r="C65" s="2742"/>
      <c r="D65" s="175"/>
      <c r="E65" s="177"/>
      <c r="F65" s="1945"/>
      <c r="G65" s="1945"/>
      <c r="H65" s="1947"/>
      <c r="I65" s="134"/>
      <c r="J65" s="3335"/>
      <c r="K65" s="1453" t="s">
        <v>1830</v>
      </c>
      <c r="L65" s="1453">
        <f ca="1">IF(M49&gt;1000,M49*0.1%,IF(AND(M49&gt;500,M49&lt;=1000),M49*0.5%,IF(AND(M49&gt;50,M49&lt;=500),M49*1%,IF(AND(M49&gt;1,M49&lt;=50),M49*1.5%))))</f>
        <v>3.2189999999999999</v>
      </c>
      <c r="M65" s="308">
        <f t="shared" ca="1" si="1"/>
        <v>3.2</v>
      </c>
      <c r="N65" s="2720" t="s">
        <v>1828</v>
      </c>
      <c r="Z65" s="1889"/>
      <c r="AI65" s="1890"/>
    </row>
    <row r="66" spans="1:35" ht="14.25" customHeight="1">
      <c r="A66" s="178" t="s">
        <v>591</v>
      </c>
      <c r="B66" s="179" t="s">
        <v>1831</v>
      </c>
      <c r="C66" s="2743"/>
      <c r="D66" s="179" t="s">
        <v>32</v>
      </c>
      <c r="E66" s="1460" t="s">
        <v>1096</v>
      </c>
      <c r="F66" s="1945"/>
      <c r="G66" s="1945"/>
      <c r="H66" s="1947"/>
      <c r="I66" s="134"/>
      <c r="J66" s="3335"/>
      <c r="K66" s="1453" t="s">
        <v>1832</v>
      </c>
      <c r="L66" s="1453">
        <f ca="1">M49*0.5%</f>
        <v>16.094999999999999</v>
      </c>
      <c r="M66" s="308">
        <f ca="1">IF(L66&gt;0.5,0.5,ROUND(L66,0))</f>
        <v>0.5</v>
      </c>
      <c r="N66" s="2720" t="s">
        <v>1833</v>
      </c>
      <c r="Z66" s="1889"/>
      <c r="AI66" s="1890"/>
    </row>
    <row r="67" spans="1:35" ht="14.25" customHeight="1">
      <c r="A67" s="178" t="s">
        <v>592</v>
      </c>
      <c r="B67" s="179" t="s">
        <v>1834</v>
      </c>
      <c r="C67" s="2744">
        <f ca="1">C63-C66</f>
        <v>3066</v>
      </c>
      <c r="D67" s="175" t="s">
        <v>32</v>
      </c>
      <c r="E67" s="177"/>
      <c r="F67" s="1945"/>
      <c r="G67" s="1945"/>
      <c r="H67" s="1947"/>
      <c r="I67" s="134"/>
      <c r="J67" s="3335"/>
      <c r="K67" s="1453" t="s">
        <v>1835</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1836</v>
      </c>
      <c r="C68" s="2745">
        <f ca="1">IF(C67&lt;=0,0,ROUND(C67*D68,0))</f>
        <v>169</v>
      </c>
      <c r="D68" s="2746">
        <f>'数据-取费表'!B41</f>
        <v>5.5000000000000007E-2</v>
      </c>
      <c r="E68" s="184"/>
      <c r="F68" s="1945"/>
      <c r="G68" s="1945"/>
      <c r="H68" s="1947"/>
      <c r="I68" s="134"/>
      <c r="J68" s="3335"/>
      <c r="K68" s="1453" t="s">
        <v>1837</v>
      </c>
      <c r="L68" s="1453">
        <f ca="1">IF(M49&gt;10000,M49*0.5%,IF(AND(M49&gt;5000,M49&lt;=10000),M49*1%,IF(AND(M49&gt;1000,M49&lt;=5000),M49*2%,IF(AND(M49&gt;200,M49&lt;=1000),M49*3%,M49*5%))))</f>
        <v>64.38</v>
      </c>
      <c r="M68" s="308">
        <f ca="1">ROUND(L68,1)</f>
        <v>64.400000000000006</v>
      </c>
      <c r="N68" s="2719"/>
      <c r="Z68" s="1889"/>
      <c r="AI68" s="1890"/>
    </row>
    <row r="69" spans="1:35" s="1909" customFormat="1" ht="16.5" customHeight="1">
      <c r="A69" s="1948"/>
      <c r="B69" s="1949"/>
      <c r="C69" s="1950"/>
      <c r="D69" s="1951"/>
      <c r="E69" s="1952"/>
      <c r="F69" s="1714"/>
      <c r="G69" s="1714"/>
      <c r="H69" s="1713"/>
      <c r="I69" s="1884"/>
      <c r="J69" s="3335"/>
      <c r="K69" s="1453" t="s">
        <v>1838</v>
      </c>
      <c r="L69" s="1453"/>
      <c r="M69" s="308">
        <f ca="1">ROUND(SUM(M63:M68),0)</f>
        <v>119</v>
      </c>
      <c r="N69" s="2721">
        <f ca="1">M69/M49</f>
        <v>3.6968002485243866E-2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4" thickBot="1">
      <c r="A70" s="3379" t="s">
        <v>1839</v>
      </c>
      <c r="B70" s="3380"/>
      <c r="C70" s="3380"/>
      <c r="D70" s="3380"/>
      <c r="E70" s="3380"/>
      <c r="F70" s="3380"/>
      <c r="G70" s="3380"/>
      <c r="H70" s="3380"/>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3.8">
      <c r="A71" s="3371" t="s">
        <v>1820</v>
      </c>
      <c r="B71" s="3372"/>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3.8">
      <c r="A72" s="178" t="s">
        <v>594</v>
      </c>
      <c r="B72" s="179" t="s">
        <v>1840</v>
      </c>
      <c r="C72" s="2744">
        <f ca="1">ROUND(D45/(1+'数据-取费表'!C42),0)</f>
        <v>3066</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3.8">
      <c r="A73" s="178" t="s">
        <v>591</v>
      </c>
      <c r="B73" s="168" t="s">
        <v>1841</v>
      </c>
      <c r="C73" s="2744">
        <f ca="1">C74+C78</f>
        <v>15</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28.8">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6" t="s">
        <v>1847</v>
      </c>
      <c r="F76" s="3375"/>
      <c r="G76" s="3375"/>
      <c r="H76" s="337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15</v>
      </c>
      <c r="D78" s="2753">
        <f>'数据-取费表'!B43</f>
        <v>5.000000000000001E-3</v>
      </c>
      <c r="E78" s="3368" t="s">
        <v>1851</v>
      </c>
      <c r="F78" s="3369"/>
      <c r="G78" s="3369"/>
      <c r="H78" s="337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3.8">
      <c r="A79" s="178" t="s">
        <v>598</v>
      </c>
      <c r="B79" s="179" t="s">
        <v>1852</v>
      </c>
      <c r="C79" s="2744">
        <f ca="1">C72-C73</f>
        <v>3051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203.4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6" thickBot="1">
      <c r="A81" s="181" t="s">
        <v>600</v>
      </c>
      <c r="B81" s="182" t="s">
        <v>1854</v>
      </c>
      <c r="C81" s="2755">
        <f ca="1">ROUND(IF(C79&lt;=0,0,IF(C80&gt;=200%,C79*60%-C73*35%,IF(C80&gt;=100%,C79*50%-C73*15%,IF(C80&gt;=50%,C79*40%-C73*5%,IF(C80&lt;50%,C79*30%,0))))),0)</f>
        <v>1825</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4" thickBot="1">
      <c r="A83" s="3379" t="s">
        <v>1855</v>
      </c>
      <c r="B83" s="3380"/>
      <c r="C83" s="3380"/>
      <c r="D83" s="3380"/>
      <c r="E83" s="3380"/>
      <c r="F83" s="3380"/>
      <c r="G83" s="3380"/>
      <c r="H83" s="338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3.8">
      <c r="A84" s="3371" t="s">
        <v>1820</v>
      </c>
      <c r="B84" s="337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3.8">
      <c r="A85" s="178" t="s">
        <v>594</v>
      </c>
      <c r="B85" s="179" t="s">
        <v>1840</v>
      </c>
      <c r="C85" s="2744">
        <f ca="1">ROUND(D45/(1+'数据-取费表'!C42),0)</f>
        <v>3066</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3.8">
      <c r="A86" s="178" t="s">
        <v>591</v>
      </c>
      <c r="B86" s="168" t="s">
        <v>1841</v>
      </c>
      <c r="C86" s="2744">
        <f ca="1">IF(H88="仅含出让金",C87+C90+C91+C92+C93+C94,C87+C91+C92+C93+C94)</f>
        <v>15</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3.8">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4">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3.8">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4">
      <c r="A90" s="174" t="s">
        <v>590</v>
      </c>
      <c r="B90" s="175" t="s">
        <v>1861</v>
      </c>
      <c r="C90" s="2758"/>
      <c r="D90" s="2753"/>
      <c r="E90" s="199" t="str">
        <f>IF(H88="-","土地取得成本中已包含该笔费用"," ")</f>
        <v xml:space="preserve"> </v>
      </c>
      <c r="F90" s="2501"/>
      <c r="G90" s="3337" t="s">
        <v>2630</v>
      </c>
      <c r="H90" s="3338"/>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8" t="s">
        <v>1864</v>
      </c>
      <c r="F91" s="3369"/>
      <c r="G91" s="336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8" t="s">
        <v>1867</v>
      </c>
      <c r="F92" s="3369"/>
      <c r="G92" s="3369"/>
      <c r="H92" s="3370"/>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15</v>
      </c>
      <c r="D93" s="2753">
        <f>'数据-取费表'!B43</f>
        <v>5.000000000000001E-3</v>
      </c>
      <c r="E93" s="3368" t="s">
        <v>1851</v>
      </c>
      <c r="F93" s="3369"/>
      <c r="G93" s="3369"/>
      <c r="H93" s="337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6" t="s">
        <v>1871</v>
      </c>
      <c r="F94" s="3417"/>
      <c r="G94" s="3417"/>
      <c r="H94" s="341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3.8">
      <c r="A95" s="178" t="s">
        <v>598</v>
      </c>
      <c r="B95" s="179" t="s">
        <v>1852</v>
      </c>
      <c r="C95" s="2744">
        <f ca="1">ROUND(C85-C86,0)</f>
        <v>3051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203.4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6" thickBot="1">
      <c r="A97" s="181" t="s">
        <v>600</v>
      </c>
      <c r="B97" s="182" t="s">
        <v>1854</v>
      </c>
      <c r="C97" s="2755">
        <f ca="1">ROUND(IF(C95&lt;=0,0,IF(C96&gt;=200%,C95*60%-C86*35%,IF(C96&gt;=100%,C95*50%-C86*15%,IF(C96&gt;=50%,C95*40%-C86*5%,IF(C96&lt;50%,C95*30%,0))))),0)</f>
        <v>1825</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8" t="s">
        <v>1873</v>
      </c>
      <c r="B100" s="3319"/>
      <c r="C100" s="3319"/>
      <c r="D100" s="3353"/>
      <c r="E100" s="3319" t="s">
        <v>1874</v>
      </c>
      <c r="F100" s="3319"/>
      <c r="G100" s="3319"/>
      <c r="H100" s="3353"/>
      <c r="I100" s="134"/>
    </row>
    <row r="101" spans="1:35" ht="18.75" customHeight="1">
      <c r="A101" s="3361" t="s">
        <v>1875</v>
      </c>
      <c r="B101" s="3362"/>
      <c r="C101" s="2761" t="str">
        <f>C4</f>
        <v>成本法</v>
      </c>
      <c r="D101" s="2762" t="str">
        <f>D4</f>
        <v>收益法</v>
      </c>
      <c r="E101" s="3331" t="s">
        <v>1876</v>
      </c>
      <c r="F101" s="3332"/>
      <c r="G101" s="1964" t="s">
        <v>1877</v>
      </c>
      <c r="H101" s="2771">
        <f ca="1">H118</f>
        <v>3219</v>
      </c>
      <c r="I101" s="134"/>
    </row>
    <row r="102" spans="1:35" ht="18.75" customHeight="1">
      <c r="A102" s="3363" t="s">
        <v>1878</v>
      </c>
      <c r="B102" s="2760" t="s">
        <v>1877</v>
      </c>
      <c r="C102" s="2761">
        <f ca="1">C19</f>
        <v>5464</v>
      </c>
      <c r="D102" s="2762">
        <f ca="1">D19</f>
        <v>1723</v>
      </c>
      <c r="E102" s="3331"/>
      <c r="F102" s="3332"/>
      <c r="G102" s="1964" t="s">
        <v>1879</v>
      </c>
      <c r="H102" s="2731">
        <f ca="1">I118</f>
        <v>2728</v>
      </c>
      <c r="I102" s="134"/>
    </row>
    <row r="103" spans="1:35" ht="42.75" customHeight="1">
      <c r="A103" s="3363"/>
      <c r="B103" s="2760" t="s">
        <v>1879</v>
      </c>
      <c r="C103" s="2763">
        <f ca="1">C20</f>
        <v>4631</v>
      </c>
      <c r="D103" s="2764">
        <f ca="1">D20</f>
        <v>1460</v>
      </c>
      <c r="E103" s="3324" t="s">
        <v>1880</v>
      </c>
      <c r="F103" s="3325"/>
      <c r="G103" s="1965" t="s">
        <v>1881</v>
      </c>
      <c r="H103" s="2771">
        <f>IF(D36="正常操作",H104+H105+H106,H105+H106)</f>
        <v>0</v>
      </c>
      <c r="I103" s="134"/>
    </row>
    <row r="104" spans="1:35" ht="18.75" customHeight="1">
      <c r="A104" s="3363" t="s">
        <v>1882</v>
      </c>
      <c r="B104" s="2765" t="s">
        <v>1877</v>
      </c>
      <c r="C104" s="2766">
        <f ca="1">H118</f>
        <v>3219</v>
      </c>
      <c r="D104" s="2767"/>
      <c r="E104" s="1811" t="s">
        <v>1883</v>
      </c>
      <c r="F104" s="1802"/>
      <c r="G104" s="1965" t="s">
        <v>1881</v>
      </c>
      <c r="H104" s="2772">
        <f>IF(D36="同一抵押权人同一抵押物续贷",C36&amp;"（续贷，未扣减，详见特别提示）",C36)</f>
        <v>0</v>
      </c>
      <c r="I104" s="134"/>
    </row>
    <row r="105" spans="1:35" ht="18.75" customHeight="1" thickBot="1">
      <c r="A105" s="3373"/>
      <c r="B105" s="2768" t="s">
        <v>1879</v>
      </c>
      <c r="C105" s="2769">
        <f ca="1">I118</f>
        <v>2728</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4" t="str">
        <f>IF(项目基本情况!E8="已注销","——","3.房地产抵押价值")</f>
        <v>3.房地产抵押价值</v>
      </c>
      <c r="F107" s="3332"/>
      <c r="G107" s="1964" t="s">
        <v>1877</v>
      </c>
      <c r="H107" s="2771">
        <f ca="1">IF(E107="——","——",H101-H103)</f>
        <v>3219</v>
      </c>
      <c r="I107" s="134"/>
    </row>
    <row r="108" spans="1:35" ht="18.75" customHeight="1">
      <c r="A108" s="134"/>
      <c r="B108" s="134"/>
      <c r="C108" s="134"/>
      <c r="D108" s="134"/>
      <c r="E108" s="3364"/>
      <c r="F108" s="3332"/>
      <c r="G108" s="1964" t="s">
        <v>1879</v>
      </c>
      <c r="H108" s="2731">
        <f ca="1">ROUND(H107*10000/'数据-汇总表'!E3,0)</f>
        <v>2728</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32"/>
      <c r="G109" s="1964" t="s">
        <v>1877</v>
      </c>
      <c r="H109" s="2774" t="str">
        <f>IF(E109="——","——",H101-H105-H106)</f>
        <v>——</v>
      </c>
      <c r="I109" s="134"/>
    </row>
    <row r="110" spans="1:35" ht="18.75" customHeight="1">
      <c r="A110" s="134"/>
      <c r="B110" s="134"/>
      <c r="C110" s="134"/>
      <c r="D110" s="134"/>
      <c r="E110" s="3364"/>
      <c r="F110" s="3332"/>
      <c r="G110" s="1964" t="s">
        <v>1879</v>
      </c>
      <c r="H110" s="2731" t="str">
        <f>IF(H109="——","——",ROUND(H109*10000/'数据-汇总表'!E3,0))</f>
        <v>——</v>
      </c>
      <c r="I110" s="134"/>
    </row>
    <row r="111" spans="1:35" ht="18.75" customHeight="1">
      <c r="A111" s="134"/>
      <c r="B111" s="134"/>
      <c r="C111" s="134"/>
      <c r="D111" s="134"/>
      <c r="E111" s="3365" t="str">
        <f>IF(项目基本情况!E9="抵押净值",IF(OR(项目基本情况!E8="已注销",项目基本情况!E8="房地产抵押价值"),"4.抵押净值","5.抵押净值"),"——")</f>
        <v>——</v>
      </c>
      <c r="F111" s="3351"/>
      <c r="G111" s="1964" t="s">
        <v>1877</v>
      </c>
      <c r="H111" s="2771" t="str">
        <f>IF(E111="——","——",N59)</f>
        <v>——</v>
      </c>
      <c r="I111" s="134"/>
    </row>
    <row r="112" spans="1:35" ht="18.75" customHeight="1" thickBot="1">
      <c r="A112" s="134"/>
      <c r="B112" s="134"/>
      <c r="C112" s="134"/>
      <c r="D112" s="134"/>
      <c r="E112" s="3366"/>
      <c r="F112" s="3367"/>
      <c r="G112" s="1967" t="s">
        <v>1879</v>
      </c>
      <c r="H112" s="2775" t="str">
        <f>IF(E111="——","——",N61)</f>
        <v>——</v>
      </c>
      <c r="I112" s="134"/>
    </row>
    <row r="113" spans="1:27" ht="18.75" customHeight="1">
      <c r="A113" s="134"/>
      <c r="B113" s="134"/>
      <c r="C113" s="134"/>
      <c r="D113" s="134"/>
      <c r="E113" s="3374" t="s">
        <v>1885</v>
      </c>
      <c r="F113" s="3374"/>
      <c r="G113" s="3374"/>
      <c r="H113" s="3374"/>
      <c r="I113" s="134"/>
    </row>
    <row r="114" spans="1:27" ht="3.75" customHeight="1">
      <c r="A114" s="1884"/>
      <c r="B114" s="1884"/>
      <c r="C114" s="1884"/>
      <c r="D114" s="1884"/>
      <c r="E114" s="1946"/>
      <c r="F114" s="1946"/>
      <c r="G114" s="1946"/>
      <c r="H114" s="1946"/>
      <c r="I114" s="1884"/>
    </row>
    <row r="115" spans="1:27" ht="18.75" customHeight="1">
      <c r="A115" s="3385" t="s">
        <v>1887</v>
      </c>
      <c r="B115" s="3386"/>
      <c r="C115" s="3386"/>
      <c r="D115" s="3386"/>
      <c r="E115" s="3386"/>
      <c r="F115" s="3386"/>
      <c r="G115" s="3386"/>
      <c r="H115" s="3386"/>
      <c r="I115" s="3387"/>
    </row>
    <row r="116" spans="1:27" ht="27" customHeight="1">
      <c r="A116" s="3339" t="s">
        <v>1888</v>
      </c>
      <c r="B116" s="3343" t="s">
        <v>1889</v>
      </c>
      <c r="C116" s="3343" t="s">
        <v>1890</v>
      </c>
      <c r="D116" s="3349" t="s">
        <v>1891</v>
      </c>
      <c r="E116" s="3350"/>
      <c r="F116" s="3381" t="s">
        <v>1892</v>
      </c>
      <c r="G116" s="3381"/>
      <c r="H116" s="3339" t="s">
        <v>1893</v>
      </c>
      <c r="I116" s="3339"/>
    </row>
    <row r="117" spans="1:27" ht="18.75" customHeight="1">
      <c r="A117" s="3339"/>
      <c r="B117" s="3344"/>
      <c r="C117" s="3344"/>
      <c r="D117" s="2503" t="s">
        <v>1894</v>
      </c>
      <c r="E117" s="2503" t="s">
        <v>1895</v>
      </c>
      <c r="F117" s="2503" t="s">
        <v>1894</v>
      </c>
      <c r="G117" s="2503" t="s">
        <v>1896</v>
      </c>
      <c r="H117" s="2503" t="s">
        <v>1894</v>
      </c>
      <c r="I117" s="2503" t="s">
        <v>1896</v>
      </c>
    </row>
    <row r="118" spans="1:27" ht="24.75" customHeight="1">
      <c r="A118" s="2776" t="str">
        <f>项目基本情况!S2</f>
        <v>房地产</v>
      </c>
      <c r="B118" s="2503">
        <f>M18</f>
        <v>11798.5</v>
      </c>
      <c r="C118" s="2503">
        <f>M19</f>
        <v>41059.64</v>
      </c>
      <c r="D118" s="2503">
        <f ca="1">ROUND(IF(D32="总价",C34,E118*B118/10000),0)</f>
        <v>2308</v>
      </c>
      <c r="E118" s="2503">
        <f ca="1">ROUND(IF(C33="自定义",IF(D32="楼面单价",C34,D118*10000/B118),I118-G118),0)</f>
        <v>1956</v>
      </c>
      <c r="F118" s="2503">
        <f ca="1">ROUND(IF(D32="总价",C35,G118*B118/10000),0)</f>
        <v>911</v>
      </c>
      <c r="G118" s="2503">
        <f ca="1">ROUND(IF(D32="楼面单价",C35,F118*10000/B118),0)</f>
        <v>772</v>
      </c>
      <c r="H118" s="2503">
        <f ca="1">ROUND(IF(D32="总价",C32,I118*B118/10000),0)</f>
        <v>3219</v>
      </c>
      <c r="I118" s="2503">
        <f ca="1">ROUND(IF(D32="楼面单价",C32,H118*10000/B118),0)</f>
        <v>2728</v>
      </c>
    </row>
    <row r="119" spans="1:27" ht="18.75" customHeight="1">
      <c r="A119" s="3339" t="s">
        <v>1897</v>
      </c>
      <c r="B119" s="3339"/>
      <c r="C119" s="3339"/>
      <c r="D119" s="3345" t="str">
        <f ca="1">NUMBERSTRING(INT(D118*10000),2)&amp;"元整"</f>
        <v>贰仟叁佰零捌万元整</v>
      </c>
      <c r="E119" s="3346"/>
      <c r="F119" s="3345" t="str">
        <f ca="1">NUMBERSTRING(INT(F118*10000),2)&amp;"元整"</f>
        <v>玖佰壹拾壹万元整</v>
      </c>
      <c r="G119" s="3346"/>
      <c r="H119" s="3345" t="str">
        <f ca="1">NUMBERSTRING(INT(H118*10000),2)&amp;"元整"</f>
        <v>叁仟贰佰壹拾玖万元整</v>
      </c>
      <c r="I119" s="3346"/>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2" t="s">
        <v>1897</v>
      </c>
      <c r="B121" s="3383"/>
      <c r="C121" s="3384"/>
      <c r="D121" s="3345" t="str">
        <f>IF(D120=0,"零元整",NUMBERSTRING(INT(D120*10000),2)&amp;"元整")</f>
        <v>零元整</v>
      </c>
      <c r="E121" s="3347"/>
      <c r="F121" s="3347"/>
      <c r="G121" s="3347"/>
      <c r="H121" s="3347"/>
      <c r="I121" s="3346"/>
      <c r="AA121" s="734"/>
    </row>
    <row r="122" spans="1:27" ht="18.75" customHeight="1">
      <c r="A122" s="3351" t="str">
        <f>IF(项目基本情况!B9="房地产市场价值","",MID(E107,3,LEN(E107)-2))</f>
        <v>房地产抵押价值</v>
      </c>
      <c r="B122" s="3351"/>
      <c r="C122" s="3351"/>
      <c r="D122" s="3340">
        <f ca="1">H107</f>
        <v>3219</v>
      </c>
      <c r="E122" s="3341"/>
      <c r="F122" s="3341"/>
      <c r="G122" s="3341"/>
      <c r="H122" s="3341"/>
      <c r="I122" s="3342"/>
      <c r="AA122" s="734"/>
    </row>
    <row r="123" spans="1:27" ht="18.75" customHeight="1">
      <c r="A123" s="3339" t="s">
        <v>1897</v>
      </c>
      <c r="B123" s="3339"/>
      <c r="C123" s="3339"/>
      <c r="D123" s="3345" t="str">
        <f ca="1">NUMBERSTRING(INT(D122*10000),2)&amp;"元整"</f>
        <v>叁仟贰佰壹拾玖万元整</v>
      </c>
      <c r="E123" s="3347"/>
      <c r="F123" s="3347"/>
      <c r="G123" s="3347"/>
      <c r="H123" s="3347"/>
      <c r="I123" s="3346"/>
      <c r="AA123" s="734"/>
    </row>
    <row r="124" spans="1:27" ht="18.75" customHeight="1">
      <c r="A124" s="3351" t="str">
        <f>IF(项目基本情况!B9="房地产市场价值","",MID(E109,3,LEN(E109)-2))</f>
        <v/>
      </c>
      <c r="B124" s="3351"/>
      <c r="C124" s="3351"/>
      <c r="D124" s="3340" t="str">
        <f>H109</f>
        <v>——</v>
      </c>
      <c r="E124" s="3341"/>
      <c r="F124" s="3341"/>
      <c r="G124" s="3341"/>
      <c r="H124" s="3341"/>
      <c r="I124" s="3342"/>
      <c r="AA124" s="734"/>
    </row>
    <row r="125" spans="1:27" ht="18.75" customHeight="1">
      <c r="A125" s="3339" t="s">
        <v>1897</v>
      </c>
      <c r="B125" s="3339"/>
      <c r="C125" s="3339"/>
      <c r="D125" s="3345" t="e">
        <f>NUMBERSTRING(INT(D124*10000),2)&amp;"元整"</f>
        <v>#VALUE!</v>
      </c>
      <c r="E125" s="3347"/>
      <c r="F125" s="3347"/>
      <c r="G125" s="3347"/>
      <c r="H125" s="3347"/>
      <c r="I125" s="3346"/>
      <c r="AA125" s="734"/>
    </row>
    <row r="126" spans="1:27" ht="18.75" customHeight="1">
      <c r="A126" s="3351" t="str">
        <f>IF(项目基本情况!B9="房地产市场价值","",MID(E111,3,LEN(E111)-2))</f>
        <v/>
      </c>
      <c r="B126" s="3351"/>
      <c r="C126" s="3351"/>
      <c r="D126" s="3340" t="str">
        <f>H111</f>
        <v>——</v>
      </c>
      <c r="E126" s="3341"/>
      <c r="F126" s="3341"/>
      <c r="G126" s="3341"/>
      <c r="H126" s="3341"/>
      <c r="I126" s="3342"/>
      <c r="AA126" s="734"/>
    </row>
    <row r="127" spans="1:27" ht="18.75" customHeight="1">
      <c r="A127" s="3339" t="s">
        <v>1897</v>
      </c>
      <c r="B127" s="3339"/>
      <c r="C127" s="3339"/>
      <c r="D127" s="3345" t="e">
        <f>NUMBERSTRING(INT(D126*10000),2)&amp;"元整"</f>
        <v>#VALUE!</v>
      </c>
      <c r="E127" s="3347"/>
      <c r="F127" s="3347"/>
      <c r="G127" s="3347"/>
      <c r="H127" s="3347"/>
      <c r="I127" s="3346"/>
      <c r="AA127" s="734"/>
    </row>
    <row r="128" spans="1:27" ht="21.75" customHeight="1">
      <c r="A128" s="3348" t="s">
        <v>1898</v>
      </c>
      <c r="B128" s="3348"/>
      <c r="C128" s="3348"/>
      <c r="D128" s="3348"/>
      <c r="E128" s="3348"/>
      <c r="F128" s="3348"/>
      <c r="G128" s="3348"/>
      <c r="H128" s="3348"/>
      <c r="I128" s="3348"/>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8" sqref="K48"/>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5464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4631</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 ca="1">C6+C7+C8</f>
        <v>3114</v>
      </c>
      <c r="D5" s="217" t="s">
        <v>1914</v>
      </c>
      <c r="E5" s="218" t="s">
        <v>1915</v>
      </c>
      <c r="F5" s="218" t="s">
        <v>1916</v>
      </c>
      <c r="G5" s="219"/>
    </row>
    <row r="6" spans="1:9" s="220" customFormat="1" ht="13.5" customHeight="1">
      <c r="A6" s="867" t="s">
        <v>1917</v>
      </c>
      <c r="B6" s="221" t="s">
        <v>1918</v>
      </c>
      <c r="C6" s="222">
        <f>[2]基准地价修正!$B$2</f>
        <v>2850</v>
      </c>
      <c r="D6" s="223"/>
      <c r="E6" s="224"/>
      <c r="F6" s="224"/>
      <c r="G6" s="225"/>
    </row>
    <row r="7" spans="1:9" s="220" customFormat="1" ht="13.5" customHeight="1">
      <c r="A7" s="867" t="s">
        <v>1919</v>
      </c>
      <c r="B7" s="221" t="s">
        <v>1920</v>
      </c>
      <c r="C7" s="226">
        <f>ROUND(C6*F7,0)</f>
        <v>87</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177</v>
      </c>
      <c r="D8" s="228"/>
      <c r="E8" s="226"/>
      <c r="F8" s="227"/>
      <c r="G8" s="1993" t="s">
        <v>3189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100</v>
      </c>
      <c r="F9" s="227"/>
      <c r="G9" s="1994" t="s">
        <v>3190</v>
      </c>
      <c r="H9" s="1252"/>
      <c r="I9" s="1995" t="s">
        <v>1924</v>
      </c>
    </row>
    <row r="10" spans="1:9" s="220" customFormat="1" ht="13.5" customHeight="1">
      <c r="A10" s="868" t="s">
        <v>620</v>
      </c>
      <c r="B10" s="230" t="s">
        <v>1925</v>
      </c>
      <c r="C10" s="231">
        <f ca="1">ROUND(D10*E10/10000,0)</f>
        <v>177</v>
      </c>
      <c r="D10" s="935">
        <f ca="1">IF(B1="",'数据-汇总表'!E6,IF(INDIRECT("'数据-取费表'!c"&amp;$G$1)="住宅",INDIRECT("'数据-取费表'!s"&amp;$G$1),INDIRECT("'数据-取费表'!k"&amp;$G$1)+INDIRECT("'数据-取费表'!s"&amp;$G$1)))</f>
        <v>11798.5</v>
      </c>
      <c r="E10" s="231">
        <f>'数据-取费表'!B28</f>
        <v>150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11798.5</v>
      </c>
      <c r="E19" s="217">
        <f>'数据-取费表'!B31</f>
        <v>200</v>
      </c>
      <c r="F19" s="237"/>
      <c r="G19" s="1993" t="s">
        <v>3191</v>
      </c>
    </row>
    <row r="20" spans="1:7" s="220" customFormat="1" ht="13.5" customHeight="1">
      <c r="A20" s="261" t="s">
        <v>1938</v>
      </c>
      <c r="B20" s="216" t="s">
        <v>1939</v>
      </c>
      <c r="C20" s="238">
        <f ca="1">ROUND((C5+C19)*F20,0)</f>
        <v>62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130</v>
      </c>
      <c r="D22" s="241">
        <f ca="1">C26</f>
        <v>4.0000000000000002E-4</v>
      </c>
      <c r="E22" s="242" t="s">
        <v>1943</v>
      </c>
      <c r="F22" s="243">
        <f ca="1">'数据-取费表'!B40</f>
        <v>4.1499999999999995E-2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129</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6.4">
      <c r="A27" s="261" t="s">
        <v>1957</v>
      </c>
      <c r="B27" s="250" t="s">
        <v>1958</v>
      </c>
      <c r="C27" s="251">
        <f ca="1">C28</f>
        <v>318</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318</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3917</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2086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1770</v>
      </c>
      <c r="D34" s="223"/>
      <c r="E34" s="226"/>
      <c r="F34" s="263">
        <f ca="1">IF('数据-取费表'!B24=0,1,IF(B1="",'数据-取费表'!N16,INDIRECT("'数据-取费表'!n"&amp;$G$1)))</f>
        <v>1</v>
      </c>
      <c r="G34" s="225" t="s">
        <v>1971</v>
      </c>
    </row>
    <row r="35" spans="1:7" ht="13.5" customHeight="1">
      <c r="A35" s="869" t="s">
        <v>615</v>
      </c>
      <c r="B35" s="221" t="s">
        <v>1972</v>
      </c>
      <c r="C35" s="226">
        <f ca="1">ROUND(C34*F35,0)</f>
        <v>53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236</v>
      </c>
      <c r="D37" s="223">
        <f ca="1">D19</f>
        <v>11798.5</v>
      </c>
      <c r="E37" s="255">
        <f>'数据-取费表'!B35</f>
        <v>200</v>
      </c>
      <c r="F37" s="265"/>
      <c r="G37" s="267" t="s">
        <v>1977</v>
      </c>
    </row>
    <row r="38" spans="1:7" ht="13.5" customHeight="1">
      <c r="A38" s="869" t="s">
        <v>618</v>
      </c>
      <c r="B38" s="221" t="s">
        <v>1978</v>
      </c>
      <c r="C38" s="226">
        <f ca="1">ROUND(C34*F38,0)</f>
        <v>27</v>
      </c>
      <c r="D38" s="226"/>
      <c r="E38" s="226"/>
      <c r="F38" s="265">
        <f>'数据-取费表'!B36</f>
        <v>1.4999999999999999E-2</v>
      </c>
      <c r="G38" s="225" t="s">
        <v>1973</v>
      </c>
    </row>
    <row r="39" spans="1:7" s="220" customFormat="1" ht="13.5" customHeight="1">
      <c r="A39" s="261" t="s">
        <v>1979</v>
      </c>
      <c r="B39" s="216" t="s">
        <v>1980</v>
      </c>
      <c r="C39" s="238">
        <f ca="1">ROUND(C33*F20,0)</f>
        <v>42</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44</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43</v>
      </c>
      <c r="D42" s="244"/>
      <c r="E42" s="244"/>
      <c r="F42" s="245"/>
      <c r="G42" s="3421" t="s">
        <v>1989</v>
      </c>
    </row>
    <row r="43" spans="1:7" ht="13.5" customHeight="1">
      <c r="A43" s="869" t="s">
        <v>611</v>
      </c>
      <c r="B43" s="221" t="s">
        <v>1990</v>
      </c>
      <c r="C43" s="244">
        <f ca="1">ROUND(IF('数据-取费表'!B22&lt;=1,C39*F22*'数据-取费表'!B21/2,C39*(POWER((1+F22),'数据-取费表'!B21/2)-1)),0)</f>
        <v>1</v>
      </c>
      <c r="D43" s="244"/>
      <c r="E43" s="244"/>
      <c r="F43" s="245"/>
      <c r="G43" s="3422"/>
    </row>
    <row r="44" spans="1:7" ht="13.5" customHeight="1">
      <c r="A44" s="869" t="s">
        <v>612</v>
      </c>
      <c r="B44" s="221" t="s">
        <v>1991</v>
      </c>
      <c r="C44" s="244">
        <f ca="1">ROUND(IF('数据-取费表'!B22&lt;=1,C40*F22*'数据-取费表'!B21/2,C40*(POWER((1+F22),'数据-取费表'!B21/2)-1)),4)</f>
        <v>4.0000000000000002E-4</v>
      </c>
      <c r="D44" s="244"/>
      <c r="E44" s="244"/>
      <c r="F44" s="245"/>
      <c r="G44" s="3423"/>
    </row>
    <row r="45" spans="1:7" s="220" customFormat="1" ht="13.5" customHeight="1">
      <c r="A45" s="261" t="s">
        <v>1992</v>
      </c>
      <c r="B45" s="250" t="s">
        <v>1958</v>
      </c>
      <c r="C45" s="251">
        <f ca="1">C46</f>
        <v>213</v>
      </c>
      <c r="D45" s="241">
        <f ca="1">C47</f>
        <v>2E-3</v>
      </c>
      <c r="E45" s="242" t="s">
        <v>1984</v>
      </c>
      <c r="F45" s="2488">
        <f ca="1">F27</f>
        <v>0.1</v>
      </c>
      <c r="G45" s="253" t="s">
        <v>1993</v>
      </c>
    </row>
    <row r="46" spans="1:7" s="220" customFormat="1" ht="13.5" customHeight="1">
      <c r="A46" s="869" t="s">
        <v>610</v>
      </c>
      <c r="B46" s="254" t="s">
        <v>1994</v>
      </c>
      <c r="C46" s="255">
        <f ca="1">ROUND((C33+C39)*F27,0)</f>
        <v>213</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2578</v>
      </c>
      <c r="D49" s="238"/>
      <c r="E49" s="238"/>
      <c r="F49" s="270"/>
      <c r="G49" s="240" t="s">
        <v>1999</v>
      </c>
    </row>
    <row r="50" spans="1:7" s="264" customFormat="1" ht="24">
      <c r="A50" s="261" t="s">
        <v>2000</v>
      </c>
      <c r="B50" s="216" t="s">
        <v>2001</v>
      </c>
      <c r="C50" s="238"/>
      <c r="D50" s="238"/>
      <c r="E50" s="238"/>
      <c r="F50" s="270">
        <f>IF('数据-取费表'!B24=0,'数据-取费表'!N16,1)</f>
        <v>0.6</v>
      </c>
      <c r="G50" s="253" t="s">
        <v>2002</v>
      </c>
    </row>
    <row r="51" spans="1:7" ht="16.5" customHeight="1">
      <c r="A51" s="261" t="s">
        <v>2003</v>
      </c>
      <c r="B51" s="216" t="s">
        <v>2004</v>
      </c>
      <c r="C51" s="238">
        <f ca="1">ROUND(C49*F50,0)</f>
        <v>1547</v>
      </c>
      <c r="D51" s="238"/>
      <c r="E51" s="238"/>
      <c r="F51" s="270"/>
      <c r="G51" s="240" t="s">
        <v>2005</v>
      </c>
    </row>
    <row r="52" spans="1:7" s="214" customFormat="1" ht="16.8" thickBot="1">
      <c r="A52" s="271" t="s">
        <v>2006</v>
      </c>
      <c r="B52" s="272"/>
      <c r="C52" s="273">
        <f ca="1">C31+C51</f>
        <v>5464</v>
      </c>
      <c r="D52" s="272"/>
      <c r="E52" s="272"/>
      <c r="F52" s="272"/>
      <c r="G52" s="274"/>
    </row>
    <row r="55" spans="1:7" ht="15">
      <c r="B55" s="276" t="s">
        <v>2007</v>
      </c>
      <c r="C55" s="277"/>
    </row>
    <row r="56" spans="1:7">
      <c r="B56" s="279" t="s">
        <v>1237</v>
      </c>
      <c r="C56" s="281">
        <f ca="1">1-C57</f>
        <v>0.71700000000000008</v>
      </c>
    </row>
    <row r="57" spans="1:7">
      <c r="B57" s="279" t="s">
        <v>1238</v>
      </c>
      <c r="C57" s="280">
        <f ca="1">ROUND(C51/C52,3)</f>
        <v>0.28299999999999997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3" customWidth="1"/>
    <col min="2" max="9" width="10" style="933" customWidth="1"/>
    <col min="10" max="16384" width="9" style="933"/>
  </cols>
  <sheetData>
    <row r="36" spans="1:9">
      <c r="A36" s="932" t="s">
        <v>637</v>
      </c>
      <c r="B36" s="932" t="s">
        <v>638</v>
      </c>
    </row>
    <row r="37" spans="1:9" ht="27.75" customHeight="1">
      <c r="A37" s="932"/>
      <c r="B37" s="3232" t="str">
        <f>项目基本情况!B1</f>
        <v>房地产抵押价值预评估</v>
      </c>
      <c r="C37" s="3232"/>
      <c r="D37" s="3232"/>
      <c r="E37" s="3232"/>
      <c r="F37" s="3232"/>
      <c r="G37" s="3232"/>
      <c r="H37" s="3232"/>
      <c r="I37" s="3232"/>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2065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1750</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1769775</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1769775</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100</v>
      </c>
      <c r="F9" s="227"/>
      <c r="G9" s="232"/>
    </row>
    <row r="10" spans="1:8" s="220" customFormat="1" ht="13.5" customHeight="1">
      <c r="A10" s="868" t="s">
        <v>620</v>
      </c>
      <c r="B10" s="230" t="s">
        <v>1925</v>
      </c>
      <c r="C10" s="231">
        <f ca="1">ROUND(D10*E10,0)</f>
        <v>1769775</v>
      </c>
      <c r="D10" s="935">
        <f ca="1">IF(B1="",'数据-汇总表'!E6,IF(INDIRECT("'数据-取费表'!c"&amp;$G$1)="住宅",INDIRECT("'数据-取费表'!s"&amp;$G$1),INDIRECT("'数据-取费表'!k"&amp;$G$1)+INDIRECT("'数据-取费表'!s"&amp;$G$1)))</f>
        <v>11798.5</v>
      </c>
      <c r="E10" s="231">
        <f>'数据-取费表'!B28</f>
        <v>150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2359700</v>
      </c>
      <c r="D19" s="939">
        <f ca="1">D9+D10</f>
        <v>11798.5</v>
      </c>
      <c r="E19" s="217">
        <f>'数据-取费表'!B31</f>
        <v>200</v>
      </c>
      <c r="F19" s="237"/>
      <c r="G19" s="1993"/>
    </row>
    <row r="20" spans="1:7" s="220" customFormat="1" ht="13.5" customHeight="1">
      <c r="A20" s="261" t="s">
        <v>2019</v>
      </c>
      <c r="B20" s="216" t="s">
        <v>2020</v>
      </c>
      <c r="C20" s="238">
        <f ca="1">ROUND((C5+C19)*F20,0)</f>
        <v>82590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173088</v>
      </c>
      <c r="D22" s="241">
        <f ca="1">C26</f>
        <v>4.0000000000000002E-4</v>
      </c>
      <c r="E22" s="242" t="s">
        <v>2024</v>
      </c>
      <c r="F22" s="243">
        <f ca="1">'数据-取费表'!B40</f>
        <v>4.1499999999999995E-2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73446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97928</v>
      </c>
      <c r="D24" s="244"/>
      <c r="E24" s="244"/>
      <c r="F24" s="245"/>
      <c r="G24" s="246" t="s">
        <v>2031</v>
      </c>
    </row>
    <row r="25" spans="1:7" s="220" customFormat="1" ht="24">
      <c r="A25" s="869" t="s">
        <v>1921</v>
      </c>
      <c r="B25" s="221" t="s">
        <v>2032</v>
      </c>
      <c r="C25" s="1243">
        <f ca="1">ROUND(IF('数据-取费表'!B22&lt;=1,C20*F22*'数据-取费表'!B22/2,C20*(POWER((1+F22),'数据-取费表'!B22/2)-1)),0)</f>
        <v>1714</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6.4">
      <c r="A27" s="261" t="s">
        <v>1957</v>
      </c>
      <c r="B27" s="250" t="s">
        <v>1958</v>
      </c>
      <c r="C27" s="251">
        <f ca="1">C28</f>
        <v>421207</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421207</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5194942</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20853849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17697750</v>
      </c>
      <c r="D34" s="223"/>
      <c r="E34" s="226"/>
      <c r="F34" s="263"/>
      <c r="G34" s="225"/>
    </row>
    <row r="35" spans="1:7" ht="13.5" customHeight="1">
      <c r="A35" s="869" t="s">
        <v>615</v>
      </c>
      <c r="B35" s="221" t="s">
        <v>1972</v>
      </c>
      <c r="C35" s="226">
        <f ca="1">ROUND(C34*F35,0)</f>
        <v>530933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2359700</v>
      </c>
      <c r="D37" s="223">
        <f ca="1">D19</f>
        <v>11798.5</v>
      </c>
      <c r="E37" s="255">
        <f>'数据-取费表'!B35</f>
        <v>200</v>
      </c>
      <c r="F37" s="265"/>
      <c r="G37" s="267"/>
    </row>
    <row r="38" spans="1:7" ht="13.5" customHeight="1">
      <c r="A38" s="869" t="s">
        <v>618</v>
      </c>
      <c r="B38" s="221" t="s">
        <v>1978</v>
      </c>
      <c r="C38" s="226">
        <f ca="1">ROUND(C34*F38,0)</f>
        <v>265466</v>
      </c>
      <c r="D38" s="226"/>
      <c r="E38" s="226"/>
      <c r="F38" s="265">
        <f>'数据-取费表'!B36</f>
        <v>1.4999999999999999E-2</v>
      </c>
      <c r="G38" s="225" t="s">
        <v>1973</v>
      </c>
    </row>
    <row r="39" spans="1:7" s="220" customFormat="1" ht="13.5" customHeight="1">
      <c r="A39" s="261" t="s">
        <v>1979</v>
      </c>
      <c r="B39" s="216" t="s">
        <v>1980</v>
      </c>
      <c r="C39" s="238">
        <f ca="1">ROUND(C33*F20,0)</f>
        <v>417077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441371</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432717</v>
      </c>
      <c r="D42" s="244"/>
      <c r="E42" s="244"/>
      <c r="F42" s="245"/>
      <c r="G42" s="3421" t="s">
        <v>2036</v>
      </c>
    </row>
    <row r="43" spans="1:7" ht="13.5" customHeight="1">
      <c r="A43" s="869" t="s">
        <v>611</v>
      </c>
      <c r="B43" s="221" t="s">
        <v>1990</v>
      </c>
      <c r="C43" s="244">
        <f ca="1">ROUND(IF('数据-取费表'!B22&lt;=1,C39*F22*'数据-取费表'!B20/2,C39*(POWER((1+F22),'数据-取费表'!B20/2)-1)),0)</f>
        <v>8654</v>
      </c>
      <c r="D43" s="244"/>
      <c r="E43" s="244"/>
      <c r="F43" s="245"/>
      <c r="G43" s="3422"/>
    </row>
    <row r="44" spans="1:7" ht="13.5" customHeight="1">
      <c r="A44" s="869" t="s">
        <v>612</v>
      </c>
      <c r="B44" s="221" t="s">
        <v>1991</v>
      </c>
      <c r="C44" s="244">
        <f ca="1">ROUND(IF('数据-取费表'!B22&lt;=1,C40*F22*'数据-取费表'!B20/2,C40*(POWER((1+F22),'数据-取费表'!B20/2)-1)),4)</f>
        <v>4.0000000000000002E-4</v>
      </c>
      <c r="D44" s="244"/>
      <c r="E44" s="244"/>
      <c r="F44" s="245"/>
      <c r="G44" s="3423"/>
    </row>
    <row r="45" spans="1:7" s="220" customFormat="1" ht="13.5" customHeight="1">
      <c r="A45" s="261" t="s">
        <v>1992</v>
      </c>
      <c r="B45" s="250" t="s">
        <v>1958</v>
      </c>
      <c r="C45" s="251">
        <f ca="1">C46</f>
        <v>2127093</v>
      </c>
      <c r="D45" s="241">
        <f ca="1">C47</f>
        <v>2E-3</v>
      </c>
      <c r="E45" s="242" t="s">
        <v>1984</v>
      </c>
      <c r="F45" s="2488">
        <f ca="1">F27</f>
        <v>0.1</v>
      </c>
      <c r="G45" s="253" t="s">
        <v>1993</v>
      </c>
    </row>
    <row r="46" spans="1:7" s="220" customFormat="1" ht="13.5" customHeight="1">
      <c r="A46" s="869" t="s">
        <v>610</v>
      </c>
      <c r="B46" s="254" t="s">
        <v>1994</v>
      </c>
      <c r="C46" s="255">
        <f ca="1">ROUND((C33+C39)*F27,0)</f>
        <v>2127093</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25766742</v>
      </c>
      <c r="D49" s="238"/>
      <c r="E49" s="238"/>
      <c r="F49" s="270"/>
      <c r="G49" s="240" t="s">
        <v>1999</v>
      </c>
    </row>
    <row r="50" spans="1:7" s="264" customFormat="1">
      <c r="A50" s="261" t="s">
        <v>2000</v>
      </c>
      <c r="B50" s="216" t="s">
        <v>2001</v>
      </c>
      <c r="C50" s="238"/>
      <c r="D50" s="238"/>
      <c r="E50" s="238"/>
      <c r="F50" s="270">
        <f>IF('数据-取费表'!B24=0,'数据-取费表'!N16,1)</f>
        <v>0.6</v>
      </c>
      <c r="G50" s="253"/>
    </row>
    <row r="51" spans="1:7" ht="16.5" customHeight="1">
      <c r="A51" s="261" t="s">
        <v>2003</v>
      </c>
      <c r="B51" s="216" t="s">
        <v>2038</v>
      </c>
      <c r="C51" s="238">
        <f ca="1">ROUND(C49*F50,0)</f>
        <v>15460045</v>
      </c>
      <c r="D51" s="238"/>
      <c r="E51" s="238"/>
      <c r="F51" s="270"/>
      <c r="G51" s="240" t="s">
        <v>2005</v>
      </c>
    </row>
    <row r="52" spans="1:7" s="214" customFormat="1" ht="16.8" thickBot="1">
      <c r="A52" s="271" t="s">
        <v>2006</v>
      </c>
      <c r="B52" s="272"/>
      <c r="C52" s="273">
        <f ca="1">C31+C51</f>
        <v>20654987</v>
      </c>
      <c r="D52" s="272"/>
      <c r="E52" s="272"/>
      <c r="F52" s="272"/>
      <c r="G52" s="274"/>
    </row>
    <row r="55" spans="1:7" ht="15">
      <c r="B55" s="276" t="s">
        <v>2007</v>
      </c>
      <c r="C55" s="277"/>
    </row>
    <row r="56" spans="1:7">
      <c r="B56" s="279" t="s">
        <v>1237</v>
      </c>
      <c r="C56" s="281">
        <f ca="1">1-C57</f>
        <v>0.252</v>
      </c>
    </row>
    <row r="57" spans="1:7">
      <c r="B57" s="279" t="s">
        <v>1238</v>
      </c>
      <c r="C57" s="280">
        <f ca="1">ROUND(C51/C52,3)</f>
        <v>0.748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30" sqref="H30"/>
    </sheetView>
  </sheetViews>
  <sheetFormatPr defaultColWidth="6.6640625" defaultRowHeight="13.2"/>
  <cols>
    <col min="1" max="1" width="9.77734375" style="737" customWidth="1"/>
    <col min="2" max="2" width="25.77734375" style="870" customWidth="1"/>
    <col min="3" max="3" width="10.33203125" style="913" customWidth="1"/>
    <col min="4" max="4" width="9.88671875" style="870" customWidth="1"/>
    <col min="5" max="5" width="9.44140625" style="737" customWidth="1"/>
    <col min="6" max="6" width="10.109375" style="870" customWidth="1"/>
    <col min="7" max="7" width="10.77734375" style="870" customWidth="1"/>
    <col min="8" max="8" width="10" style="870" customWidth="1"/>
    <col min="9" max="11" width="9.44140625" style="870" customWidth="1"/>
    <col min="12" max="12" width="9" style="870" customWidth="1"/>
    <col min="13" max="13" width="10.44140625" style="870" bestFit="1" customWidth="1"/>
    <col min="14" max="254" width="9" style="870" customWidth="1"/>
    <col min="255" max="16384" width="6.6640625" style="870"/>
  </cols>
  <sheetData>
    <row r="1" spans="1:33" ht="21">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5.2">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11798.5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11798.5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100</v>
      </c>
      <c r="F19" s="894"/>
      <c r="G19" s="15"/>
      <c r="H19" s="1304"/>
      <c r="I19" s="899"/>
      <c r="J19" s="899"/>
      <c r="K19" s="900"/>
    </row>
    <row r="20" spans="1:33" s="893" customFormat="1" ht="13.5" customHeight="1">
      <c r="A20" s="889" t="s">
        <v>625</v>
      </c>
      <c r="B20" s="890" t="s">
        <v>2075</v>
      </c>
      <c r="C20" s="24">
        <f ca="1">ROUND(D20*E20/10000,0)</f>
        <v>177</v>
      </c>
      <c r="D20" s="936">
        <f ca="1">IF(C1="",'数据-汇总表'!E6,IF(INDIRECT("'数据-取费表'!c"&amp;$K$1)="住宅",INDIRECT("'数据-取费表'!s"&amp;$K$1),INDIRECT("'数据-取费表'!k"&amp;$K$1)+INDIRECT("'数据-取费表'!s"&amp;$K$1)))</f>
        <v>11798.5</v>
      </c>
      <c r="E20" s="24">
        <f>'数据-取费表'!B28</f>
        <v>150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t="s">
        <v>6</v>
      </c>
      <c r="D1" s="1497" t="s">
        <v>70</v>
      </c>
      <c r="E1" s="1498" t="s">
        <v>1111</v>
      </c>
      <c r="F1" s="1174">
        <f ca="1">J53</f>
        <v>23.6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1723</v>
      </c>
      <c r="C2" s="1522" t="s">
        <v>1240</v>
      </c>
      <c r="D2" s="1522"/>
      <c r="E2" s="1523"/>
      <c r="F2" s="1524"/>
      <c r="G2" s="2885"/>
      <c r="H2" s="2874"/>
      <c r="I2" s="2874"/>
      <c r="J2" s="2874"/>
      <c r="K2" s="2875"/>
      <c r="L2" s="2874"/>
      <c r="M2" s="2874"/>
    </row>
    <row r="3" spans="1:37" ht="18" customHeight="1" thickBot="1">
      <c r="A3" s="1525" t="s">
        <v>1241</v>
      </c>
      <c r="B3" s="1526">
        <f ca="1">IF(ISERROR(B2*10000/F43),0,ROUND(B2*10000/F43,0))</f>
        <v>1460</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194</v>
      </c>
      <c r="D5" s="1499" t="s">
        <v>1126</v>
      </c>
      <c r="E5" s="1184"/>
      <c r="F5" s="1185"/>
      <c r="G5" s="1519"/>
      <c r="H5" s="305">
        <v>1</v>
      </c>
      <c r="I5" s="306" t="s">
        <v>1125</v>
      </c>
      <c r="J5" s="1183">
        <f ca="1">J6+J10+J12</f>
        <v>0</v>
      </c>
      <c r="K5" s="1499" t="s">
        <v>1126</v>
      </c>
      <c r="L5" s="1184"/>
      <c r="M5" s="1185"/>
    </row>
    <row r="6" spans="1:37" ht="18" customHeight="1">
      <c r="A6" s="1182" t="s">
        <v>822</v>
      </c>
      <c r="B6" s="3426" t="s">
        <v>1127</v>
      </c>
      <c r="C6" s="1187">
        <f ca="1">ROUND(F6*F8*F7*(1-F9)/10000,0)</f>
        <v>194</v>
      </c>
      <c r="D6" s="160" t="s">
        <v>2609</v>
      </c>
      <c r="E6" s="308" t="s">
        <v>1129</v>
      </c>
      <c r="F6" s="309">
        <f ca="1">INDIRECT("'数据-取费表'!u"&amp;$G$1)</f>
        <v>0.5</v>
      </c>
      <c r="G6" s="1519"/>
      <c r="H6" s="1182" t="s">
        <v>822</v>
      </c>
      <c r="I6" s="3426" t="s">
        <v>1127</v>
      </c>
      <c r="J6" s="307">
        <f ca="1">ROUND(M6*M8*M7*(1-M9)/10000,0)</f>
        <v>0</v>
      </c>
      <c r="K6" s="160" t="s">
        <v>2608</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11798.5</v>
      </c>
      <c r="G7" s="1519"/>
      <c r="H7" s="310"/>
      <c r="I7" s="3427"/>
      <c r="J7" s="312"/>
      <c r="K7" s="313"/>
      <c r="L7" s="308" t="s">
        <v>1130</v>
      </c>
      <c r="M7" s="309">
        <f ca="1">F7</f>
        <v>11798.5</v>
      </c>
    </row>
    <row r="8" spans="1:37" ht="18" customHeight="1">
      <c r="A8" s="310"/>
      <c r="B8" s="3427"/>
      <c r="C8" s="312"/>
      <c r="D8" s="313"/>
      <c r="E8" s="308" t="s">
        <v>1131</v>
      </c>
      <c r="F8" s="309">
        <f ca="1">INDIRECT("'数据-取费表'!ai"&amp;$G$1)</f>
        <v>365</v>
      </c>
      <c r="G8" s="1519"/>
      <c r="H8" s="310"/>
      <c r="I8" s="3427"/>
      <c r="J8" s="312"/>
      <c r="K8" s="313"/>
      <c r="L8" s="308" t="s">
        <v>1131</v>
      </c>
      <c r="M8" s="309">
        <f ca="1">INDIRECT("'数据-取费表'!ai"&amp;$G$1)</f>
        <v>365</v>
      </c>
    </row>
    <row r="9" spans="1:37" ht="18" customHeight="1">
      <c r="A9" s="310"/>
      <c r="B9" s="3428"/>
      <c r="C9" s="312"/>
      <c r="D9" s="313"/>
      <c r="E9" s="308" t="s">
        <v>1132</v>
      </c>
      <c r="F9" s="318">
        <f ca="1">INDIRECT("'数据-取费表'!w"&amp;$G$1)</f>
        <v>0.1</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3185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1547</v>
      </c>
      <c r="D13" s="1194" t="s">
        <v>1139</v>
      </c>
      <c r="E13" s="1194" t="s">
        <v>1140</v>
      </c>
      <c r="F13" s="1195">
        <f ca="1">INDIRECT("'数据-取费表'!y"&amp;$G$1)</f>
        <v>0.6</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1770</v>
      </c>
      <c r="D14" s="1480" t="s">
        <v>1142</v>
      </c>
      <c r="E14" s="1477"/>
      <c r="F14" s="325"/>
      <c r="G14" s="1519"/>
      <c r="H14" s="1094" t="s">
        <v>822</v>
      </c>
      <c r="I14" s="308" t="s">
        <v>1143</v>
      </c>
      <c r="J14" s="24">
        <f ca="1">C29</f>
        <v>2578</v>
      </c>
      <c r="K14" s="15"/>
      <c r="L14" s="897"/>
      <c r="M14" s="898"/>
    </row>
    <row r="15" spans="1:37" s="1532" customFormat="1" ht="18" customHeight="1" thickBot="1">
      <c r="A15" s="1094" t="s">
        <v>823</v>
      </c>
      <c r="B15" s="308" t="s">
        <v>1144</v>
      </c>
      <c r="C15" s="24">
        <f ca="1">ROUND(C14*F15,0)</f>
        <v>53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54</v>
      </c>
      <c r="K16" s="1200" t="s">
        <v>1149</v>
      </c>
      <c r="L16" s="1201"/>
      <c r="M16" s="1185"/>
    </row>
    <row r="17" spans="1:37" s="1532" customFormat="1" ht="18" customHeight="1">
      <c r="A17" s="1094" t="s">
        <v>1114</v>
      </c>
      <c r="B17" s="308" t="s">
        <v>1150</v>
      </c>
      <c r="C17" s="24">
        <f ca="1">ROUND(F17*(F43+INDIRECT("'数据-取费表'!S"&amp;$G$1))/10000,0)</f>
        <v>236</v>
      </c>
      <c r="D17" s="308" t="s">
        <v>1151</v>
      </c>
      <c r="E17" s="308" t="s">
        <v>1152</v>
      </c>
      <c r="F17" s="26">
        <f>'数据-取费表'!B35</f>
        <v>200</v>
      </c>
      <c r="G17" s="1531"/>
      <c r="H17" s="1094" t="s">
        <v>822</v>
      </c>
      <c r="I17" s="308" t="s">
        <v>1153</v>
      </c>
      <c r="J17" s="2485">
        <f ca="1">ROUND(IF(AND(项目基本情况!B11="自然人",项目基本情况!B10="北京市"),J6*M17/(1+'数据-取费表'!C42),J18+J19+J20),0)</f>
        <v>28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2086</v>
      </c>
      <c r="D19" s="136" t="s">
        <v>1160</v>
      </c>
      <c r="E19" s="1495"/>
      <c r="F19" s="26"/>
      <c r="G19" s="1519"/>
      <c r="H19" s="1094" t="s">
        <v>823</v>
      </c>
      <c r="I19" s="308" t="s">
        <v>1161</v>
      </c>
      <c r="J19" s="24">
        <f ca="1">IF(K19="按租金收入计税",ROUND(J6*M19/(1+'数据-取费表'!C42),2),ROUND(C29*M19*0.7,2))</f>
        <v>21.66</v>
      </c>
      <c r="K19" s="1505" t="s">
        <v>1162</v>
      </c>
      <c r="L19" s="308" t="s">
        <v>1146</v>
      </c>
      <c r="M19" s="328">
        <f>IF(K19="按租金收入计税",'数据-取费表'!B51,'数据-取费表'!B50)</f>
        <v>1.2E-2</v>
      </c>
    </row>
    <row r="20" spans="1:37" s="1532" customFormat="1" ht="18" customHeight="1">
      <c r="A20" s="1094" t="s">
        <v>826</v>
      </c>
      <c r="B20" s="308" t="s">
        <v>1163</v>
      </c>
      <c r="C20" s="24">
        <f ca="1">ROUND(C19*F20,0)</f>
        <v>42</v>
      </c>
      <c r="D20" s="329" t="s">
        <v>1164</v>
      </c>
      <c r="E20" s="308" t="s">
        <v>1146</v>
      </c>
      <c r="F20" s="328">
        <f>'数据-取费表'!B37</f>
        <v>0.02</v>
      </c>
      <c r="G20" s="1531"/>
      <c r="H20" s="1094" t="s">
        <v>1113</v>
      </c>
      <c r="I20" s="160" t="s">
        <v>1165</v>
      </c>
      <c r="J20" s="25">
        <f ca="1">ROUND(M20*M21/10000,2)</f>
        <v>6.16</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41059.64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25.8</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44</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-54</v>
      </c>
      <c r="K25" s="1208" t="s">
        <v>1188</v>
      </c>
      <c r="L25" s="1209"/>
      <c r="M25" s="1210"/>
    </row>
    <row r="26" spans="1:37">
      <c r="A26" s="1094" t="s">
        <v>821</v>
      </c>
      <c r="B26" s="308" t="s">
        <v>1189</v>
      </c>
      <c r="C26" s="24">
        <f ca="1">ROUND((C19+C20)*F26,0)</f>
        <v>213</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2578</v>
      </c>
      <c r="D29" s="1205"/>
      <c r="E29" s="1203"/>
      <c r="F29" s="1206"/>
      <c r="G29" s="1531"/>
      <c r="H29" s="340" t="s">
        <v>820</v>
      </c>
      <c r="I29" s="341" t="s">
        <v>1203</v>
      </c>
      <c r="J29" s="342">
        <f ca="1">ROUND(J26/(1+F40)^F41,0)</f>
        <v>0</v>
      </c>
      <c r="K29" s="343" t="s">
        <v>1204</v>
      </c>
      <c r="L29" s="344"/>
      <c r="M29" s="345">
        <f ca="1">INDIRECT("'数据-取费表'!k"&amp;$G$1)</f>
        <v>11798.5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68</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38</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10.16</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22.17</v>
      </c>
      <c r="D33" s="1505" t="s">
        <v>3186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6.16</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41059.64</v>
      </c>
      <c r="G35" s="1519"/>
      <c r="H35" s="2876"/>
      <c r="I35" s="1533"/>
      <c r="J35" s="1534"/>
      <c r="K35" s="2880"/>
      <c r="L35" s="2879"/>
      <c r="M35" s="2879"/>
    </row>
    <row r="36" spans="1:18" ht="18" customHeight="1">
      <c r="A36" s="1215" t="s">
        <v>826</v>
      </c>
      <c r="B36" s="308" t="s">
        <v>1173</v>
      </c>
      <c r="C36" s="24">
        <f ca="1">ROUND(C29*F36,1)</f>
        <v>25.8</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2.2999999999999998</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1.9</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126</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1723</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23.6</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1460</v>
      </c>
      <c r="D43" s="343" t="s">
        <v>1212</v>
      </c>
      <c r="E43" s="344" t="s">
        <v>1213</v>
      </c>
      <c r="F43" s="345">
        <f ca="1">INDIRECT("'数据-取费表'!k"&amp;$G$1)</f>
        <v>11798.5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8" thickBot="1">
      <c r="A46" s="1539" t="s">
        <v>1244</v>
      </c>
      <c r="C46" s="1540">
        <f ca="1">C68-C40</f>
        <v>-5156</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8"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50</v>
      </c>
      <c r="M47" s="1515" t="str">
        <f>IF(ISNUMBER(FIND("住宅",C1)),"住宅","非住宅")</f>
        <v>非住宅</v>
      </c>
      <c r="O47" s="1553" t="s">
        <v>827</v>
      </c>
      <c r="P47" s="1554" t="s">
        <v>1252</v>
      </c>
      <c r="Q47" s="1555">
        <f ca="1">C40+J29</f>
        <v>1723</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23.6</v>
      </c>
      <c r="O48" s="1553" t="s">
        <v>828</v>
      </c>
      <c r="P48" s="1554" t="s">
        <v>1256</v>
      </c>
      <c r="Q48" s="1555" t="str">
        <f ca="1">J60</f>
        <v>0</v>
      </c>
      <c r="R48" s="1555" t="s">
        <v>1257</v>
      </c>
    </row>
    <row r="49" spans="1:18" s="1519" customFormat="1" ht="13.8"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2578</v>
      </c>
      <c r="R49" s="1555" t="s">
        <v>1253</v>
      </c>
    </row>
    <row r="50" spans="1:18" s="1519" customFormat="1" ht="13.8" thickBot="1">
      <c r="A50" s="1088"/>
      <c r="B50" s="1091"/>
      <c r="C50" s="1231"/>
      <c r="D50" s="1065"/>
      <c r="E50" s="1168" t="s">
        <v>1130</v>
      </c>
      <c r="F50" s="1169">
        <f ca="1">F7</f>
        <v>11798.5</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8" thickBot="1">
      <c r="A51" s="1089"/>
      <c r="B51" s="1091"/>
      <c r="C51" s="1092"/>
      <c r="D51" s="1065"/>
      <c r="E51" s="1093" t="s">
        <v>1131</v>
      </c>
      <c r="F51" s="309">
        <f ca="1">F8</f>
        <v>365</v>
      </c>
      <c r="I51" s="1567" t="s">
        <v>1264</v>
      </c>
      <c r="J51" s="1568">
        <f>IF(J49="",J50,J49+J50-YEAR('数据-取费表'!B2))</f>
        <v>50</v>
      </c>
      <c r="K51" s="1569" t="s">
        <v>1265</v>
      </c>
      <c r="L51" s="1570">
        <f ca="1">ROUND(-PV(INDIRECT("'数据-取费表'!h"&amp;$G$1),J51,(C39-C13*C76),0),0)</f>
        <v>197</v>
      </c>
      <c r="M51" s="1571"/>
      <c r="O51" s="1563" t="s">
        <v>831</v>
      </c>
      <c r="P51" s="1554" t="s">
        <v>1266</v>
      </c>
      <c r="Q51" s="1566">
        <f>J52</f>
        <v>0.08</v>
      </c>
      <c r="R51" s="1555"/>
    </row>
    <row r="52" spans="1:18" s="1519" customFormat="1" ht="13.8" thickBot="1">
      <c r="A52" s="1089"/>
      <c r="B52" s="1091"/>
      <c r="C52" s="1092"/>
      <c r="D52" s="1065"/>
      <c r="E52" s="1093" t="s">
        <v>1132</v>
      </c>
      <c r="F52" s="1166"/>
      <c r="I52" s="1572" t="s">
        <v>1267</v>
      </c>
      <c r="J52" s="1573">
        <v>0.08</v>
      </c>
      <c r="K52" s="1572" t="s">
        <v>1268</v>
      </c>
      <c r="L52" s="1573"/>
      <c r="O52" s="1563" t="s">
        <v>832</v>
      </c>
      <c r="P52" s="1554" t="s">
        <v>1269</v>
      </c>
      <c r="Q52" s="1555">
        <f ca="1">J53</f>
        <v>23.6</v>
      </c>
      <c r="R52" s="1555" t="s">
        <v>1270</v>
      </c>
    </row>
    <row r="53" spans="1:18" s="1519" customFormat="1" ht="36.6"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23.6</v>
      </c>
      <c r="K53" s="3424" t="s">
        <v>1272</v>
      </c>
      <c r="L53" s="3425"/>
      <c r="O53" s="1553" t="s">
        <v>833</v>
      </c>
      <c r="P53" s="1554" t="s">
        <v>1273</v>
      </c>
      <c r="Q53" s="1555">
        <f ca="1">Q47+Q48</f>
        <v>1723</v>
      </c>
      <c r="R53" s="1555" t="s">
        <v>834</v>
      </c>
    </row>
    <row r="54" spans="1:18" s="1519" customFormat="1" ht="24.6"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37.200000000000003" thickTop="1" thickBot="1">
      <c r="A56" s="1069">
        <v>2</v>
      </c>
      <c r="B56" s="1070" t="s">
        <v>1138</v>
      </c>
      <c r="C56" s="238">
        <f ca="1">C13</f>
        <v>1547</v>
      </c>
      <c r="D56" s="1582"/>
      <c r="E56" s="1583"/>
      <c r="F56" s="1575"/>
      <c r="I56" s="1584" t="s">
        <v>1278</v>
      </c>
      <c r="J56" s="1585" t="s">
        <v>3180</v>
      </c>
      <c r="K56" s="1556" t="s">
        <v>1279</v>
      </c>
      <c r="L56" s="1559" t="str">
        <f ca="1">IF(L48&lt;J51,"——",L48-J53)</f>
        <v>——</v>
      </c>
      <c r="O56" s="1553" t="s">
        <v>827</v>
      </c>
      <c r="P56" s="1554" t="s">
        <v>1252</v>
      </c>
      <c r="Q56" s="1555">
        <f ca="1">C40+J29</f>
        <v>1723</v>
      </c>
      <c r="R56" s="1555" t="s">
        <v>1253</v>
      </c>
    </row>
    <row r="57" spans="1:18" s="1519" customFormat="1" ht="24.6" thickBot="1">
      <c r="A57" s="1586"/>
      <c r="B57" s="1062" t="s">
        <v>1202</v>
      </c>
      <c r="C57" s="244">
        <f ca="1">C29</f>
        <v>2578</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6" thickBot="1">
      <c r="A58" s="321" t="s">
        <v>817</v>
      </c>
      <c r="B58" s="1070" t="s">
        <v>1148</v>
      </c>
      <c r="C58" s="322">
        <f ca="1">ROUND(C59+C64+C65+C66,0)</f>
        <v>251</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223</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IF(项目基本情况!B11="自然人","——",IF(D61="按租金收入计税",ROUND(C49*F61/(1+'数据-取费表'!C42),2),IF(D61="按房产原值计税",ROUND(C57*F61*0.7,2),INDIRECT("'数据-取费表'!Aj"&amp;$G$1))))</f>
        <v>216.55</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8" thickBot="1">
      <c r="A62" s="1094" t="s">
        <v>1219</v>
      </c>
      <c r="B62" s="1061" t="s">
        <v>1220</v>
      </c>
      <c r="C62" s="25">
        <f ca="1">IF(项目基本情况!B11="自然人","——",ROUND(F62*F63/10000,2))</f>
        <v>6.16</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1723</v>
      </c>
      <c r="R62" s="1555" t="s">
        <v>834</v>
      </c>
    </row>
    <row r="63" spans="1:18" s="1519" customFormat="1" ht="13.8" thickBot="1">
      <c r="A63" s="332"/>
      <c r="B63" s="1068"/>
      <c r="C63" s="29"/>
      <c r="D63" s="1078"/>
      <c r="E63" s="1062" t="s">
        <v>1223</v>
      </c>
      <c r="F63" s="309">
        <f t="shared" ca="1" si="0"/>
        <v>41059.64</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ROUND(C57*F64,1)</f>
        <v>25.8</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ROUND(C56*F65,1)</f>
        <v>2.2999999999999998</v>
      </c>
      <c r="D65" s="1076" t="s">
        <v>1178</v>
      </c>
      <c r="E65" s="1062" t="s">
        <v>1179</v>
      </c>
      <c r="F65" s="336">
        <f t="shared" ca="1" si="0"/>
        <v>1.5E-3</v>
      </c>
      <c r="I65" s="1597" t="s">
        <v>1303</v>
      </c>
      <c r="J65" s="1598">
        <v>40</v>
      </c>
      <c r="K65" s="1598">
        <v>30</v>
      </c>
      <c r="L65" s="1598">
        <v>50</v>
      </c>
      <c r="M65" s="1600">
        <v>0.02</v>
      </c>
      <c r="O65" s="1553" t="s">
        <v>827</v>
      </c>
      <c r="P65" s="1554" t="s">
        <v>1304</v>
      </c>
      <c r="Q65" s="1555">
        <f ca="1">C40+J29</f>
        <v>1723</v>
      </c>
      <c r="R65" s="1555" t="s">
        <v>1253</v>
      </c>
    </row>
    <row r="66" spans="1:18" s="1519" customFormat="1" ht="16.2"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4.6" thickBot="1">
      <c r="A67" s="1069" t="s">
        <v>818</v>
      </c>
      <c r="B67" s="1079" t="s">
        <v>1187</v>
      </c>
      <c r="C67" s="322">
        <f ca="1">C48-C58</f>
        <v>-251</v>
      </c>
      <c r="D67" s="1075" t="s">
        <v>1188</v>
      </c>
      <c r="E67" s="1080"/>
      <c r="F67" s="1081"/>
      <c r="O67" s="1563" t="s">
        <v>829</v>
      </c>
      <c r="P67" s="1554" t="s">
        <v>1286</v>
      </c>
      <c r="Q67" s="1601">
        <f ca="1">L51</f>
        <v>197</v>
      </c>
      <c r="R67" s="1555" t="s">
        <v>1306</v>
      </c>
    </row>
    <row r="68" spans="1:18" s="1519" customFormat="1" ht="16.2" thickBot="1">
      <c r="A68" s="1059" t="s">
        <v>819</v>
      </c>
      <c r="B68" s="1060" t="s">
        <v>1209</v>
      </c>
      <c r="C68" s="307">
        <f ca="1">ROUND(C67*(1-((1+F70)/(1+F68))^F69)/(F68-F70),0)</f>
        <v>-3433</v>
      </c>
      <c r="D68" s="1077" t="s">
        <v>1193</v>
      </c>
      <c r="E68" s="1062" t="s">
        <v>1194</v>
      </c>
      <c r="F68" s="318">
        <f ca="1">F40</f>
        <v>0.05</v>
      </c>
      <c r="O68" s="1563" t="s">
        <v>830</v>
      </c>
      <c r="P68" s="1602" t="s">
        <v>1307</v>
      </c>
      <c r="Q68" s="1555">
        <f ca="1">ROUND(Q69-Q70*Q71,0)</f>
        <v>10</v>
      </c>
      <c r="R68" s="1555" t="s">
        <v>838</v>
      </c>
    </row>
    <row r="69" spans="1:18" s="1519" customFormat="1" ht="13.8" thickBot="1">
      <c r="A69" s="1063"/>
      <c r="B69" s="1064"/>
      <c r="C69" s="312"/>
      <c r="D69" s="1082" t="s">
        <v>1197</v>
      </c>
      <c r="E69" s="1062" t="s">
        <v>1198</v>
      </c>
      <c r="F69" s="339">
        <f ca="1">F41</f>
        <v>23.6</v>
      </c>
      <c r="O69" s="1563" t="s">
        <v>835</v>
      </c>
      <c r="P69" s="1602" t="s">
        <v>1308</v>
      </c>
      <c r="Q69" s="1555">
        <f ca="1">C39</f>
        <v>126</v>
      </c>
      <c r="R69" s="1555" t="s">
        <v>1253</v>
      </c>
    </row>
    <row r="70" spans="1:18" s="1519" customFormat="1" ht="13.8" thickBot="1">
      <c r="A70" s="1066"/>
      <c r="B70" s="1067"/>
      <c r="C70" s="316"/>
      <c r="D70" s="1078"/>
      <c r="E70" s="1062" t="s">
        <v>1201</v>
      </c>
      <c r="F70" s="1166"/>
      <c r="O70" s="1563" t="s">
        <v>836</v>
      </c>
      <c r="P70" s="1602" t="s">
        <v>1309</v>
      </c>
      <c r="Q70" s="1555">
        <f ca="1">C13</f>
        <v>1547</v>
      </c>
      <c r="R70" s="1555" t="s">
        <v>1253</v>
      </c>
    </row>
    <row r="71" spans="1:18" s="1519" customFormat="1" ht="13.8" thickBot="1">
      <c r="A71" s="1083" t="s">
        <v>820</v>
      </c>
      <c r="B71" s="1084" t="s">
        <v>1211</v>
      </c>
      <c r="C71" s="342">
        <f ca="1">ROUND(C68*10000/F71,0)</f>
        <v>-2910</v>
      </c>
      <c r="D71" s="1085" t="s">
        <v>1212</v>
      </c>
      <c r="E71" s="1086" t="s">
        <v>1213</v>
      </c>
      <c r="F71" s="345">
        <f ca="1">F43</f>
        <v>11798.5</v>
      </c>
      <c r="O71" s="1563" t="s">
        <v>837</v>
      </c>
      <c r="P71" s="1602" t="s">
        <v>1310</v>
      </c>
      <c r="Q71" s="1566">
        <f ca="1">C76</f>
        <v>7.4999999999999997E-2</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8" thickBot="1">
      <c r="A75" s="1519"/>
      <c r="B75" s="346" t="s">
        <v>1230</v>
      </c>
      <c r="C75" s="347">
        <f ca="1">ROUND(C13*C76,0)</f>
        <v>116</v>
      </c>
      <c r="D75" s="1519"/>
      <c r="E75" s="1519"/>
      <c r="F75" s="1519"/>
      <c r="K75" s="1537"/>
      <c r="L75" s="1519"/>
      <c r="O75" s="1553" t="s">
        <v>833</v>
      </c>
      <c r="P75" s="1554" t="s">
        <v>1273</v>
      </c>
      <c r="Q75" s="1555">
        <f ca="1">Q65+Q66</f>
        <v>1723</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7.8999999999999959E-2</v>
      </c>
    </row>
    <row r="80" spans="1:18">
      <c r="B80" s="346" t="s">
        <v>1235</v>
      </c>
      <c r="C80" s="280">
        <f ca="1">ROUND(C75/C39,3)</f>
        <v>0.92100000000000004</v>
      </c>
    </row>
    <row r="81" spans="2:3">
      <c r="B81" s="276" t="s">
        <v>1236</v>
      </c>
      <c r="C81" s="244"/>
    </row>
    <row r="82" spans="2:3">
      <c r="B82" s="279" t="s">
        <v>1237</v>
      </c>
      <c r="C82" s="281">
        <f ca="1">1-C83</f>
        <v>0.10199999999999998</v>
      </c>
    </row>
    <row r="83" spans="2:3">
      <c r="B83" s="279" t="s">
        <v>1238</v>
      </c>
      <c r="C83" s="280">
        <f ca="1">ROUND(C13/C40,3)</f>
        <v>0.89800000000000002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3" customWidth="1"/>
    <col min="12" max="12" width="16.33203125" style="264" customWidth="1"/>
    <col min="13" max="13" width="13" style="264" customWidth="1"/>
    <col min="14" max="14" width="13.77734375" style="1519" customWidth="1"/>
    <col min="15" max="15" width="5.109375" style="1519" customWidth="1"/>
    <col min="16" max="16" width="25.77734375" style="1519" customWidth="1"/>
    <col min="17" max="17" width="13.77734375" style="1519" customWidth="1"/>
    <col min="18" max="18" width="20.44140625" style="1519" customWidth="1"/>
    <col min="19" max="19" width="13.21875" style="1519" customWidth="1"/>
    <col min="20" max="37" width="9" style="1519"/>
    <col min="38" max="16384" width="9" style="264"/>
  </cols>
  <sheetData>
    <row r="1" spans="1:37" s="299" customFormat="1" ht="21.6">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6" t="s">
        <v>1127</v>
      </c>
      <c r="C6" s="1187">
        <f ca="1">ROUND(F6*F8*F7*(1-F9),0)</f>
        <v>0</v>
      </c>
      <c r="D6" s="160" t="s">
        <v>2606</v>
      </c>
      <c r="E6" s="308" t="s">
        <v>1129</v>
      </c>
      <c r="F6" s="309">
        <f ca="1">INDIRECT("'数据-取费表'!u"&amp;$G$1)</f>
        <v>0</v>
      </c>
      <c r="G6" s="1519"/>
      <c r="H6" s="1182" t="s">
        <v>822</v>
      </c>
      <c r="I6" s="3426" t="s">
        <v>1127</v>
      </c>
      <c r="J6" s="307">
        <f ca="1">ROUND(M6*M8*M7*(1-M9),0)</f>
        <v>0</v>
      </c>
      <c r="K6" s="1511" t="s">
        <v>2607</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0</v>
      </c>
      <c r="G7" s="1519"/>
      <c r="H7" s="310"/>
      <c r="I7" s="3427"/>
      <c r="J7" s="312"/>
      <c r="K7" s="313"/>
      <c r="L7" s="308" t="s">
        <v>1130</v>
      </c>
      <c r="M7" s="309">
        <f ca="1">F7</f>
        <v>0</v>
      </c>
    </row>
    <row r="8" spans="1:37" ht="18" customHeight="1">
      <c r="A8" s="310"/>
      <c r="B8" s="3427"/>
      <c r="C8" s="312"/>
      <c r="D8" s="313"/>
      <c r="E8" s="308" t="s">
        <v>1131</v>
      </c>
      <c r="F8" s="309">
        <f ca="1">INDIRECT("'数据-取费表'!ai"&amp;$G$1)</f>
        <v>0</v>
      </c>
      <c r="G8" s="1519"/>
      <c r="H8" s="310"/>
      <c r="I8" s="3427"/>
      <c r="J8" s="312"/>
      <c r="K8" s="313"/>
      <c r="L8" s="308" t="s">
        <v>1131</v>
      </c>
      <c r="M8" s="309">
        <f ca="1">INDIRECT("'数据-取费表'!ai"&amp;$G$1)</f>
        <v>0</v>
      </c>
    </row>
    <row r="9" spans="1:37" ht="18" customHeight="1">
      <c r="A9" s="310"/>
      <c r="B9" s="3428"/>
      <c r="C9" s="312"/>
      <c r="D9" s="313"/>
      <c r="E9" s="308" t="s">
        <v>1132</v>
      </c>
      <c r="F9" s="318">
        <f ca="1">INDIRECT("'数据-取费表'!w"&amp;$G$1)</f>
        <v>0</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8"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8"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0.200000000000003"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8"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8"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8"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8"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4" t="s">
        <v>1272</v>
      </c>
      <c r="L53" s="3425"/>
      <c r="O53" s="1553" t="s">
        <v>833</v>
      </c>
      <c r="P53" s="1554" t="s">
        <v>1273</v>
      </c>
      <c r="Q53" s="1555" t="e">
        <f ca="1">Q47+Q48</f>
        <v>#DIV/0!</v>
      </c>
      <c r="R53" s="1555" t="s">
        <v>834</v>
      </c>
    </row>
    <row r="54" spans="1:18" s="1519" customFormat="1" ht="13.8"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8"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6"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6"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6"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2"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8"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8"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8"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8"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8"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2"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4.6"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2"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8" thickBot="1">
      <c r="A69" s="1063"/>
      <c r="B69" s="1064"/>
      <c r="C69" s="312"/>
      <c r="D69" s="1082" t="s">
        <v>1197</v>
      </c>
      <c r="E69" s="1062" t="s">
        <v>1198</v>
      </c>
      <c r="F69" s="339">
        <f ca="1">F41</f>
        <v>0</v>
      </c>
      <c r="O69" s="1563" t="s">
        <v>835</v>
      </c>
      <c r="P69" s="1602" t="s">
        <v>1308</v>
      </c>
      <c r="Q69" s="1555">
        <f ca="1">C39</f>
        <v>0</v>
      </c>
      <c r="R69" s="1555" t="s">
        <v>1253</v>
      </c>
    </row>
    <row r="70" spans="1:18" s="1519" customFormat="1" ht="13.8" thickBot="1">
      <c r="A70" s="1066"/>
      <c r="B70" s="1067"/>
      <c r="C70" s="316"/>
      <c r="D70" s="1078"/>
      <c r="E70" s="1062" t="s">
        <v>1201</v>
      </c>
      <c r="F70" s="1166">
        <f ca="1">F42</f>
        <v>0</v>
      </c>
      <c r="O70" s="1563" t="s">
        <v>836</v>
      </c>
      <c r="P70" s="1602" t="s">
        <v>1309</v>
      </c>
      <c r="Q70" s="1555">
        <f ca="1">C13</f>
        <v>0</v>
      </c>
      <c r="R70" s="1555" t="s">
        <v>1253</v>
      </c>
    </row>
    <row r="71" spans="1:18" s="1519" customFormat="1" ht="13.8"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8" thickBot="1">
      <c r="B72" s="735"/>
      <c r="C72" s="735"/>
      <c r="O72" s="1563" t="s">
        <v>831</v>
      </c>
      <c r="P72" s="1554" t="s">
        <v>1288</v>
      </c>
      <c r="Q72" s="1566">
        <f>L52</f>
        <v>0</v>
      </c>
      <c r="R72" s="1555"/>
    </row>
    <row r="73" spans="1:18" ht="16.2" thickBot="1">
      <c r="A73" s="1519"/>
      <c r="B73" s="735"/>
      <c r="C73" s="735"/>
      <c r="D73" s="1519"/>
      <c r="E73" s="1519"/>
      <c r="F73" s="1519"/>
      <c r="O73" s="1563" t="s">
        <v>832</v>
      </c>
      <c r="P73" s="1554" t="s">
        <v>1291</v>
      </c>
      <c r="Q73" s="1555" t="e">
        <f ca="1">L58</f>
        <v>#DIV/0!</v>
      </c>
      <c r="R73" s="1555" t="s">
        <v>1292</v>
      </c>
    </row>
    <row r="74" spans="1:18" ht="13.8"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8"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23" customWidth="1"/>
    <col min="2" max="2" width="8.88671875" style="3023"/>
    <col min="3" max="5" width="12.88671875" style="3023" customWidth="1"/>
    <col min="6" max="6" width="47.44140625" style="3023" customWidth="1"/>
    <col min="7" max="7" width="13" style="3182" customWidth="1"/>
    <col min="8" max="8" width="8.88671875" style="3017"/>
    <col min="9" max="9" width="8.88671875" style="3018"/>
    <col min="10" max="10" width="5.77734375" style="3183" customWidth="1"/>
    <col min="11" max="11" width="11.77734375" style="3183" customWidth="1"/>
    <col min="12" max="13" width="10.77734375" style="3183" customWidth="1"/>
    <col min="14" max="14" width="10" style="3183" customWidth="1"/>
    <col min="15" max="16" width="10.44140625" style="3183" bestFit="1" customWidth="1"/>
    <col min="17" max="17" width="10" style="3183" customWidth="1"/>
    <col min="18" max="18" width="10.109375" style="3183" customWidth="1"/>
    <col min="19" max="19" width="10" style="3183" customWidth="1"/>
    <col min="20" max="20" width="26.109375" style="3183" customWidth="1"/>
    <col min="21" max="21" width="8.88671875" style="3183"/>
    <col min="22" max="22" width="8.88671875" style="3018"/>
    <col min="23" max="256" width="8.88671875" style="3023"/>
    <col min="257" max="257" width="9.44140625" style="3023" customWidth="1"/>
    <col min="258" max="258" width="8.88671875" style="3023"/>
    <col min="259" max="261" width="12.88671875" style="3023" customWidth="1"/>
    <col min="262" max="262" width="47.44140625" style="3023" customWidth="1"/>
    <col min="263" max="263" width="13" style="3023" customWidth="1"/>
    <col min="264" max="265" width="8.88671875" style="3023"/>
    <col min="266" max="266" width="5.77734375" style="3023" customWidth="1"/>
    <col min="267" max="267" width="11.77734375" style="3023" customWidth="1"/>
    <col min="268" max="269" width="10.77734375" style="3023" customWidth="1"/>
    <col min="270" max="270" width="10" style="3023" customWidth="1"/>
    <col min="271" max="272" width="10.44140625" style="3023" bestFit="1" customWidth="1"/>
    <col min="273" max="273" width="10" style="3023" customWidth="1"/>
    <col min="274" max="274" width="10.109375" style="3023" customWidth="1"/>
    <col min="275" max="275" width="10" style="3023" customWidth="1"/>
    <col min="276" max="276" width="26.109375" style="3023" customWidth="1"/>
    <col min="277" max="512" width="8.88671875" style="3023"/>
    <col min="513" max="513" width="9.44140625" style="3023" customWidth="1"/>
    <col min="514" max="514" width="8.88671875" style="3023"/>
    <col min="515" max="517" width="12.88671875" style="3023" customWidth="1"/>
    <col min="518" max="518" width="47.44140625" style="3023" customWidth="1"/>
    <col min="519" max="519" width="13" style="3023" customWidth="1"/>
    <col min="520" max="521" width="8.88671875" style="3023"/>
    <col min="522" max="522" width="5.77734375" style="3023" customWidth="1"/>
    <col min="523" max="523" width="11.77734375" style="3023" customWidth="1"/>
    <col min="524" max="525" width="10.77734375" style="3023" customWidth="1"/>
    <col min="526" max="526" width="10" style="3023" customWidth="1"/>
    <col min="527" max="528" width="10.44140625" style="3023" bestFit="1" customWidth="1"/>
    <col min="529" max="529" width="10" style="3023" customWidth="1"/>
    <col min="530" max="530" width="10.109375" style="3023" customWidth="1"/>
    <col min="531" max="531" width="10" style="3023" customWidth="1"/>
    <col min="532" max="532" width="26.109375" style="3023" customWidth="1"/>
    <col min="533" max="768" width="8.88671875" style="3023"/>
    <col min="769" max="769" width="9.44140625" style="3023" customWidth="1"/>
    <col min="770" max="770" width="8.88671875" style="3023"/>
    <col min="771" max="773" width="12.88671875" style="3023" customWidth="1"/>
    <col min="774" max="774" width="47.44140625" style="3023" customWidth="1"/>
    <col min="775" max="775" width="13" style="3023" customWidth="1"/>
    <col min="776" max="777" width="8.88671875" style="3023"/>
    <col min="778" max="778" width="5.77734375" style="3023" customWidth="1"/>
    <col min="779" max="779" width="11.77734375" style="3023" customWidth="1"/>
    <col min="780" max="781" width="10.77734375" style="3023" customWidth="1"/>
    <col min="782" max="782" width="10" style="3023" customWidth="1"/>
    <col min="783" max="784" width="10.44140625" style="3023" bestFit="1" customWidth="1"/>
    <col min="785" max="785" width="10" style="3023" customWidth="1"/>
    <col min="786" max="786" width="10.109375" style="3023" customWidth="1"/>
    <col min="787" max="787" width="10" style="3023" customWidth="1"/>
    <col min="788" max="788" width="26.109375" style="3023" customWidth="1"/>
    <col min="789" max="1024" width="8.88671875" style="3023"/>
    <col min="1025" max="1025" width="9.44140625" style="3023" customWidth="1"/>
    <col min="1026" max="1026" width="8.88671875" style="3023"/>
    <col min="1027" max="1029" width="12.88671875" style="3023" customWidth="1"/>
    <col min="1030" max="1030" width="47.44140625" style="3023" customWidth="1"/>
    <col min="1031" max="1031" width="13" style="3023" customWidth="1"/>
    <col min="1032" max="1033" width="8.88671875" style="3023"/>
    <col min="1034" max="1034" width="5.77734375" style="3023" customWidth="1"/>
    <col min="1035" max="1035" width="11.77734375" style="3023" customWidth="1"/>
    <col min="1036" max="1037" width="10.77734375" style="3023" customWidth="1"/>
    <col min="1038" max="1038" width="10" style="3023" customWidth="1"/>
    <col min="1039" max="1040" width="10.44140625" style="3023" bestFit="1" customWidth="1"/>
    <col min="1041" max="1041" width="10" style="3023" customWidth="1"/>
    <col min="1042" max="1042" width="10.109375" style="3023" customWidth="1"/>
    <col min="1043" max="1043" width="10" style="3023" customWidth="1"/>
    <col min="1044" max="1044" width="26.109375" style="3023" customWidth="1"/>
    <col min="1045" max="1280" width="8.88671875" style="3023"/>
    <col min="1281" max="1281" width="9.44140625" style="3023" customWidth="1"/>
    <col min="1282" max="1282" width="8.88671875" style="3023"/>
    <col min="1283" max="1285" width="12.88671875" style="3023" customWidth="1"/>
    <col min="1286" max="1286" width="47.44140625" style="3023" customWidth="1"/>
    <col min="1287" max="1287" width="13" style="3023" customWidth="1"/>
    <col min="1288" max="1289" width="8.88671875" style="3023"/>
    <col min="1290" max="1290" width="5.77734375" style="3023" customWidth="1"/>
    <col min="1291" max="1291" width="11.77734375" style="3023" customWidth="1"/>
    <col min="1292" max="1293" width="10.77734375" style="3023" customWidth="1"/>
    <col min="1294" max="1294" width="10" style="3023" customWidth="1"/>
    <col min="1295" max="1296" width="10.44140625" style="3023" bestFit="1" customWidth="1"/>
    <col min="1297" max="1297" width="10" style="3023" customWidth="1"/>
    <col min="1298" max="1298" width="10.109375" style="3023" customWidth="1"/>
    <col min="1299" max="1299" width="10" style="3023" customWidth="1"/>
    <col min="1300" max="1300" width="26.109375" style="3023" customWidth="1"/>
    <col min="1301" max="1536" width="8.88671875" style="3023"/>
    <col min="1537" max="1537" width="9.44140625" style="3023" customWidth="1"/>
    <col min="1538" max="1538" width="8.88671875" style="3023"/>
    <col min="1539" max="1541" width="12.88671875" style="3023" customWidth="1"/>
    <col min="1542" max="1542" width="47.44140625" style="3023" customWidth="1"/>
    <col min="1543" max="1543" width="13" style="3023" customWidth="1"/>
    <col min="1544" max="1545" width="8.88671875" style="3023"/>
    <col min="1546" max="1546" width="5.77734375" style="3023" customWidth="1"/>
    <col min="1547" max="1547" width="11.77734375" style="3023" customWidth="1"/>
    <col min="1548" max="1549" width="10.77734375" style="3023" customWidth="1"/>
    <col min="1550" max="1550" width="10" style="3023" customWidth="1"/>
    <col min="1551" max="1552" width="10.44140625" style="3023" bestFit="1" customWidth="1"/>
    <col min="1553" max="1553" width="10" style="3023" customWidth="1"/>
    <col min="1554" max="1554" width="10.109375" style="3023" customWidth="1"/>
    <col min="1555" max="1555" width="10" style="3023" customWidth="1"/>
    <col min="1556" max="1556" width="26.109375" style="3023" customWidth="1"/>
    <col min="1557" max="1792" width="8.88671875" style="3023"/>
    <col min="1793" max="1793" width="9.44140625" style="3023" customWidth="1"/>
    <col min="1794" max="1794" width="8.88671875" style="3023"/>
    <col min="1795" max="1797" width="12.88671875" style="3023" customWidth="1"/>
    <col min="1798" max="1798" width="47.44140625" style="3023" customWidth="1"/>
    <col min="1799" max="1799" width="13" style="3023" customWidth="1"/>
    <col min="1800" max="1801" width="8.88671875" style="3023"/>
    <col min="1802" max="1802" width="5.77734375" style="3023" customWidth="1"/>
    <col min="1803" max="1803" width="11.77734375" style="3023" customWidth="1"/>
    <col min="1804" max="1805" width="10.77734375" style="3023" customWidth="1"/>
    <col min="1806" max="1806" width="10" style="3023" customWidth="1"/>
    <col min="1807" max="1808" width="10.44140625" style="3023" bestFit="1" customWidth="1"/>
    <col min="1809" max="1809" width="10" style="3023" customWidth="1"/>
    <col min="1810" max="1810" width="10.109375" style="3023" customWidth="1"/>
    <col min="1811" max="1811" width="10" style="3023" customWidth="1"/>
    <col min="1812" max="1812" width="26.109375" style="3023" customWidth="1"/>
    <col min="1813" max="2048" width="8.88671875" style="3023"/>
    <col min="2049" max="2049" width="9.44140625" style="3023" customWidth="1"/>
    <col min="2050" max="2050" width="8.88671875" style="3023"/>
    <col min="2051" max="2053" width="12.88671875" style="3023" customWidth="1"/>
    <col min="2054" max="2054" width="47.44140625" style="3023" customWidth="1"/>
    <col min="2055" max="2055" width="13" style="3023" customWidth="1"/>
    <col min="2056" max="2057" width="8.88671875" style="3023"/>
    <col min="2058" max="2058" width="5.77734375" style="3023" customWidth="1"/>
    <col min="2059" max="2059" width="11.77734375" style="3023" customWidth="1"/>
    <col min="2060" max="2061" width="10.77734375" style="3023" customWidth="1"/>
    <col min="2062" max="2062" width="10" style="3023" customWidth="1"/>
    <col min="2063" max="2064" width="10.44140625" style="3023" bestFit="1" customWidth="1"/>
    <col min="2065" max="2065" width="10" style="3023" customWidth="1"/>
    <col min="2066" max="2066" width="10.109375" style="3023" customWidth="1"/>
    <col min="2067" max="2067" width="10" style="3023" customWidth="1"/>
    <col min="2068" max="2068" width="26.109375" style="3023" customWidth="1"/>
    <col min="2069" max="2304" width="8.88671875" style="3023"/>
    <col min="2305" max="2305" width="9.44140625" style="3023" customWidth="1"/>
    <col min="2306" max="2306" width="8.88671875" style="3023"/>
    <col min="2307" max="2309" width="12.88671875" style="3023" customWidth="1"/>
    <col min="2310" max="2310" width="47.44140625" style="3023" customWidth="1"/>
    <col min="2311" max="2311" width="13" style="3023" customWidth="1"/>
    <col min="2312" max="2313" width="8.88671875" style="3023"/>
    <col min="2314" max="2314" width="5.77734375" style="3023" customWidth="1"/>
    <col min="2315" max="2315" width="11.77734375" style="3023" customWidth="1"/>
    <col min="2316" max="2317" width="10.77734375" style="3023" customWidth="1"/>
    <col min="2318" max="2318" width="10" style="3023" customWidth="1"/>
    <col min="2319" max="2320" width="10.44140625" style="3023" bestFit="1" customWidth="1"/>
    <col min="2321" max="2321" width="10" style="3023" customWidth="1"/>
    <col min="2322" max="2322" width="10.109375" style="3023" customWidth="1"/>
    <col min="2323" max="2323" width="10" style="3023" customWidth="1"/>
    <col min="2324" max="2324" width="26.109375" style="3023" customWidth="1"/>
    <col min="2325" max="2560" width="8.88671875" style="3023"/>
    <col min="2561" max="2561" width="9.44140625" style="3023" customWidth="1"/>
    <col min="2562" max="2562" width="8.88671875" style="3023"/>
    <col min="2563" max="2565" width="12.88671875" style="3023" customWidth="1"/>
    <col min="2566" max="2566" width="47.44140625" style="3023" customWidth="1"/>
    <col min="2567" max="2567" width="13" style="3023" customWidth="1"/>
    <col min="2568" max="2569" width="8.88671875" style="3023"/>
    <col min="2570" max="2570" width="5.77734375" style="3023" customWidth="1"/>
    <col min="2571" max="2571" width="11.77734375" style="3023" customWidth="1"/>
    <col min="2572" max="2573" width="10.77734375" style="3023" customWidth="1"/>
    <col min="2574" max="2574" width="10" style="3023" customWidth="1"/>
    <col min="2575" max="2576" width="10.44140625" style="3023" bestFit="1" customWidth="1"/>
    <col min="2577" max="2577" width="10" style="3023" customWidth="1"/>
    <col min="2578" max="2578" width="10.109375" style="3023" customWidth="1"/>
    <col min="2579" max="2579" width="10" style="3023" customWidth="1"/>
    <col min="2580" max="2580" width="26.109375" style="3023" customWidth="1"/>
    <col min="2581" max="2816" width="8.88671875" style="3023"/>
    <col min="2817" max="2817" width="9.44140625" style="3023" customWidth="1"/>
    <col min="2818" max="2818" width="8.88671875" style="3023"/>
    <col min="2819" max="2821" width="12.88671875" style="3023" customWidth="1"/>
    <col min="2822" max="2822" width="47.44140625" style="3023" customWidth="1"/>
    <col min="2823" max="2823" width="13" style="3023" customWidth="1"/>
    <col min="2824" max="2825" width="8.88671875" style="3023"/>
    <col min="2826" max="2826" width="5.77734375" style="3023" customWidth="1"/>
    <col min="2827" max="2827" width="11.77734375" style="3023" customWidth="1"/>
    <col min="2828" max="2829" width="10.77734375" style="3023" customWidth="1"/>
    <col min="2830" max="2830" width="10" style="3023" customWidth="1"/>
    <col min="2831" max="2832" width="10.44140625" style="3023" bestFit="1" customWidth="1"/>
    <col min="2833" max="2833" width="10" style="3023" customWidth="1"/>
    <col min="2834" max="2834" width="10.109375" style="3023" customWidth="1"/>
    <col min="2835" max="2835" width="10" style="3023" customWidth="1"/>
    <col min="2836" max="2836" width="26.109375" style="3023" customWidth="1"/>
    <col min="2837" max="3072" width="8.88671875" style="3023"/>
    <col min="3073" max="3073" width="9.44140625" style="3023" customWidth="1"/>
    <col min="3074" max="3074" width="8.88671875" style="3023"/>
    <col min="3075" max="3077" width="12.88671875" style="3023" customWidth="1"/>
    <col min="3078" max="3078" width="47.44140625" style="3023" customWidth="1"/>
    <col min="3079" max="3079" width="13" style="3023" customWidth="1"/>
    <col min="3080" max="3081" width="8.88671875" style="3023"/>
    <col min="3082" max="3082" width="5.77734375" style="3023" customWidth="1"/>
    <col min="3083" max="3083" width="11.77734375" style="3023" customWidth="1"/>
    <col min="3084" max="3085" width="10.77734375" style="3023" customWidth="1"/>
    <col min="3086" max="3086" width="10" style="3023" customWidth="1"/>
    <col min="3087" max="3088" width="10.44140625" style="3023" bestFit="1" customWidth="1"/>
    <col min="3089" max="3089" width="10" style="3023" customWidth="1"/>
    <col min="3090" max="3090" width="10.109375" style="3023" customWidth="1"/>
    <col min="3091" max="3091" width="10" style="3023" customWidth="1"/>
    <col min="3092" max="3092" width="26.109375" style="3023" customWidth="1"/>
    <col min="3093" max="3328" width="8.88671875" style="3023"/>
    <col min="3329" max="3329" width="9.44140625" style="3023" customWidth="1"/>
    <col min="3330" max="3330" width="8.88671875" style="3023"/>
    <col min="3331" max="3333" width="12.88671875" style="3023" customWidth="1"/>
    <col min="3334" max="3334" width="47.44140625" style="3023" customWidth="1"/>
    <col min="3335" max="3335" width="13" style="3023" customWidth="1"/>
    <col min="3336" max="3337" width="8.88671875" style="3023"/>
    <col min="3338" max="3338" width="5.77734375" style="3023" customWidth="1"/>
    <col min="3339" max="3339" width="11.77734375" style="3023" customWidth="1"/>
    <col min="3340" max="3341" width="10.77734375" style="3023" customWidth="1"/>
    <col min="3342" max="3342" width="10" style="3023" customWidth="1"/>
    <col min="3343" max="3344" width="10.44140625" style="3023" bestFit="1" customWidth="1"/>
    <col min="3345" max="3345" width="10" style="3023" customWidth="1"/>
    <col min="3346" max="3346" width="10.109375" style="3023" customWidth="1"/>
    <col min="3347" max="3347" width="10" style="3023" customWidth="1"/>
    <col min="3348" max="3348" width="26.109375" style="3023" customWidth="1"/>
    <col min="3349" max="3584" width="8.88671875" style="3023"/>
    <col min="3585" max="3585" width="9.44140625" style="3023" customWidth="1"/>
    <col min="3586" max="3586" width="8.88671875" style="3023"/>
    <col min="3587" max="3589" width="12.88671875" style="3023" customWidth="1"/>
    <col min="3590" max="3590" width="47.44140625" style="3023" customWidth="1"/>
    <col min="3591" max="3591" width="13" style="3023" customWidth="1"/>
    <col min="3592" max="3593" width="8.88671875" style="3023"/>
    <col min="3594" max="3594" width="5.77734375" style="3023" customWidth="1"/>
    <col min="3595" max="3595" width="11.77734375" style="3023" customWidth="1"/>
    <col min="3596" max="3597" width="10.77734375" style="3023" customWidth="1"/>
    <col min="3598" max="3598" width="10" style="3023" customWidth="1"/>
    <col min="3599" max="3600" width="10.44140625" style="3023" bestFit="1" customWidth="1"/>
    <col min="3601" max="3601" width="10" style="3023" customWidth="1"/>
    <col min="3602" max="3602" width="10.109375" style="3023" customWidth="1"/>
    <col min="3603" max="3603" width="10" style="3023" customWidth="1"/>
    <col min="3604" max="3604" width="26.109375" style="3023" customWidth="1"/>
    <col min="3605" max="3840" width="8.88671875" style="3023"/>
    <col min="3841" max="3841" width="9.44140625" style="3023" customWidth="1"/>
    <col min="3842" max="3842" width="8.88671875" style="3023"/>
    <col min="3843" max="3845" width="12.88671875" style="3023" customWidth="1"/>
    <col min="3846" max="3846" width="47.44140625" style="3023" customWidth="1"/>
    <col min="3847" max="3847" width="13" style="3023" customWidth="1"/>
    <col min="3848" max="3849" width="8.88671875" style="3023"/>
    <col min="3850" max="3850" width="5.77734375" style="3023" customWidth="1"/>
    <col min="3851" max="3851" width="11.77734375" style="3023" customWidth="1"/>
    <col min="3852" max="3853" width="10.77734375" style="3023" customWidth="1"/>
    <col min="3854" max="3854" width="10" style="3023" customWidth="1"/>
    <col min="3855" max="3856" width="10.44140625" style="3023" bestFit="1" customWidth="1"/>
    <col min="3857" max="3857" width="10" style="3023" customWidth="1"/>
    <col min="3858" max="3858" width="10.109375" style="3023" customWidth="1"/>
    <col min="3859" max="3859" width="10" style="3023" customWidth="1"/>
    <col min="3860" max="3860" width="26.109375" style="3023" customWidth="1"/>
    <col min="3861" max="4096" width="8.88671875" style="3023"/>
    <col min="4097" max="4097" width="9.44140625" style="3023" customWidth="1"/>
    <col min="4098" max="4098" width="8.88671875" style="3023"/>
    <col min="4099" max="4101" width="12.88671875" style="3023" customWidth="1"/>
    <col min="4102" max="4102" width="47.44140625" style="3023" customWidth="1"/>
    <col min="4103" max="4103" width="13" style="3023" customWidth="1"/>
    <col min="4104" max="4105" width="8.88671875" style="3023"/>
    <col min="4106" max="4106" width="5.77734375" style="3023" customWidth="1"/>
    <col min="4107" max="4107" width="11.77734375" style="3023" customWidth="1"/>
    <col min="4108" max="4109" width="10.77734375" style="3023" customWidth="1"/>
    <col min="4110" max="4110" width="10" style="3023" customWidth="1"/>
    <col min="4111" max="4112" width="10.44140625" style="3023" bestFit="1" customWidth="1"/>
    <col min="4113" max="4113" width="10" style="3023" customWidth="1"/>
    <col min="4114" max="4114" width="10.109375" style="3023" customWidth="1"/>
    <col min="4115" max="4115" width="10" style="3023" customWidth="1"/>
    <col min="4116" max="4116" width="26.109375" style="3023" customWidth="1"/>
    <col min="4117" max="4352" width="8.88671875" style="3023"/>
    <col min="4353" max="4353" width="9.44140625" style="3023" customWidth="1"/>
    <col min="4354" max="4354" width="8.88671875" style="3023"/>
    <col min="4355" max="4357" width="12.88671875" style="3023" customWidth="1"/>
    <col min="4358" max="4358" width="47.44140625" style="3023" customWidth="1"/>
    <col min="4359" max="4359" width="13" style="3023" customWidth="1"/>
    <col min="4360" max="4361" width="8.88671875" style="3023"/>
    <col min="4362" max="4362" width="5.77734375" style="3023" customWidth="1"/>
    <col min="4363" max="4363" width="11.77734375" style="3023" customWidth="1"/>
    <col min="4364" max="4365" width="10.77734375" style="3023" customWidth="1"/>
    <col min="4366" max="4366" width="10" style="3023" customWidth="1"/>
    <col min="4367" max="4368" width="10.44140625" style="3023" bestFit="1" customWidth="1"/>
    <col min="4369" max="4369" width="10" style="3023" customWidth="1"/>
    <col min="4370" max="4370" width="10.109375" style="3023" customWidth="1"/>
    <col min="4371" max="4371" width="10" style="3023" customWidth="1"/>
    <col min="4372" max="4372" width="26.109375" style="3023" customWidth="1"/>
    <col min="4373" max="4608" width="8.88671875" style="3023"/>
    <col min="4609" max="4609" width="9.44140625" style="3023" customWidth="1"/>
    <col min="4610" max="4610" width="8.88671875" style="3023"/>
    <col min="4611" max="4613" width="12.88671875" style="3023" customWidth="1"/>
    <col min="4614" max="4614" width="47.44140625" style="3023" customWidth="1"/>
    <col min="4615" max="4615" width="13" style="3023" customWidth="1"/>
    <col min="4616" max="4617" width="8.88671875" style="3023"/>
    <col min="4618" max="4618" width="5.77734375" style="3023" customWidth="1"/>
    <col min="4619" max="4619" width="11.77734375" style="3023" customWidth="1"/>
    <col min="4620" max="4621" width="10.77734375" style="3023" customWidth="1"/>
    <col min="4622" max="4622" width="10" style="3023" customWidth="1"/>
    <col min="4623" max="4624" width="10.44140625" style="3023" bestFit="1" customWidth="1"/>
    <col min="4625" max="4625" width="10" style="3023" customWidth="1"/>
    <col min="4626" max="4626" width="10.109375" style="3023" customWidth="1"/>
    <col min="4627" max="4627" width="10" style="3023" customWidth="1"/>
    <col min="4628" max="4628" width="26.109375" style="3023" customWidth="1"/>
    <col min="4629" max="4864" width="8.88671875" style="3023"/>
    <col min="4865" max="4865" width="9.44140625" style="3023" customWidth="1"/>
    <col min="4866" max="4866" width="8.88671875" style="3023"/>
    <col min="4867" max="4869" width="12.88671875" style="3023" customWidth="1"/>
    <col min="4870" max="4870" width="47.44140625" style="3023" customWidth="1"/>
    <col min="4871" max="4871" width="13" style="3023" customWidth="1"/>
    <col min="4872" max="4873" width="8.88671875" style="3023"/>
    <col min="4874" max="4874" width="5.77734375" style="3023" customWidth="1"/>
    <col min="4875" max="4875" width="11.77734375" style="3023" customWidth="1"/>
    <col min="4876" max="4877" width="10.77734375" style="3023" customWidth="1"/>
    <col min="4878" max="4878" width="10" style="3023" customWidth="1"/>
    <col min="4879" max="4880" width="10.44140625" style="3023" bestFit="1" customWidth="1"/>
    <col min="4881" max="4881" width="10" style="3023" customWidth="1"/>
    <col min="4882" max="4882" width="10.109375" style="3023" customWidth="1"/>
    <col min="4883" max="4883" width="10" style="3023" customWidth="1"/>
    <col min="4884" max="4884" width="26.109375" style="3023" customWidth="1"/>
    <col min="4885" max="5120" width="8.88671875" style="3023"/>
    <col min="5121" max="5121" width="9.44140625" style="3023" customWidth="1"/>
    <col min="5122" max="5122" width="8.88671875" style="3023"/>
    <col min="5123" max="5125" width="12.88671875" style="3023" customWidth="1"/>
    <col min="5126" max="5126" width="47.44140625" style="3023" customWidth="1"/>
    <col min="5127" max="5127" width="13" style="3023" customWidth="1"/>
    <col min="5128" max="5129" width="8.88671875" style="3023"/>
    <col min="5130" max="5130" width="5.77734375" style="3023" customWidth="1"/>
    <col min="5131" max="5131" width="11.77734375" style="3023" customWidth="1"/>
    <col min="5132" max="5133" width="10.77734375" style="3023" customWidth="1"/>
    <col min="5134" max="5134" width="10" style="3023" customWidth="1"/>
    <col min="5135" max="5136" width="10.44140625" style="3023" bestFit="1" customWidth="1"/>
    <col min="5137" max="5137" width="10" style="3023" customWidth="1"/>
    <col min="5138" max="5138" width="10.109375" style="3023" customWidth="1"/>
    <col min="5139" max="5139" width="10" style="3023" customWidth="1"/>
    <col min="5140" max="5140" width="26.109375" style="3023" customWidth="1"/>
    <col min="5141" max="5376" width="8.88671875" style="3023"/>
    <col min="5377" max="5377" width="9.44140625" style="3023" customWidth="1"/>
    <col min="5378" max="5378" width="8.88671875" style="3023"/>
    <col min="5379" max="5381" width="12.88671875" style="3023" customWidth="1"/>
    <col min="5382" max="5382" width="47.44140625" style="3023" customWidth="1"/>
    <col min="5383" max="5383" width="13" style="3023" customWidth="1"/>
    <col min="5384" max="5385" width="8.88671875" style="3023"/>
    <col min="5386" max="5386" width="5.77734375" style="3023" customWidth="1"/>
    <col min="5387" max="5387" width="11.77734375" style="3023" customWidth="1"/>
    <col min="5388" max="5389" width="10.77734375" style="3023" customWidth="1"/>
    <col min="5390" max="5390" width="10" style="3023" customWidth="1"/>
    <col min="5391" max="5392" width="10.44140625" style="3023" bestFit="1" customWidth="1"/>
    <col min="5393" max="5393" width="10" style="3023" customWidth="1"/>
    <col min="5394" max="5394" width="10.109375" style="3023" customWidth="1"/>
    <col min="5395" max="5395" width="10" style="3023" customWidth="1"/>
    <col min="5396" max="5396" width="26.109375" style="3023" customWidth="1"/>
    <col min="5397" max="5632" width="8.88671875" style="3023"/>
    <col min="5633" max="5633" width="9.44140625" style="3023" customWidth="1"/>
    <col min="5634" max="5634" width="8.88671875" style="3023"/>
    <col min="5635" max="5637" width="12.88671875" style="3023" customWidth="1"/>
    <col min="5638" max="5638" width="47.44140625" style="3023" customWidth="1"/>
    <col min="5639" max="5639" width="13" style="3023" customWidth="1"/>
    <col min="5640" max="5641" width="8.88671875" style="3023"/>
    <col min="5642" max="5642" width="5.77734375" style="3023" customWidth="1"/>
    <col min="5643" max="5643" width="11.77734375" style="3023" customWidth="1"/>
    <col min="5644" max="5645" width="10.77734375" style="3023" customWidth="1"/>
    <col min="5646" max="5646" width="10" style="3023" customWidth="1"/>
    <col min="5647" max="5648" width="10.44140625" style="3023" bestFit="1" customWidth="1"/>
    <col min="5649" max="5649" width="10" style="3023" customWidth="1"/>
    <col min="5650" max="5650" width="10.109375" style="3023" customWidth="1"/>
    <col min="5651" max="5651" width="10" style="3023" customWidth="1"/>
    <col min="5652" max="5652" width="26.109375" style="3023" customWidth="1"/>
    <col min="5653" max="5888" width="8.88671875" style="3023"/>
    <col min="5889" max="5889" width="9.44140625" style="3023" customWidth="1"/>
    <col min="5890" max="5890" width="8.88671875" style="3023"/>
    <col min="5891" max="5893" width="12.88671875" style="3023" customWidth="1"/>
    <col min="5894" max="5894" width="47.44140625" style="3023" customWidth="1"/>
    <col min="5895" max="5895" width="13" style="3023" customWidth="1"/>
    <col min="5896" max="5897" width="8.88671875" style="3023"/>
    <col min="5898" max="5898" width="5.77734375" style="3023" customWidth="1"/>
    <col min="5899" max="5899" width="11.77734375" style="3023" customWidth="1"/>
    <col min="5900" max="5901" width="10.77734375" style="3023" customWidth="1"/>
    <col min="5902" max="5902" width="10" style="3023" customWidth="1"/>
    <col min="5903" max="5904" width="10.44140625" style="3023" bestFit="1" customWidth="1"/>
    <col min="5905" max="5905" width="10" style="3023" customWidth="1"/>
    <col min="5906" max="5906" width="10.109375" style="3023" customWidth="1"/>
    <col min="5907" max="5907" width="10" style="3023" customWidth="1"/>
    <col min="5908" max="5908" width="26.109375" style="3023" customWidth="1"/>
    <col min="5909" max="6144" width="8.88671875" style="3023"/>
    <col min="6145" max="6145" width="9.44140625" style="3023" customWidth="1"/>
    <col min="6146" max="6146" width="8.88671875" style="3023"/>
    <col min="6147" max="6149" width="12.88671875" style="3023" customWidth="1"/>
    <col min="6150" max="6150" width="47.44140625" style="3023" customWidth="1"/>
    <col min="6151" max="6151" width="13" style="3023" customWidth="1"/>
    <col min="6152" max="6153" width="8.88671875" style="3023"/>
    <col min="6154" max="6154" width="5.77734375" style="3023" customWidth="1"/>
    <col min="6155" max="6155" width="11.77734375" style="3023" customWidth="1"/>
    <col min="6156" max="6157" width="10.77734375" style="3023" customWidth="1"/>
    <col min="6158" max="6158" width="10" style="3023" customWidth="1"/>
    <col min="6159" max="6160" width="10.44140625" style="3023" bestFit="1" customWidth="1"/>
    <col min="6161" max="6161" width="10" style="3023" customWidth="1"/>
    <col min="6162" max="6162" width="10.109375" style="3023" customWidth="1"/>
    <col min="6163" max="6163" width="10" style="3023" customWidth="1"/>
    <col min="6164" max="6164" width="26.109375" style="3023" customWidth="1"/>
    <col min="6165" max="6400" width="8.88671875" style="3023"/>
    <col min="6401" max="6401" width="9.44140625" style="3023" customWidth="1"/>
    <col min="6402" max="6402" width="8.88671875" style="3023"/>
    <col min="6403" max="6405" width="12.88671875" style="3023" customWidth="1"/>
    <col min="6406" max="6406" width="47.44140625" style="3023" customWidth="1"/>
    <col min="6407" max="6407" width="13" style="3023" customWidth="1"/>
    <col min="6408" max="6409" width="8.88671875" style="3023"/>
    <col min="6410" max="6410" width="5.77734375" style="3023" customWidth="1"/>
    <col min="6411" max="6411" width="11.77734375" style="3023" customWidth="1"/>
    <col min="6412" max="6413" width="10.77734375" style="3023" customWidth="1"/>
    <col min="6414" max="6414" width="10" style="3023" customWidth="1"/>
    <col min="6415" max="6416" width="10.44140625" style="3023" bestFit="1" customWidth="1"/>
    <col min="6417" max="6417" width="10" style="3023" customWidth="1"/>
    <col min="6418" max="6418" width="10.109375" style="3023" customWidth="1"/>
    <col min="6419" max="6419" width="10" style="3023" customWidth="1"/>
    <col min="6420" max="6420" width="26.109375" style="3023" customWidth="1"/>
    <col min="6421" max="6656" width="8.88671875" style="3023"/>
    <col min="6657" max="6657" width="9.44140625" style="3023" customWidth="1"/>
    <col min="6658" max="6658" width="8.88671875" style="3023"/>
    <col min="6659" max="6661" width="12.88671875" style="3023" customWidth="1"/>
    <col min="6662" max="6662" width="47.44140625" style="3023" customWidth="1"/>
    <col min="6663" max="6663" width="13" style="3023" customWidth="1"/>
    <col min="6664" max="6665" width="8.88671875" style="3023"/>
    <col min="6666" max="6666" width="5.77734375" style="3023" customWidth="1"/>
    <col min="6667" max="6667" width="11.77734375" style="3023" customWidth="1"/>
    <col min="6668" max="6669" width="10.77734375" style="3023" customWidth="1"/>
    <col min="6670" max="6670" width="10" style="3023" customWidth="1"/>
    <col min="6671" max="6672" width="10.44140625" style="3023" bestFit="1" customWidth="1"/>
    <col min="6673" max="6673" width="10" style="3023" customWidth="1"/>
    <col min="6674" max="6674" width="10.109375" style="3023" customWidth="1"/>
    <col min="6675" max="6675" width="10" style="3023" customWidth="1"/>
    <col min="6676" max="6676" width="26.109375" style="3023" customWidth="1"/>
    <col min="6677" max="6912" width="8.88671875" style="3023"/>
    <col min="6913" max="6913" width="9.44140625" style="3023" customWidth="1"/>
    <col min="6914" max="6914" width="8.88671875" style="3023"/>
    <col min="6915" max="6917" width="12.88671875" style="3023" customWidth="1"/>
    <col min="6918" max="6918" width="47.44140625" style="3023" customWidth="1"/>
    <col min="6919" max="6919" width="13" style="3023" customWidth="1"/>
    <col min="6920" max="6921" width="8.88671875" style="3023"/>
    <col min="6922" max="6922" width="5.77734375" style="3023" customWidth="1"/>
    <col min="6923" max="6923" width="11.77734375" style="3023" customWidth="1"/>
    <col min="6924" max="6925" width="10.77734375" style="3023" customWidth="1"/>
    <col min="6926" max="6926" width="10" style="3023" customWidth="1"/>
    <col min="6927" max="6928" width="10.44140625" style="3023" bestFit="1" customWidth="1"/>
    <col min="6929" max="6929" width="10" style="3023" customWidth="1"/>
    <col min="6930" max="6930" width="10.109375" style="3023" customWidth="1"/>
    <col min="6931" max="6931" width="10" style="3023" customWidth="1"/>
    <col min="6932" max="6932" width="26.109375" style="3023" customWidth="1"/>
    <col min="6933" max="7168" width="8.88671875" style="3023"/>
    <col min="7169" max="7169" width="9.44140625" style="3023" customWidth="1"/>
    <col min="7170" max="7170" width="8.88671875" style="3023"/>
    <col min="7171" max="7173" width="12.88671875" style="3023" customWidth="1"/>
    <col min="7174" max="7174" width="47.44140625" style="3023" customWidth="1"/>
    <col min="7175" max="7175" width="13" style="3023" customWidth="1"/>
    <col min="7176" max="7177" width="8.88671875" style="3023"/>
    <col min="7178" max="7178" width="5.77734375" style="3023" customWidth="1"/>
    <col min="7179" max="7179" width="11.77734375" style="3023" customWidth="1"/>
    <col min="7180" max="7181" width="10.77734375" style="3023" customWidth="1"/>
    <col min="7182" max="7182" width="10" style="3023" customWidth="1"/>
    <col min="7183" max="7184" width="10.44140625" style="3023" bestFit="1" customWidth="1"/>
    <col min="7185" max="7185" width="10" style="3023" customWidth="1"/>
    <col min="7186" max="7186" width="10.109375" style="3023" customWidth="1"/>
    <col min="7187" max="7187" width="10" style="3023" customWidth="1"/>
    <col min="7188" max="7188" width="26.109375" style="3023" customWidth="1"/>
    <col min="7189" max="7424" width="8.88671875" style="3023"/>
    <col min="7425" max="7425" width="9.44140625" style="3023" customWidth="1"/>
    <col min="7426" max="7426" width="8.88671875" style="3023"/>
    <col min="7427" max="7429" width="12.88671875" style="3023" customWidth="1"/>
    <col min="7430" max="7430" width="47.44140625" style="3023" customWidth="1"/>
    <col min="7431" max="7431" width="13" style="3023" customWidth="1"/>
    <col min="7432" max="7433" width="8.88671875" style="3023"/>
    <col min="7434" max="7434" width="5.77734375" style="3023" customWidth="1"/>
    <col min="7435" max="7435" width="11.77734375" style="3023" customWidth="1"/>
    <col min="7436" max="7437" width="10.77734375" style="3023" customWidth="1"/>
    <col min="7438" max="7438" width="10" style="3023" customWidth="1"/>
    <col min="7439" max="7440" width="10.44140625" style="3023" bestFit="1" customWidth="1"/>
    <col min="7441" max="7441" width="10" style="3023" customWidth="1"/>
    <col min="7442" max="7442" width="10.109375" style="3023" customWidth="1"/>
    <col min="7443" max="7443" width="10" style="3023" customWidth="1"/>
    <col min="7444" max="7444" width="26.109375" style="3023" customWidth="1"/>
    <col min="7445" max="7680" width="8.88671875" style="3023"/>
    <col min="7681" max="7681" width="9.44140625" style="3023" customWidth="1"/>
    <col min="7682" max="7682" width="8.88671875" style="3023"/>
    <col min="7683" max="7685" width="12.88671875" style="3023" customWidth="1"/>
    <col min="7686" max="7686" width="47.44140625" style="3023" customWidth="1"/>
    <col min="7687" max="7687" width="13" style="3023" customWidth="1"/>
    <col min="7688" max="7689" width="8.88671875" style="3023"/>
    <col min="7690" max="7690" width="5.77734375" style="3023" customWidth="1"/>
    <col min="7691" max="7691" width="11.77734375" style="3023" customWidth="1"/>
    <col min="7692" max="7693" width="10.77734375" style="3023" customWidth="1"/>
    <col min="7694" max="7694" width="10" style="3023" customWidth="1"/>
    <col min="7695" max="7696" width="10.44140625" style="3023" bestFit="1" customWidth="1"/>
    <col min="7697" max="7697" width="10" style="3023" customWidth="1"/>
    <col min="7698" max="7698" width="10.109375" style="3023" customWidth="1"/>
    <col min="7699" max="7699" width="10" style="3023" customWidth="1"/>
    <col min="7700" max="7700" width="26.109375" style="3023" customWidth="1"/>
    <col min="7701" max="7936" width="8.88671875" style="3023"/>
    <col min="7937" max="7937" width="9.44140625" style="3023" customWidth="1"/>
    <col min="7938" max="7938" width="8.88671875" style="3023"/>
    <col min="7939" max="7941" width="12.88671875" style="3023" customWidth="1"/>
    <col min="7942" max="7942" width="47.44140625" style="3023" customWidth="1"/>
    <col min="7943" max="7943" width="13" style="3023" customWidth="1"/>
    <col min="7944" max="7945" width="8.88671875" style="3023"/>
    <col min="7946" max="7946" width="5.77734375" style="3023" customWidth="1"/>
    <col min="7947" max="7947" width="11.77734375" style="3023" customWidth="1"/>
    <col min="7948" max="7949" width="10.77734375" style="3023" customWidth="1"/>
    <col min="7950" max="7950" width="10" style="3023" customWidth="1"/>
    <col min="7951" max="7952" width="10.44140625" style="3023" bestFit="1" customWidth="1"/>
    <col min="7953" max="7953" width="10" style="3023" customWidth="1"/>
    <col min="7954" max="7954" width="10.109375" style="3023" customWidth="1"/>
    <col min="7955" max="7955" width="10" style="3023" customWidth="1"/>
    <col min="7956" max="7956" width="26.109375" style="3023" customWidth="1"/>
    <col min="7957" max="8192" width="8.88671875" style="3023"/>
    <col min="8193" max="8193" width="9.44140625" style="3023" customWidth="1"/>
    <col min="8194" max="8194" width="8.88671875" style="3023"/>
    <col min="8195" max="8197" width="12.88671875" style="3023" customWidth="1"/>
    <col min="8198" max="8198" width="47.44140625" style="3023" customWidth="1"/>
    <col min="8199" max="8199" width="13" style="3023" customWidth="1"/>
    <col min="8200" max="8201" width="8.88671875" style="3023"/>
    <col min="8202" max="8202" width="5.77734375" style="3023" customWidth="1"/>
    <col min="8203" max="8203" width="11.77734375" style="3023" customWidth="1"/>
    <col min="8204" max="8205" width="10.77734375" style="3023" customWidth="1"/>
    <col min="8206" max="8206" width="10" style="3023" customWidth="1"/>
    <col min="8207" max="8208" width="10.44140625" style="3023" bestFit="1" customWidth="1"/>
    <col min="8209" max="8209" width="10" style="3023" customWidth="1"/>
    <col min="8210" max="8210" width="10.109375" style="3023" customWidth="1"/>
    <col min="8211" max="8211" width="10" style="3023" customWidth="1"/>
    <col min="8212" max="8212" width="26.109375" style="3023" customWidth="1"/>
    <col min="8213" max="8448" width="8.88671875" style="3023"/>
    <col min="8449" max="8449" width="9.44140625" style="3023" customWidth="1"/>
    <col min="8450" max="8450" width="8.88671875" style="3023"/>
    <col min="8451" max="8453" width="12.88671875" style="3023" customWidth="1"/>
    <col min="8454" max="8454" width="47.44140625" style="3023" customWidth="1"/>
    <col min="8455" max="8455" width="13" style="3023" customWidth="1"/>
    <col min="8456" max="8457" width="8.88671875" style="3023"/>
    <col min="8458" max="8458" width="5.77734375" style="3023" customWidth="1"/>
    <col min="8459" max="8459" width="11.77734375" style="3023" customWidth="1"/>
    <col min="8460" max="8461" width="10.77734375" style="3023" customWidth="1"/>
    <col min="8462" max="8462" width="10" style="3023" customWidth="1"/>
    <col min="8463" max="8464" width="10.44140625" style="3023" bestFit="1" customWidth="1"/>
    <col min="8465" max="8465" width="10" style="3023" customWidth="1"/>
    <col min="8466" max="8466" width="10.109375" style="3023" customWidth="1"/>
    <col min="8467" max="8467" width="10" style="3023" customWidth="1"/>
    <col min="8468" max="8468" width="26.109375" style="3023" customWidth="1"/>
    <col min="8469" max="8704" width="8.88671875" style="3023"/>
    <col min="8705" max="8705" width="9.44140625" style="3023" customWidth="1"/>
    <col min="8706" max="8706" width="8.88671875" style="3023"/>
    <col min="8707" max="8709" width="12.88671875" style="3023" customWidth="1"/>
    <col min="8710" max="8710" width="47.44140625" style="3023" customWidth="1"/>
    <col min="8711" max="8711" width="13" style="3023" customWidth="1"/>
    <col min="8712" max="8713" width="8.88671875" style="3023"/>
    <col min="8714" max="8714" width="5.77734375" style="3023" customWidth="1"/>
    <col min="8715" max="8715" width="11.77734375" style="3023" customWidth="1"/>
    <col min="8716" max="8717" width="10.77734375" style="3023" customWidth="1"/>
    <col min="8718" max="8718" width="10" style="3023" customWidth="1"/>
    <col min="8719" max="8720" width="10.44140625" style="3023" bestFit="1" customWidth="1"/>
    <col min="8721" max="8721" width="10" style="3023" customWidth="1"/>
    <col min="8722" max="8722" width="10.109375" style="3023" customWidth="1"/>
    <col min="8723" max="8723" width="10" style="3023" customWidth="1"/>
    <col min="8724" max="8724" width="26.109375" style="3023" customWidth="1"/>
    <col min="8725" max="8960" width="8.88671875" style="3023"/>
    <col min="8961" max="8961" width="9.44140625" style="3023" customWidth="1"/>
    <col min="8962" max="8962" width="8.88671875" style="3023"/>
    <col min="8963" max="8965" width="12.88671875" style="3023" customWidth="1"/>
    <col min="8966" max="8966" width="47.44140625" style="3023" customWidth="1"/>
    <col min="8967" max="8967" width="13" style="3023" customWidth="1"/>
    <col min="8968" max="8969" width="8.88671875" style="3023"/>
    <col min="8970" max="8970" width="5.77734375" style="3023" customWidth="1"/>
    <col min="8971" max="8971" width="11.77734375" style="3023" customWidth="1"/>
    <col min="8972" max="8973" width="10.77734375" style="3023" customWidth="1"/>
    <col min="8974" max="8974" width="10" style="3023" customWidth="1"/>
    <col min="8975" max="8976" width="10.44140625" style="3023" bestFit="1" customWidth="1"/>
    <col min="8977" max="8977" width="10" style="3023" customWidth="1"/>
    <col min="8978" max="8978" width="10.109375" style="3023" customWidth="1"/>
    <col min="8979" max="8979" width="10" style="3023" customWidth="1"/>
    <col min="8980" max="8980" width="26.109375" style="3023" customWidth="1"/>
    <col min="8981" max="9216" width="8.88671875" style="3023"/>
    <col min="9217" max="9217" width="9.44140625" style="3023" customWidth="1"/>
    <col min="9218" max="9218" width="8.88671875" style="3023"/>
    <col min="9219" max="9221" width="12.88671875" style="3023" customWidth="1"/>
    <col min="9222" max="9222" width="47.44140625" style="3023" customWidth="1"/>
    <col min="9223" max="9223" width="13" style="3023" customWidth="1"/>
    <col min="9224" max="9225" width="8.88671875" style="3023"/>
    <col min="9226" max="9226" width="5.77734375" style="3023" customWidth="1"/>
    <col min="9227" max="9227" width="11.77734375" style="3023" customWidth="1"/>
    <col min="9228" max="9229" width="10.77734375" style="3023" customWidth="1"/>
    <col min="9230" max="9230" width="10" style="3023" customWidth="1"/>
    <col min="9231" max="9232" width="10.44140625" style="3023" bestFit="1" customWidth="1"/>
    <col min="9233" max="9233" width="10" style="3023" customWidth="1"/>
    <col min="9234" max="9234" width="10.109375" style="3023" customWidth="1"/>
    <col min="9235" max="9235" width="10" style="3023" customWidth="1"/>
    <col min="9236" max="9236" width="26.109375" style="3023" customWidth="1"/>
    <col min="9237" max="9472" width="8.88671875" style="3023"/>
    <col min="9473" max="9473" width="9.44140625" style="3023" customWidth="1"/>
    <col min="9474" max="9474" width="8.88671875" style="3023"/>
    <col min="9475" max="9477" width="12.88671875" style="3023" customWidth="1"/>
    <col min="9478" max="9478" width="47.44140625" style="3023" customWidth="1"/>
    <col min="9479" max="9479" width="13" style="3023" customWidth="1"/>
    <col min="9480" max="9481" width="8.88671875" style="3023"/>
    <col min="9482" max="9482" width="5.77734375" style="3023" customWidth="1"/>
    <col min="9483" max="9483" width="11.77734375" style="3023" customWidth="1"/>
    <col min="9484" max="9485" width="10.77734375" style="3023" customWidth="1"/>
    <col min="9486" max="9486" width="10" style="3023" customWidth="1"/>
    <col min="9487" max="9488" width="10.44140625" style="3023" bestFit="1" customWidth="1"/>
    <col min="9489" max="9489" width="10" style="3023" customWidth="1"/>
    <col min="9490" max="9490" width="10.109375" style="3023" customWidth="1"/>
    <col min="9491" max="9491" width="10" style="3023" customWidth="1"/>
    <col min="9492" max="9492" width="26.109375" style="3023" customWidth="1"/>
    <col min="9493" max="9728" width="8.88671875" style="3023"/>
    <col min="9729" max="9729" width="9.44140625" style="3023" customWidth="1"/>
    <col min="9730" max="9730" width="8.88671875" style="3023"/>
    <col min="9731" max="9733" width="12.88671875" style="3023" customWidth="1"/>
    <col min="9734" max="9734" width="47.44140625" style="3023" customWidth="1"/>
    <col min="9735" max="9735" width="13" style="3023" customWidth="1"/>
    <col min="9736" max="9737" width="8.88671875" style="3023"/>
    <col min="9738" max="9738" width="5.77734375" style="3023" customWidth="1"/>
    <col min="9739" max="9739" width="11.77734375" style="3023" customWidth="1"/>
    <col min="9740" max="9741" width="10.77734375" style="3023" customWidth="1"/>
    <col min="9742" max="9742" width="10" style="3023" customWidth="1"/>
    <col min="9743" max="9744" width="10.44140625" style="3023" bestFit="1" customWidth="1"/>
    <col min="9745" max="9745" width="10" style="3023" customWidth="1"/>
    <col min="9746" max="9746" width="10.109375" style="3023" customWidth="1"/>
    <col min="9747" max="9747" width="10" style="3023" customWidth="1"/>
    <col min="9748" max="9748" width="26.109375" style="3023" customWidth="1"/>
    <col min="9749" max="9984" width="8.88671875" style="3023"/>
    <col min="9985" max="9985" width="9.44140625" style="3023" customWidth="1"/>
    <col min="9986" max="9986" width="8.88671875" style="3023"/>
    <col min="9987" max="9989" width="12.88671875" style="3023" customWidth="1"/>
    <col min="9990" max="9990" width="47.44140625" style="3023" customWidth="1"/>
    <col min="9991" max="9991" width="13" style="3023" customWidth="1"/>
    <col min="9992" max="9993" width="8.88671875" style="3023"/>
    <col min="9994" max="9994" width="5.77734375" style="3023" customWidth="1"/>
    <col min="9995" max="9995" width="11.77734375" style="3023" customWidth="1"/>
    <col min="9996" max="9997" width="10.77734375" style="3023" customWidth="1"/>
    <col min="9998" max="9998" width="10" style="3023" customWidth="1"/>
    <col min="9999" max="10000" width="10.44140625" style="3023" bestFit="1" customWidth="1"/>
    <col min="10001" max="10001" width="10" style="3023" customWidth="1"/>
    <col min="10002" max="10002" width="10.109375" style="3023" customWidth="1"/>
    <col min="10003" max="10003" width="10" style="3023" customWidth="1"/>
    <col min="10004" max="10004" width="26.109375" style="3023" customWidth="1"/>
    <col min="10005" max="10240" width="8.88671875" style="3023"/>
    <col min="10241" max="10241" width="9.44140625" style="3023" customWidth="1"/>
    <col min="10242" max="10242" width="8.88671875" style="3023"/>
    <col min="10243" max="10245" width="12.88671875" style="3023" customWidth="1"/>
    <col min="10246" max="10246" width="47.44140625" style="3023" customWidth="1"/>
    <col min="10247" max="10247" width="13" style="3023" customWidth="1"/>
    <col min="10248" max="10249" width="8.88671875" style="3023"/>
    <col min="10250" max="10250" width="5.77734375" style="3023" customWidth="1"/>
    <col min="10251" max="10251" width="11.77734375" style="3023" customWidth="1"/>
    <col min="10252" max="10253" width="10.77734375" style="3023" customWidth="1"/>
    <col min="10254" max="10254" width="10" style="3023" customWidth="1"/>
    <col min="10255" max="10256" width="10.44140625" style="3023" bestFit="1" customWidth="1"/>
    <col min="10257" max="10257" width="10" style="3023" customWidth="1"/>
    <col min="10258" max="10258" width="10.109375" style="3023" customWidth="1"/>
    <col min="10259" max="10259" width="10" style="3023" customWidth="1"/>
    <col min="10260" max="10260" width="26.109375" style="3023" customWidth="1"/>
    <col min="10261" max="10496" width="8.88671875" style="3023"/>
    <col min="10497" max="10497" width="9.44140625" style="3023" customWidth="1"/>
    <col min="10498" max="10498" width="8.88671875" style="3023"/>
    <col min="10499" max="10501" width="12.88671875" style="3023" customWidth="1"/>
    <col min="10502" max="10502" width="47.44140625" style="3023" customWidth="1"/>
    <col min="10503" max="10503" width="13" style="3023" customWidth="1"/>
    <col min="10504" max="10505" width="8.88671875" style="3023"/>
    <col min="10506" max="10506" width="5.77734375" style="3023" customWidth="1"/>
    <col min="10507" max="10507" width="11.77734375" style="3023" customWidth="1"/>
    <col min="10508" max="10509" width="10.77734375" style="3023" customWidth="1"/>
    <col min="10510" max="10510" width="10" style="3023" customWidth="1"/>
    <col min="10511" max="10512" width="10.44140625" style="3023" bestFit="1" customWidth="1"/>
    <col min="10513" max="10513" width="10" style="3023" customWidth="1"/>
    <col min="10514" max="10514" width="10.109375" style="3023" customWidth="1"/>
    <col min="10515" max="10515" width="10" style="3023" customWidth="1"/>
    <col min="10516" max="10516" width="26.109375" style="3023" customWidth="1"/>
    <col min="10517" max="10752" width="8.88671875" style="3023"/>
    <col min="10753" max="10753" width="9.44140625" style="3023" customWidth="1"/>
    <col min="10754" max="10754" width="8.88671875" style="3023"/>
    <col min="10755" max="10757" width="12.88671875" style="3023" customWidth="1"/>
    <col min="10758" max="10758" width="47.44140625" style="3023" customWidth="1"/>
    <col min="10759" max="10759" width="13" style="3023" customWidth="1"/>
    <col min="10760" max="10761" width="8.88671875" style="3023"/>
    <col min="10762" max="10762" width="5.77734375" style="3023" customWidth="1"/>
    <col min="10763" max="10763" width="11.77734375" style="3023" customWidth="1"/>
    <col min="10764" max="10765" width="10.77734375" style="3023" customWidth="1"/>
    <col min="10766" max="10766" width="10" style="3023" customWidth="1"/>
    <col min="10767" max="10768" width="10.44140625" style="3023" bestFit="1" customWidth="1"/>
    <col min="10769" max="10769" width="10" style="3023" customWidth="1"/>
    <col min="10770" max="10770" width="10.109375" style="3023" customWidth="1"/>
    <col min="10771" max="10771" width="10" style="3023" customWidth="1"/>
    <col min="10772" max="10772" width="26.109375" style="3023" customWidth="1"/>
    <col min="10773" max="11008" width="8.88671875" style="3023"/>
    <col min="11009" max="11009" width="9.44140625" style="3023" customWidth="1"/>
    <col min="11010" max="11010" width="8.88671875" style="3023"/>
    <col min="11011" max="11013" width="12.88671875" style="3023" customWidth="1"/>
    <col min="11014" max="11014" width="47.44140625" style="3023" customWidth="1"/>
    <col min="11015" max="11015" width="13" style="3023" customWidth="1"/>
    <col min="11016" max="11017" width="8.88671875" style="3023"/>
    <col min="11018" max="11018" width="5.77734375" style="3023" customWidth="1"/>
    <col min="11019" max="11019" width="11.77734375" style="3023" customWidth="1"/>
    <col min="11020" max="11021" width="10.77734375" style="3023" customWidth="1"/>
    <col min="11022" max="11022" width="10" style="3023" customWidth="1"/>
    <col min="11023" max="11024" width="10.44140625" style="3023" bestFit="1" customWidth="1"/>
    <col min="11025" max="11025" width="10" style="3023" customWidth="1"/>
    <col min="11026" max="11026" width="10.109375" style="3023" customWidth="1"/>
    <col min="11027" max="11027" width="10" style="3023" customWidth="1"/>
    <col min="11028" max="11028" width="26.109375" style="3023" customWidth="1"/>
    <col min="11029" max="11264" width="8.88671875" style="3023"/>
    <col min="11265" max="11265" width="9.44140625" style="3023" customWidth="1"/>
    <col min="11266" max="11266" width="8.88671875" style="3023"/>
    <col min="11267" max="11269" width="12.88671875" style="3023" customWidth="1"/>
    <col min="11270" max="11270" width="47.44140625" style="3023" customWidth="1"/>
    <col min="11271" max="11271" width="13" style="3023" customWidth="1"/>
    <col min="11272" max="11273" width="8.88671875" style="3023"/>
    <col min="11274" max="11274" width="5.77734375" style="3023" customWidth="1"/>
    <col min="11275" max="11275" width="11.77734375" style="3023" customWidth="1"/>
    <col min="11276" max="11277" width="10.77734375" style="3023" customWidth="1"/>
    <col min="11278" max="11278" width="10" style="3023" customWidth="1"/>
    <col min="11279" max="11280" width="10.44140625" style="3023" bestFit="1" customWidth="1"/>
    <col min="11281" max="11281" width="10" style="3023" customWidth="1"/>
    <col min="11282" max="11282" width="10.109375" style="3023" customWidth="1"/>
    <col min="11283" max="11283" width="10" style="3023" customWidth="1"/>
    <col min="11284" max="11284" width="26.109375" style="3023" customWidth="1"/>
    <col min="11285" max="11520" width="8.88671875" style="3023"/>
    <col min="11521" max="11521" width="9.44140625" style="3023" customWidth="1"/>
    <col min="11522" max="11522" width="8.88671875" style="3023"/>
    <col min="11523" max="11525" width="12.88671875" style="3023" customWidth="1"/>
    <col min="11526" max="11526" width="47.44140625" style="3023" customWidth="1"/>
    <col min="11527" max="11527" width="13" style="3023" customWidth="1"/>
    <col min="11528" max="11529" width="8.88671875" style="3023"/>
    <col min="11530" max="11530" width="5.77734375" style="3023" customWidth="1"/>
    <col min="11531" max="11531" width="11.77734375" style="3023" customWidth="1"/>
    <col min="11532" max="11533" width="10.77734375" style="3023" customWidth="1"/>
    <col min="11534" max="11534" width="10" style="3023" customWidth="1"/>
    <col min="11535" max="11536" width="10.44140625" style="3023" bestFit="1" customWidth="1"/>
    <col min="11537" max="11537" width="10" style="3023" customWidth="1"/>
    <col min="11538" max="11538" width="10.109375" style="3023" customWidth="1"/>
    <col min="11539" max="11539" width="10" style="3023" customWidth="1"/>
    <col min="11540" max="11540" width="26.109375" style="3023" customWidth="1"/>
    <col min="11541" max="11776" width="8.88671875" style="3023"/>
    <col min="11777" max="11777" width="9.44140625" style="3023" customWidth="1"/>
    <col min="11778" max="11778" width="8.88671875" style="3023"/>
    <col min="11779" max="11781" width="12.88671875" style="3023" customWidth="1"/>
    <col min="11782" max="11782" width="47.44140625" style="3023" customWidth="1"/>
    <col min="11783" max="11783" width="13" style="3023" customWidth="1"/>
    <col min="11784" max="11785" width="8.88671875" style="3023"/>
    <col min="11786" max="11786" width="5.77734375" style="3023" customWidth="1"/>
    <col min="11787" max="11787" width="11.77734375" style="3023" customWidth="1"/>
    <col min="11788" max="11789" width="10.77734375" style="3023" customWidth="1"/>
    <col min="11790" max="11790" width="10" style="3023" customWidth="1"/>
    <col min="11791" max="11792" width="10.44140625" style="3023" bestFit="1" customWidth="1"/>
    <col min="11793" max="11793" width="10" style="3023" customWidth="1"/>
    <col min="11794" max="11794" width="10.109375" style="3023" customWidth="1"/>
    <col min="11795" max="11795" width="10" style="3023" customWidth="1"/>
    <col min="11796" max="11796" width="26.109375" style="3023" customWidth="1"/>
    <col min="11797" max="12032" width="8.88671875" style="3023"/>
    <col min="12033" max="12033" width="9.44140625" style="3023" customWidth="1"/>
    <col min="12034" max="12034" width="8.88671875" style="3023"/>
    <col min="12035" max="12037" width="12.88671875" style="3023" customWidth="1"/>
    <col min="12038" max="12038" width="47.44140625" style="3023" customWidth="1"/>
    <col min="12039" max="12039" width="13" style="3023" customWidth="1"/>
    <col min="12040" max="12041" width="8.88671875" style="3023"/>
    <col min="12042" max="12042" width="5.77734375" style="3023" customWidth="1"/>
    <col min="12043" max="12043" width="11.77734375" style="3023" customWidth="1"/>
    <col min="12044" max="12045" width="10.77734375" style="3023" customWidth="1"/>
    <col min="12046" max="12046" width="10" style="3023" customWidth="1"/>
    <col min="12047" max="12048" width="10.44140625" style="3023" bestFit="1" customWidth="1"/>
    <col min="12049" max="12049" width="10" style="3023" customWidth="1"/>
    <col min="12050" max="12050" width="10.109375" style="3023" customWidth="1"/>
    <col min="12051" max="12051" width="10" style="3023" customWidth="1"/>
    <col min="12052" max="12052" width="26.109375" style="3023" customWidth="1"/>
    <col min="12053" max="12288" width="8.88671875" style="3023"/>
    <col min="12289" max="12289" width="9.44140625" style="3023" customWidth="1"/>
    <col min="12290" max="12290" width="8.88671875" style="3023"/>
    <col min="12291" max="12293" width="12.88671875" style="3023" customWidth="1"/>
    <col min="12294" max="12294" width="47.44140625" style="3023" customWidth="1"/>
    <col min="12295" max="12295" width="13" style="3023" customWidth="1"/>
    <col min="12296" max="12297" width="8.88671875" style="3023"/>
    <col min="12298" max="12298" width="5.77734375" style="3023" customWidth="1"/>
    <col min="12299" max="12299" width="11.77734375" style="3023" customWidth="1"/>
    <col min="12300" max="12301" width="10.77734375" style="3023" customWidth="1"/>
    <col min="12302" max="12302" width="10" style="3023" customWidth="1"/>
    <col min="12303" max="12304" width="10.44140625" style="3023" bestFit="1" customWidth="1"/>
    <col min="12305" max="12305" width="10" style="3023" customWidth="1"/>
    <col min="12306" max="12306" width="10.109375" style="3023" customWidth="1"/>
    <col min="12307" max="12307" width="10" style="3023" customWidth="1"/>
    <col min="12308" max="12308" width="26.109375" style="3023" customWidth="1"/>
    <col min="12309" max="12544" width="8.88671875" style="3023"/>
    <col min="12545" max="12545" width="9.44140625" style="3023" customWidth="1"/>
    <col min="12546" max="12546" width="8.88671875" style="3023"/>
    <col min="12547" max="12549" width="12.88671875" style="3023" customWidth="1"/>
    <col min="12550" max="12550" width="47.44140625" style="3023" customWidth="1"/>
    <col min="12551" max="12551" width="13" style="3023" customWidth="1"/>
    <col min="12552" max="12553" width="8.88671875" style="3023"/>
    <col min="12554" max="12554" width="5.77734375" style="3023" customWidth="1"/>
    <col min="12555" max="12555" width="11.77734375" style="3023" customWidth="1"/>
    <col min="12556" max="12557" width="10.77734375" style="3023" customWidth="1"/>
    <col min="12558" max="12558" width="10" style="3023" customWidth="1"/>
    <col min="12559" max="12560" width="10.44140625" style="3023" bestFit="1" customWidth="1"/>
    <col min="12561" max="12561" width="10" style="3023" customWidth="1"/>
    <col min="12562" max="12562" width="10.109375" style="3023" customWidth="1"/>
    <col min="12563" max="12563" width="10" style="3023" customWidth="1"/>
    <col min="12564" max="12564" width="26.109375" style="3023" customWidth="1"/>
    <col min="12565" max="12800" width="8.88671875" style="3023"/>
    <col min="12801" max="12801" width="9.44140625" style="3023" customWidth="1"/>
    <col min="12802" max="12802" width="8.88671875" style="3023"/>
    <col min="12803" max="12805" width="12.88671875" style="3023" customWidth="1"/>
    <col min="12806" max="12806" width="47.44140625" style="3023" customWidth="1"/>
    <col min="12807" max="12807" width="13" style="3023" customWidth="1"/>
    <col min="12808" max="12809" width="8.88671875" style="3023"/>
    <col min="12810" max="12810" width="5.77734375" style="3023" customWidth="1"/>
    <col min="12811" max="12811" width="11.77734375" style="3023" customWidth="1"/>
    <col min="12812" max="12813" width="10.77734375" style="3023" customWidth="1"/>
    <col min="12814" max="12814" width="10" style="3023" customWidth="1"/>
    <col min="12815" max="12816" width="10.44140625" style="3023" bestFit="1" customWidth="1"/>
    <col min="12817" max="12817" width="10" style="3023" customWidth="1"/>
    <col min="12818" max="12818" width="10.109375" style="3023" customWidth="1"/>
    <col min="12819" max="12819" width="10" style="3023" customWidth="1"/>
    <col min="12820" max="12820" width="26.109375" style="3023" customWidth="1"/>
    <col min="12821" max="13056" width="8.88671875" style="3023"/>
    <col min="13057" max="13057" width="9.44140625" style="3023" customWidth="1"/>
    <col min="13058" max="13058" width="8.88671875" style="3023"/>
    <col min="13059" max="13061" width="12.88671875" style="3023" customWidth="1"/>
    <col min="13062" max="13062" width="47.44140625" style="3023" customWidth="1"/>
    <col min="13063" max="13063" width="13" style="3023" customWidth="1"/>
    <col min="13064" max="13065" width="8.88671875" style="3023"/>
    <col min="13066" max="13066" width="5.77734375" style="3023" customWidth="1"/>
    <col min="13067" max="13067" width="11.77734375" style="3023" customWidth="1"/>
    <col min="13068" max="13069" width="10.77734375" style="3023" customWidth="1"/>
    <col min="13070" max="13070" width="10" style="3023" customWidth="1"/>
    <col min="13071" max="13072" width="10.44140625" style="3023" bestFit="1" customWidth="1"/>
    <col min="13073" max="13073" width="10" style="3023" customWidth="1"/>
    <col min="13074" max="13074" width="10.109375" style="3023" customWidth="1"/>
    <col min="13075" max="13075" width="10" style="3023" customWidth="1"/>
    <col min="13076" max="13076" width="26.109375" style="3023" customWidth="1"/>
    <col min="13077" max="13312" width="8.88671875" style="3023"/>
    <col min="13313" max="13313" width="9.44140625" style="3023" customWidth="1"/>
    <col min="13314" max="13314" width="8.88671875" style="3023"/>
    <col min="13315" max="13317" width="12.88671875" style="3023" customWidth="1"/>
    <col min="13318" max="13318" width="47.44140625" style="3023" customWidth="1"/>
    <col min="13319" max="13319" width="13" style="3023" customWidth="1"/>
    <col min="13320" max="13321" width="8.88671875" style="3023"/>
    <col min="13322" max="13322" width="5.77734375" style="3023" customWidth="1"/>
    <col min="13323" max="13323" width="11.77734375" style="3023" customWidth="1"/>
    <col min="13324" max="13325" width="10.77734375" style="3023" customWidth="1"/>
    <col min="13326" max="13326" width="10" style="3023" customWidth="1"/>
    <col min="13327" max="13328" width="10.44140625" style="3023" bestFit="1" customWidth="1"/>
    <col min="13329" max="13329" width="10" style="3023" customWidth="1"/>
    <col min="13330" max="13330" width="10.109375" style="3023" customWidth="1"/>
    <col min="13331" max="13331" width="10" style="3023" customWidth="1"/>
    <col min="13332" max="13332" width="26.109375" style="3023" customWidth="1"/>
    <col min="13333" max="13568" width="8.88671875" style="3023"/>
    <col min="13569" max="13569" width="9.44140625" style="3023" customWidth="1"/>
    <col min="13570" max="13570" width="8.88671875" style="3023"/>
    <col min="13571" max="13573" width="12.88671875" style="3023" customWidth="1"/>
    <col min="13574" max="13574" width="47.44140625" style="3023" customWidth="1"/>
    <col min="13575" max="13575" width="13" style="3023" customWidth="1"/>
    <col min="13576" max="13577" width="8.88671875" style="3023"/>
    <col min="13578" max="13578" width="5.77734375" style="3023" customWidth="1"/>
    <col min="13579" max="13579" width="11.77734375" style="3023" customWidth="1"/>
    <col min="13580" max="13581" width="10.77734375" style="3023" customWidth="1"/>
    <col min="13582" max="13582" width="10" style="3023" customWidth="1"/>
    <col min="13583" max="13584" width="10.44140625" style="3023" bestFit="1" customWidth="1"/>
    <col min="13585" max="13585" width="10" style="3023" customWidth="1"/>
    <col min="13586" max="13586" width="10.109375" style="3023" customWidth="1"/>
    <col min="13587" max="13587" width="10" style="3023" customWidth="1"/>
    <col min="13588" max="13588" width="26.109375" style="3023" customWidth="1"/>
    <col min="13589" max="13824" width="8.88671875" style="3023"/>
    <col min="13825" max="13825" width="9.44140625" style="3023" customWidth="1"/>
    <col min="13826" max="13826" width="8.88671875" style="3023"/>
    <col min="13827" max="13829" width="12.88671875" style="3023" customWidth="1"/>
    <col min="13830" max="13830" width="47.44140625" style="3023" customWidth="1"/>
    <col min="13831" max="13831" width="13" style="3023" customWidth="1"/>
    <col min="13832" max="13833" width="8.88671875" style="3023"/>
    <col min="13834" max="13834" width="5.77734375" style="3023" customWidth="1"/>
    <col min="13835" max="13835" width="11.77734375" style="3023" customWidth="1"/>
    <col min="13836" max="13837" width="10.77734375" style="3023" customWidth="1"/>
    <col min="13838" max="13838" width="10" style="3023" customWidth="1"/>
    <col min="13839" max="13840" width="10.44140625" style="3023" bestFit="1" customWidth="1"/>
    <col min="13841" max="13841" width="10" style="3023" customWidth="1"/>
    <col min="13842" max="13842" width="10.109375" style="3023" customWidth="1"/>
    <col min="13843" max="13843" width="10" style="3023" customWidth="1"/>
    <col min="13844" max="13844" width="26.109375" style="3023" customWidth="1"/>
    <col min="13845" max="14080" width="8.88671875" style="3023"/>
    <col min="14081" max="14081" width="9.44140625" style="3023" customWidth="1"/>
    <col min="14082" max="14082" width="8.88671875" style="3023"/>
    <col min="14083" max="14085" width="12.88671875" style="3023" customWidth="1"/>
    <col min="14086" max="14086" width="47.44140625" style="3023" customWidth="1"/>
    <col min="14087" max="14087" width="13" style="3023" customWidth="1"/>
    <col min="14088" max="14089" width="8.88671875" style="3023"/>
    <col min="14090" max="14090" width="5.77734375" style="3023" customWidth="1"/>
    <col min="14091" max="14091" width="11.77734375" style="3023" customWidth="1"/>
    <col min="14092" max="14093" width="10.77734375" style="3023" customWidth="1"/>
    <col min="14094" max="14094" width="10" style="3023" customWidth="1"/>
    <col min="14095" max="14096" width="10.44140625" style="3023" bestFit="1" customWidth="1"/>
    <col min="14097" max="14097" width="10" style="3023" customWidth="1"/>
    <col min="14098" max="14098" width="10.109375" style="3023" customWidth="1"/>
    <col min="14099" max="14099" width="10" style="3023" customWidth="1"/>
    <col min="14100" max="14100" width="26.109375" style="3023" customWidth="1"/>
    <col min="14101" max="14336" width="8.88671875" style="3023"/>
    <col min="14337" max="14337" width="9.44140625" style="3023" customWidth="1"/>
    <col min="14338" max="14338" width="8.88671875" style="3023"/>
    <col min="14339" max="14341" width="12.88671875" style="3023" customWidth="1"/>
    <col min="14342" max="14342" width="47.44140625" style="3023" customWidth="1"/>
    <col min="14343" max="14343" width="13" style="3023" customWidth="1"/>
    <col min="14344" max="14345" width="8.88671875" style="3023"/>
    <col min="14346" max="14346" width="5.77734375" style="3023" customWidth="1"/>
    <col min="14347" max="14347" width="11.77734375" style="3023" customWidth="1"/>
    <col min="14348" max="14349" width="10.77734375" style="3023" customWidth="1"/>
    <col min="14350" max="14350" width="10" style="3023" customWidth="1"/>
    <col min="14351" max="14352" width="10.44140625" style="3023" bestFit="1" customWidth="1"/>
    <col min="14353" max="14353" width="10" style="3023" customWidth="1"/>
    <col min="14354" max="14354" width="10.109375" style="3023" customWidth="1"/>
    <col min="14355" max="14355" width="10" style="3023" customWidth="1"/>
    <col min="14356" max="14356" width="26.109375" style="3023" customWidth="1"/>
    <col min="14357" max="14592" width="8.88671875" style="3023"/>
    <col min="14593" max="14593" width="9.44140625" style="3023" customWidth="1"/>
    <col min="14594" max="14594" width="8.88671875" style="3023"/>
    <col min="14595" max="14597" width="12.88671875" style="3023" customWidth="1"/>
    <col min="14598" max="14598" width="47.44140625" style="3023" customWidth="1"/>
    <col min="14599" max="14599" width="13" style="3023" customWidth="1"/>
    <col min="14600" max="14601" width="8.88671875" style="3023"/>
    <col min="14602" max="14602" width="5.77734375" style="3023" customWidth="1"/>
    <col min="14603" max="14603" width="11.77734375" style="3023" customWidth="1"/>
    <col min="14604" max="14605" width="10.77734375" style="3023" customWidth="1"/>
    <col min="14606" max="14606" width="10" style="3023" customWidth="1"/>
    <col min="14607" max="14608" width="10.44140625" style="3023" bestFit="1" customWidth="1"/>
    <col min="14609" max="14609" width="10" style="3023" customWidth="1"/>
    <col min="14610" max="14610" width="10.109375" style="3023" customWidth="1"/>
    <col min="14611" max="14611" width="10" style="3023" customWidth="1"/>
    <col min="14612" max="14612" width="26.109375" style="3023" customWidth="1"/>
    <col min="14613" max="14848" width="8.88671875" style="3023"/>
    <col min="14849" max="14849" width="9.44140625" style="3023" customWidth="1"/>
    <col min="14850" max="14850" width="8.88671875" style="3023"/>
    <col min="14851" max="14853" width="12.88671875" style="3023" customWidth="1"/>
    <col min="14854" max="14854" width="47.44140625" style="3023" customWidth="1"/>
    <col min="14855" max="14855" width="13" style="3023" customWidth="1"/>
    <col min="14856" max="14857" width="8.88671875" style="3023"/>
    <col min="14858" max="14858" width="5.77734375" style="3023" customWidth="1"/>
    <col min="14859" max="14859" width="11.77734375" style="3023" customWidth="1"/>
    <col min="14860" max="14861" width="10.77734375" style="3023" customWidth="1"/>
    <col min="14862" max="14862" width="10" style="3023" customWidth="1"/>
    <col min="14863" max="14864" width="10.44140625" style="3023" bestFit="1" customWidth="1"/>
    <col min="14865" max="14865" width="10" style="3023" customWidth="1"/>
    <col min="14866" max="14866" width="10.109375" style="3023" customWidth="1"/>
    <col min="14867" max="14867" width="10" style="3023" customWidth="1"/>
    <col min="14868" max="14868" width="26.109375" style="3023" customWidth="1"/>
    <col min="14869" max="15104" width="8.88671875" style="3023"/>
    <col min="15105" max="15105" width="9.44140625" style="3023" customWidth="1"/>
    <col min="15106" max="15106" width="8.88671875" style="3023"/>
    <col min="15107" max="15109" width="12.88671875" style="3023" customWidth="1"/>
    <col min="15110" max="15110" width="47.44140625" style="3023" customWidth="1"/>
    <col min="15111" max="15111" width="13" style="3023" customWidth="1"/>
    <col min="15112" max="15113" width="8.88671875" style="3023"/>
    <col min="15114" max="15114" width="5.77734375" style="3023" customWidth="1"/>
    <col min="15115" max="15115" width="11.77734375" style="3023" customWidth="1"/>
    <col min="15116" max="15117" width="10.77734375" style="3023" customWidth="1"/>
    <col min="15118" max="15118" width="10" style="3023" customWidth="1"/>
    <col min="15119" max="15120" width="10.44140625" style="3023" bestFit="1" customWidth="1"/>
    <col min="15121" max="15121" width="10" style="3023" customWidth="1"/>
    <col min="15122" max="15122" width="10.109375" style="3023" customWidth="1"/>
    <col min="15123" max="15123" width="10" style="3023" customWidth="1"/>
    <col min="15124" max="15124" width="26.109375" style="3023" customWidth="1"/>
    <col min="15125" max="15360" width="8.88671875" style="3023"/>
    <col min="15361" max="15361" width="9.44140625" style="3023" customWidth="1"/>
    <col min="15362" max="15362" width="8.88671875" style="3023"/>
    <col min="15363" max="15365" width="12.88671875" style="3023" customWidth="1"/>
    <col min="15366" max="15366" width="47.44140625" style="3023" customWidth="1"/>
    <col min="15367" max="15367" width="13" style="3023" customWidth="1"/>
    <col min="15368" max="15369" width="8.88671875" style="3023"/>
    <col min="15370" max="15370" width="5.77734375" style="3023" customWidth="1"/>
    <col min="15371" max="15371" width="11.77734375" style="3023" customWidth="1"/>
    <col min="15372" max="15373" width="10.77734375" style="3023" customWidth="1"/>
    <col min="15374" max="15374" width="10" style="3023" customWidth="1"/>
    <col min="15375" max="15376" width="10.44140625" style="3023" bestFit="1" customWidth="1"/>
    <col min="15377" max="15377" width="10" style="3023" customWidth="1"/>
    <col min="15378" max="15378" width="10.109375" style="3023" customWidth="1"/>
    <col min="15379" max="15379" width="10" style="3023" customWidth="1"/>
    <col min="15380" max="15380" width="26.109375" style="3023" customWidth="1"/>
    <col min="15381" max="15616" width="8.88671875" style="3023"/>
    <col min="15617" max="15617" width="9.44140625" style="3023" customWidth="1"/>
    <col min="15618" max="15618" width="8.88671875" style="3023"/>
    <col min="15619" max="15621" width="12.88671875" style="3023" customWidth="1"/>
    <col min="15622" max="15622" width="47.44140625" style="3023" customWidth="1"/>
    <col min="15623" max="15623" width="13" style="3023" customWidth="1"/>
    <col min="15624" max="15625" width="8.88671875" style="3023"/>
    <col min="15626" max="15626" width="5.77734375" style="3023" customWidth="1"/>
    <col min="15627" max="15627" width="11.77734375" style="3023" customWidth="1"/>
    <col min="15628" max="15629" width="10.77734375" style="3023" customWidth="1"/>
    <col min="15630" max="15630" width="10" style="3023" customWidth="1"/>
    <col min="15631" max="15632" width="10.44140625" style="3023" bestFit="1" customWidth="1"/>
    <col min="15633" max="15633" width="10" style="3023" customWidth="1"/>
    <col min="15634" max="15634" width="10.109375" style="3023" customWidth="1"/>
    <col min="15635" max="15635" width="10" style="3023" customWidth="1"/>
    <col min="15636" max="15636" width="26.109375" style="3023" customWidth="1"/>
    <col min="15637" max="15872" width="8.88671875" style="3023"/>
    <col min="15873" max="15873" width="9.44140625" style="3023" customWidth="1"/>
    <col min="15874" max="15874" width="8.88671875" style="3023"/>
    <col min="15875" max="15877" width="12.88671875" style="3023" customWidth="1"/>
    <col min="15878" max="15878" width="47.44140625" style="3023" customWidth="1"/>
    <col min="15879" max="15879" width="13" style="3023" customWidth="1"/>
    <col min="15880" max="15881" width="8.88671875" style="3023"/>
    <col min="15882" max="15882" width="5.77734375" style="3023" customWidth="1"/>
    <col min="15883" max="15883" width="11.77734375" style="3023" customWidth="1"/>
    <col min="15884" max="15885" width="10.77734375" style="3023" customWidth="1"/>
    <col min="15886" max="15886" width="10" style="3023" customWidth="1"/>
    <col min="15887" max="15888" width="10.44140625" style="3023" bestFit="1" customWidth="1"/>
    <col min="15889" max="15889" width="10" style="3023" customWidth="1"/>
    <col min="15890" max="15890" width="10.109375" style="3023" customWidth="1"/>
    <col min="15891" max="15891" width="10" style="3023" customWidth="1"/>
    <col min="15892" max="15892" width="26.109375" style="3023" customWidth="1"/>
    <col min="15893" max="16128" width="8.88671875" style="3023"/>
    <col min="16129" max="16129" width="9.44140625" style="3023" customWidth="1"/>
    <col min="16130" max="16130" width="8.88671875" style="3023"/>
    <col min="16131" max="16133" width="12.88671875" style="3023" customWidth="1"/>
    <col min="16134" max="16134" width="47.44140625" style="3023" customWidth="1"/>
    <col min="16135" max="16135" width="13" style="3023" customWidth="1"/>
    <col min="16136" max="16137" width="8.88671875" style="3023"/>
    <col min="16138" max="16138" width="5.77734375" style="3023" customWidth="1"/>
    <col min="16139" max="16139" width="11.77734375" style="3023" customWidth="1"/>
    <col min="16140" max="16141" width="10.77734375" style="3023" customWidth="1"/>
    <col min="16142" max="16142" width="10" style="3023" customWidth="1"/>
    <col min="16143" max="16144" width="10.44140625" style="3023" bestFit="1" customWidth="1"/>
    <col min="16145" max="16145" width="10" style="3023" customWidth="1"/>
    <col min="16146" max="16146" width="10.109375" style="3023" customWidth="1"/>
    <col min="16147" max="16147" width="10" style="3023" customWidth="1"/>
    <col min="16148" max="16148" width="26.109375" style="3023" customWidth="1"/>
    <col min="16149" max="16384" width="8.88671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2" customHeight="1">
      <c r="A2" s="1520" t="s">
        <v>2820</v>
      </c>
      <c r="B2" s="3024" t="e">
        <f>C40</f>
        <v>#DIV/0!</v>
      </c>
      <c r="C2" s="3025" t="s">
        <v>2821</v>
      </c>
      <c r="D2" s="3025"/>
      <c r="E2" s="3026"/>
      <c r="F2" s="3027"/>
      <c r="G2" s="3028"/>
      <c r="H2" s="3029"/>
      <c r="I2" s="3030"/>
      <c r="J2" s="3429" t="s">
        <v>2822</v>
      </c>
      <c r="K2" s="3430"/>
      <c r="L2" s="3031" t="s">
        <v>2823</v>
      </c>
      <c r="M2" s="3031" t="s">
        <v>2824</v>
      </c>
      <c r="N2" s="3031" t="s">
        <v>2825</v>
      </c>
      <c r="O2" s="3031" t="s">
        <v>2826</v>
      </c>
      <c r="P2" s="3031" t="s">
        <v>2827</v>
      </c>
      <c r="Q2" s="3032" t="s">
        <v>2828</v>
      </c>
      <c r="R2" s="3033" t="s">
        <v>2829</v>
      </c>
      <c r="S2" s="3022"/>
      <c r="T2" s="3022"/>
      <c r="U2" s="3022"/>
      <c r="V2" s="3030"/>
    </row>
    <row r="3" spans="1:22" s="3034" customFormat="1" ht="13.2" customHeight="1">
      <c r="A3" s="3035" t="s">
        <v>2830</v>
      </c>
      <c r="B3" s="3036" t="e">
        <f>ROUND(B2*10000/B4,0)</f>
        <v>#DIV/0!</v>
      </c>
      <c r="C3" s="3025" t="s">
        <v>2831</v>
      </c>
      <c r="D3" s="3025"/>
      <c r="E3" s="3026"/>
      <c r="F3" s="3027"/>
      <c r="G3" s="3028"/>
      <c r="H3" s="3029"/>
      <c r="I3" s="3030"/>
      <c r="J3" s="3431" t="s">
        <v>2832</v>
      </c>
      <c r="K3" s="3432"/>
      <c r="L3" s="3037"/>
      <c r="M3" s="3037"/>
      <c r="N3" s="3037"/>
      <c r="O3" s="3037"/>
      <c r="P3" s="3037"/>
      <c r="Q3" s="3038"/>
      <c r="R3" s="3039">
        <f>SUM(L3:Q3)</f>
        <v>0</v>
      </c>
      <c r="S3" s="3022"/>
      <c r="T3" s="3022"/>
      <c r="U3" s="3022"/>
      <c r="V3" s="3030"/>
    </row>
    <row r="4" spans="1:22" s="3034" customFormat="1" ht="13.2" customHeight="1">
      <c r="A4" s="3040" t="s">
        <v>2833</v>
      </c>
      <c r="B4" s="3041"/>
      <c r="C4" s="3025"/>
      <c r="D4" s="3025"/>
      <c r="E4" s="3026"/>
      <c r="F4" s="3027"/>
      <c r="G4" s="3028"/>
      <c r="H4" s="3029"/>
      <c r="I4" s="3030"/>
      <c r="J4" s="3431" t="s">
        <v>2834</v>
      </c>
      <c r="K4" s="3432"/>
      <c r="L4" s="3042"/>
      <c r="M4" s="3042"/>
      <c r="N4" s="3042"/>
      <c r="O4" s="3042"/>
      <c r="P4" s="3042"/>
      <c r="Q4" s="3043"/>
      <c r="R4" s="3044">
        <f>SUM(L4:Q4)</f>
        <v>0</v>
      </c>
      <c r="S4" s="3022"/>
      <c r="T4" s="3022"/>
      <c r="U4" s="3022"/>
      <c r="V4" s="3030"/>
    </row>
    <row r="5" spans="1:22" s="3034" customFormat="1" ht="13.2"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2" customHeight="1" thickBot="1">
      <c r="A6" s="3433" t="s">
        <v>2838</v>
      </c>
      <c r="B6" s="3434"/>
      <c r="C6" s="3435"/>
      <c r="D6" s="3051"/>
      <c r="E6" s="3052"/>
      <c r="F6" s="3053"/>
      <c r="G6" s="3054"/>
      <c r="H6" s="3029"/>
      <c r="I6" s="3030"/>
      <c r="J6" s="3436">
        <v>1</v>
      </c>
      <c r="K6" s="3437"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2" customHeight="1">
      <c r="A7" s="3057" t="s">
        <v>2848</v>
      </c>
      <c r="B7" s="3058"/>
      <c r="C7" s="3059"/>
      <c r="D7" s="3060">
        <f>SUM(D9,D10,D11,D17,0)</f>
        <v>0</v>
      </c>
      <c r="E7" s="3061" t="e">
        <f>E9+E10+E11+E17</f>
        <v>#DIV/0!</v>
      </c>
      <c r="F7" s="3062"/>
      <c r="G7" s="3063"/>
      <c r="H7" s="3029"/>
      <c r="I7" s="3030"/>
      <c r="J7" s="3436"/>
      <c r="K7" s="3438"/>
      <c r="L7" s="3064" t="s">
        <v>2849</v>
      </c>
      <c r="M7" s="3065"/>
      <c r="N7" s="3041"/>
      <c r="O7" s="3066"/>
      <c r="P7" s="3066"/>
      <c r="Q7" s="3067">
        <v>365</v>
      </c>
      <c r="R7" s="3068">
        <f>ROUND(M7*N7*O7*P7*Q7/10000,0)</f>
        <v>0</v>
      </c>
      <c r="S7" s="3022"/>
      <c r="T7" s="3022" t="s">
        <v>2850</v>
      </c>
      <c r="U7" s="3022"/>
      <c r="V7" s="3030"/>
    </row>
    <row r="8" spans="1:22" s="3034" customFormat="1" ht="13.2" customHeight="1">
      <c r="A8" s="3069" t="s">
        <v>2851</v>
      </c>
      <c r="B8" s="3440" t="s">
        <v>2852</v>
      </c>
      <c r="C8" s="3441"/>
      <c r="D8" s="3070" t="s">
        <v>2853</v>
      </c>
      <c r="E8" s="3071" t="s">
        <v>2854</v>
      </c>
      <c r="F8" s="3072" t="s">
        <v>2855</v>
      </c>
      <c r="G8" s="3073"/>
      <c r="H8" s="3029"/>
      <c r="I8" s="3030"/>
      <c r="J8" s="3436"/>
      <c r="K8" s="3438"/>
      <c r="L8" s="3064" t="s">
        <v>2856</v>
      </c>
      <c r="M8" s="3065"/>
      <c r="N8" s="3041"/>
      <c r="O8" s="3066"/>
      <c r="P8" s="3066"/>
      <c r="Q8" s="3067">
        <v>365</v>
      </c>
      <c r="R8" s="3068">
        <f t="shared" ref="R8:R13" si="0">ROUND(M8*N8*O8*P8*Q8/10000,0)</f>
        <v>0</v>
      </c>
      <c r="S8" s="3022"/>
      <c r="T8" s="3022" t="s">
        <v>2857</v>
      </c>
      <c r="U8" s="3022"/>
      <c r="V8" s="3030"/>
    </row>
    <row r="9" spans="1:22" s="3034" customFormat="1" ht="13.2" customHeight="1">
      <c r="A9" s="3069">
        <v>1</v>
      </c>
      <c r="B9" s="3440" t="s">
        <v>2858</v>
      </c>
      <c r="C9" s="3441"/>
      <c r="D9" s="3070">
        <f>ROUND(D6*E9,0)</f>
        <v>0</v>
      </c>
      <c r="E9" s="3074"/>
      <c r="F9" s="3075" t="s">
        <v>2859</v>
      </c>
      <c r="G9" s="3054"/>
      <c r="H9" s="3029"/>
      <c r="I9" s="3030"/>
      <c r="J9" s="3436"/>
      <c r="K9" s="3438"/>
      <c r="L9" s="3064" t="s">
        <v>2860</v>
      </c>
      <c r="M9" s="3065"/>
      <c r="N9" s="3041"/>
      <c r="O9" s="3066"/>
      <c r="P9" s="3066"/>
      <c r="Q9" s="3067">
        <v>365</v>
      </c>
      <c r="R9" s="3068">
        <f t="shared" si="0"/>
        <v>0</v>
      </c>
      <c r="S9" s="3022"/>
      <c r="T9" s="3022"/>
      <c r="U9" s="3022"/>
      <c r="V9" s="3030"/>
    </row>
    <row r="10" spans="1:22" s="3034" customFormat="1" ht="13.2" customHeight="1">
      <c r="A10" s="3069">
        <v>2</v>
      </c>
      <c r="B10" s="3440" t="s">
        <v>2861</v>
      </c>
      <c r="C10" s="3441"/>
      <c r="D10" s="3070">
        <f>ROUND(D6*E10,0)</f>
        <v>0</v>
      </c>
      <c r="E10" s="3074"/>
      <c r="F10" s="3075" t="s">
        <v>2862</v>
      </c>
      <c r="G10" s="3054"/>
      <c r="H10" s="3029"/>
      <c r="I10" s="3030"/>
      <c r="J10" s="3436"/>
      <c r="K10" s="3438"/>
      <c r="L10" s="3064" t="s">
        <v>2863</v>
      </c>
      <c r="M10" s="3065"/>
      <c r="N10" s="3041"/>
      <c r="O10" s="3066"/>
      <c r="P10" s="3066"/>
      <c r="Q10" s="3067">
        <v>365</v>
      </c>
      <c r="R10" s="3068">
        <f t="shared" si="0"/>
        <v>0</v>
      </c>
      <c r="S10" s="3022"/>
      <c r="T10" s="3022"/>
      <c r="U10" s="3022"/>
      <c r="V10" s="3030"/>
    </row>
    <row r="11" spans="1:22" s="3034" customFormat="1" ht="13.2" customHeight="1">
      <c r="A11" s="3069">
        <v>3</v>
      </c>
      <c r="B11" s="3440" t="s">
        <v>2864</v>
      </c>
      <c r="C11" s="3441"/>
      <c r="D11" s="3070">
        <f>D12+D14+D15+D16</f>
        <v>0</v>
      </c>
      <c r="E11" s="3076" t="e">
        <f>D11/D6</f>
        <v>#DIV/0!</v>
      </c>
      <c r="F11" s="3072"/>
      <c r="G11" s="3073"/>
      <c r="H11" s="3029"/>
      <c r="I11" s="3030"/>
      <c r="J11" s="3436"/>
      <c r="K11" s="3438"/>
      <c r="L11" s="3064" t="s">
        <v>2865</v>
      </c>
      <c r="M11" s="3065"/>
      <c r="N11" s="3041"/>
      <c r="O11" s="3066"/>
      <c r="P11" s="3066"/>
      <c r="Q11" s="3067">
        <v>365</v>
      </c>
      <c r="R11" s="3068">
        <f t="shared" si="0"/>
        <v>0</v>
      </c>
      <c r="S11" s="3022"/>
      <c r="T11" s="3022"/>
      <c r="U11" s="3022"/>
      <c r="V11" s="3030"/>
    </row>
    <row r="12" spans="1:22" s="3034" customFormat="1" ht="13.2" customHeight="1">
      <c r="A12" s="3077" t="s">
        <v>2866</v>
      </c>
      <c r="B12" s="3442" t="s">
        <v>2867</v>
      </c>
      <c r="C12" s="3443"/>
      <c r="D12" s="3078">
        <f>ROUND(D13*1.2%*(1-30%),0)</f>
        <v>0</v>
      </c>
      <c r="E12" s="3079">
        <v>1.2E-2</v>
      </c>
      <c r="F12" s="3072" t="s">
        <v>2868</v>
      </c>
      <c r="G12" s="3073"/>
      <c r="H12" s="3029"/>
      <c r="I12" s="3030"/>
      <c r="J12" s="3436"/>
      <c r="K12" s="3438"/>
      <c r="L12" s="3064" t="s">
        <v>2869</v>
      </c>
      <c r="M12" s="3065"/>
      <c r="N12" s="3041"/>
      <c r="O12" s="3066"/>
      <c r="P12" s="3066"/>
      <c r="Q12" s="3067">
        <v>365</v>
      </c>
      <c r="R12" s="3068">
        <f t="shared" si="0"/>
        <v>0</v>
      </c>
      <c r="S12" s="3022"/>
      <c r="T12" s="3022"/>
      <c r="U12" s="3022"/>
      <c r="V12" s="3030"/>
    </row>
    <row r="13" spans="1:22" s="3034" customFormat="1" ht="13.2" customHeight="1">
      <c r="A13" s="3077"/>
      <c r="B13" s="3080"/>
      <c r="C13" s="3081" t="s">
        <v>2870</v>
      </c>
      <c r="D13" s="3082"/>
      <c r="E13" s="3083"/>
      <c r="F13" s="3072"/>
      <c r="G13" s="3073"/>
      <c r="H13" s="3029"/>
      <c r="I13" s="3030"/>
      <c r="J13" s="3436"/>
      <c r="K13" s="3438"/>
      <c r="L13" s="3064" t="s">
        <v>2871</v>
      </c>
      <c r="M13" s="3065"/>
      <c r="N13" s="3041"/>
      <c r="O13" s="3066"/>
      <c r="P13" s="3066"/>
      <c r="Q13" s="3067">
        <v>365</v>
      </c>
      <c r="R13" s="3068">
        <f t="shared" si="0"/>
        <v>0</v>
      </c>
      <c r="S13" s="3022"/>
      <c r="T13" s="3022"/>
      <c r="U13" s="3022"/>
      <c r="V13" s="3030"/>
    </row>
    <row r="14" spans="1:22" s="3034" customFormat="1" ht="13.2" customHeight="1">
      <c r="A14" s="3077" t="s">
        <v>2872</v>
      </c>
      <c r="B14" s="3442" t="s">
        <v>2873</v>
      </c>
      <c r="C14" s="3443"/>
      <c r="D14" s="3078">
        <f>ROUND(E14*B5/10000,0)</f>
        <v>0</v>
      </c>
      <c r="E14" s="3067"/>
      <c r="F14" s="3072" t="s">
        <v>2874</v>
      </c>
      <c r="G14" s="3073"/>
      <c r="H14" s="3029"/>
      <c r="I14" s="3030"/>
      <c r="J14" s="3436"/>
      <c r="K14" s="3439"/>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2" customHeight="1">
      <c r="A15" s="3077" t="s">
        <v>2876</v>
      </c>
      <c r="B15" s="3442" t="s">
        <v>2877</v>
      </c>
      <c r="C15" s="3443"/>
      <c r="D15" s="3078">
        <f>ROUND(D6*E15,0)</f>
        <v>0</v>
      </c>
      <c r="E15" s="3079">
        <v>5.5E-2</v>
      </c>
      <c r="F15" s="3072" t="s">
        <v>2878</v>
      </c>
      <c r="G15" s="3054"/>
      <c r="H15" s="3029"/>
      <c r="I15" s="3030"/>
      <c r="J15" s="3436">
        <v>2</v>
      </c>
      <c r="K15" s="3437"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2" customHeight="1">
      <c r="A16" s="3077" t="s">
        <v>2885</v>
      </c>
      <c r="B16" s="3442" t="s">
        <v>2886</v>
      </c>
      <c r="C16" s="3443"/>
      <c r="D16" s="3089">
        <f>D6*E16</f>
        <v>0</v>
      </c>
      <c r="E16" s="3090"/>
      <c r="F16" s="3075" t="s">
        <v>2887</v>
      </c>
      <c r="G16" s="3054"/>
      <c r="H16" s="3029"/>
      <c r="I16" s="3030"/>
      <c r="J16" s="3436"/>
      <c r="K16" s="3438"/>
      <c r="L16" s="3064" t="s">
        <v>2888</v>
      </c>
      <c r="M16" s="3065"/>
      <c r="N16" s="3065"/>
      <c r="O16" s="3066"/>
      <c r="P16" s="3067">
        <v>365</v>
      </c>
      <c r="Q16" s="3041"/>
      <c r="R16" s="3088">
        <f>ROUND(M16*N16*O16*P16/10000,0)</f>
        <v>0</v>
      </c>
      <c r="S16" s="3022"/>
      <c r="T16" s="3022"/>
      <c r="U16" s="3022"/>
      <c r="V16" s="3030"/>
    </row>
    <row r="17" spans="1:22" s="3034" customFormat="1" ht="13.2" customHeight="1" thickBot="1">
      <c r="A17" s="3091">
        <v>4</v>
      </c>
      <c r="B17" s="3444" t="s">
        <v>2889</v>
      </c>
      <c r="C17" s="3445"/>
      <c r="D17" s="3092">
        <f>ROUND(D6*E17,0)</f>
        <v>0</v>
      </c>
      <c r="E17" s="3093"/>
      <c r="F17" s="3094" t="s">
        <v>2890</v>
      </c>
      <c r="G17" s="3054"/>
      <c r="H17" s="3029"/>
      <c r="I17" s="3030"/>
      <c r="J17" s="3436"/>
      <c r="K17" s="3438"/>
      <c r="L17" s="3064" t="s">
        <v>2891</v>
      </c>
      <c r="M17" s="3065"/>
      <c r="N17" s="3065"/>
      <c r="O17" s="3066"/>
      <c r="P17" s="3067">
        <v>365</v>
      </c>
      <c r="Q17" s="3041"/>
      <c r="R17" s="3088">
        <f>ROUND(M17*N17*O17*P17/10000,0)</f>
        <v>0</v>
      </c>
      <c r="S17" s="3022"/>
      <c r="T17" s="3022"/>
      <c r="U17" s="3022"/>
      <c r="V17" s="3030"/>
    </row>
    <row r="18" spans="1:22" s="3034" customFormat="1" ht="13.2" customHeight="1" thickBot="1">
      <c r="A18" s="3057" t="s">
        <v>2892</v>
      </c>
      <c r="B18" s="3058"/>
      <c r="C18" s="3058"/>
      <c r="D18" s="3095">
        <f>ROUND(D6*E18,0)</f>
        <v>0</v>
      </c>
      <c r="E18" s="3096"/>
      <c r="F18" s="3097" t="s">
        <v>2893</v>
      </c>
      <c r="G18" s="3054"/>
      <c r="H18" s="3029"/>
      <c r="I18" s="3030"/>
      <c r="J18" s="3436"/>
      <c r="K18" s="3438"/>
      <c r="L18" s="3064" t="s">
        <v>2894</v>
      </c>
      <c r="M18" s="3065"/>
      <c r="N18" s="3065"/>
      <c r="O18" s="3066"/>
      <c r="P18" s="3067">
        <v>365</v>
      </c>
      <c r="Q18" s="3041"/>
      <c r="R18" s="3088">
        <f>ROUND(M18*N18*O18*P18/10000,0)</f>
        <v>0</v>
      </c>
      <c r="S18" s="3022"/>
      <c r="T18" s="3022"/>
      <c r="U18" s="3022"/>
      <c r="V18" s="3030"/>
    </row>
    <row r="19" spans="1:22" s="3034" customFormat="1" ht="13.2" customHeight="1" thickBot="1">
      <c r="A19" s="3098" t="s">
        <v>2895</v>
      </c>
      <c r="B19" s="3052"/>
      <c r="C19" s="3052"/>
      <c r="D19" s="3052"/>
      <c r="E19" s="3052"/>
      <c r="F19" s="3053"/>
      <c r="G19" s="3073"/>
      <c r="H19" s="3029"/>
      <c r="I19" s="3030"/>
      <c r="J19" s="3436"/>
      <c r="K19" s="3439"/>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2" customHeight="1">
      <c r="A20" s="3057"/>
      <c r="B20" s="3058"/>
      <c r="C20" s="3058"/>
      <c r="D20" s="3058"/>
      <c r="E20" s="3058"/>
      <c r="F20" s="3101"/>
      <c r="G20" s="3073"/>
      <c r="H20" s="3029"/>
      <c r="I20" s="3030"/>
      <c r="J20" s="3436">
        <v>3</v>
      </c>
      <c r="K20" s="3437"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2" customHeight="1">
      <c r="A21" s="3057"/>
      <c r="B21" s="3058"/>
      <c r="C21" s="3104" t="s">
        <v>2904</v>
      </c>
      <c r="D21" s="3105" t="s">
        <v>2905</v>
      </c>
      <c r="E21" s="3106" t="s">
        <v>2906</v>
      </c>
      <c r="F21" s="3101"/>
      <c r="G21" s="3073"/>
      <c r="H21" s="3029"/>
      <c r="I21" s="3030"/>
      <c r="J21" s="3436"/>
      <c r="K21" s="3438"/>
      <c r="L21" s="3064" t="s">
        <v>2907</v>
      </c>
      <c r="M21" s="3065"/>
      <c r="N21" s="3065"/>
      <c r="O21" s="3066"/>
      <c r="P21" s="3067">
        <v>365</v>
      </c>
      <c r="Q21" s="3041"/>
      <c r="R21" s="3107">
        <f>ROUND(M21*N21*O21*P21/10000,0)</f>
        <v>0</v>
      </c>
      <c r="S21" s="3103"/>
      <c r="T21" s="3103"/>
      <c r="U21" s="3103"/>
      <c r="V21" s="3030"/>
    </row>
    <row r="22" spans="1:22" s="3034" customFormat="1" ht="13.2" customHeight="1">
      <c r="A22" s="3057"/>
      <c r="B22" s="3058"/>
      <c r="C22" s="3108" t="s">
        <v>2908</v>
      </c>
      <c r="D22" s="3109" t="s">
        <v>2909</v>
      </c>
      <c r="E22" s="3110" t="s">
        <v>2910</v>
      </c>
      <c r="F22" s="3101"/>
      <c r="G22" s="3111"/>
      <c r="H22" s="3029"/>
      <c r="I22" s="3030"/>
      <c r="J22" s="3436"/>
      <c r="K22" s="3438"/>
      <c r="L22" s="3064" t="s">
        <v>2911</v>
      </c>
      <c r="M22" s="3065"/>
      <c r="N22" s="3065"/>
      <c r="O22" s="3066"/>
      <c r="P22" s="3067">
        <v>365</v>
      </c>
      <c r="Q22" s="3041"/>
      <c r="R22" s="3107">
        <f>ROUND(M22*N22*O22*P22/10000,0)</f>
        <v>0</v>
      </c>
      <c r="S22" s="3103"/>
      <c r="T22" s="3103"/>
      <c r="U22" s="3103"/>
      <c r="V22" s="3030"/>
    </row>
    <row r="23" spans="1:22" s="3034" customFormat="1" ht="13.2" customHeight="1">
      <c r="A23" s="3112">
        <v>1</v>
      </c>
      <c r="B23" s="3113" t="s">
        <v>2912</v>
      </c>
      <c r="C23" s="3114">
        <f>D6</f>
        <v>0</v>
      </c>
      <c r="D23" s="3115">
        <f>C23*(1+D24)</f>
        <v>0</v>
      </c>
      <c r="E23" s="3116">
        <f>D23*(1+E24)</f>
        <v>0</v>
      </c>
      <c r="F23" s="3117"/>
      <c r="G23" s="3118"/>
      <c r="H23" s="3029"/>
      <c r="I23" s="3030"/>
      <c r="J23" s="3436"/>
      <c r="K23" s="3438"/>
      <c r="L23" s="3064" t="s">
        <v>2913</v>
      </c>
      <c r="M23" s="3065"/>
      <c r="N23" s="3065"/>
      <c r="O23" s="3066"/>
      <c r="P23" s="3067">
        <v>365</v>
      </c>
      <c r="Q23" s="3041"/>
      <c r="R23" s="3107">
        <f>ROUND(M23*N23*O23*P23/10000,0)</f>
        <v>0</v>
      </c>
      <c r="S23" s="3022"/>
      <c r="T23" s="3022"/>
      <c r="U23" s="3022"/>
      <c r="V23" s="3030"/>
    </row>
    <row r="24" spans="1:22" s="3034" customFormat="1" ht="13.2" customHeight="1">
      <c r="A24" s="3119"/>
      <c r="B24" s="3120" t="s">
        <v>2914</v>
      </c>
      <c r="C24" s="3121"/>
      <c r="D24" s="3122"/>
      <c r="E24" s="3123"/>
      <c r="F24" s="3124"/>
      <c r="G24" s="3118"/>
      <c r="H24" s="3029"/>
      <c r="I24" s="3030"/>
      <c r="J24" s="3436"/>
      <c r="K24" s="3439"/>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2"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2" customHeight="1">
      <c r="A26" s="3112">
        <v>2</v>
      </c>
      <c r="B26" s="3113" t="s">
        <v>2916</v>
      </c>
      <c r="C26" s="3114">
        <f>D7</f>
        <v>0</v>
      </c>
      <c r="D26" s="3115">
        <f>D23*D27</f>
        <v>0</v>
      </c>
      <c r="E26" s="3116">
        <f>E23*E27</f>
        <v>0</v>
      </c>
      <c r="F26" s="3117"/>
      <c r="G26" s="3118"/>
      <c r="H26" s="3029"/>
      <c r="I26" s="3030"/>
      <c r="J26" s="3446">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2" customHeight="1">
      <c r="A27" s="3119"/>
      <c r="B27" s="3120" t="s">
        <v>2922</v>
      </c>
      <c r="C27" s="3138" t="e">
        <f>E7</f>
        <v>#DIV/0!</v>
      </c>
      <c r="D27" s="3122"/>
      <c r="E27" s="3123"/>
      <c r="F27" s="3124"/>
      <c r="G27" s="3118"/>
      <c r="H27" s="3139"/>
      <c r="I27" s="3130"/>
      <c r="J27" s="3447"/>
      <c r="K27" s="3140"/>
      <c r="L27" s="3141"/>
      <c r="M27" s="3142"/>
      <c r="N27" s="3143"/>
      <c r="O27" s="3143"/>
      <c r="P27" s="3143"/>
      <c r="Q27" s="3144"/>
      <c r="R27" s="3100">
        <f>ROUND(O27*N27*P27*(1-Q27)/10000,0)</f>
        <v>0</v>
      </c>
      <c r="S27" s="3022"/>
      <c r="T27" s="3022"/>
      <c r="U27" s="3022"/>
      <c r="V27" s="3030"/>
    </row>
    <row r="28" spans="1:22" s="3131" customFormat="1" ht="13.2"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2"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2"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2" customHeight="1">
      <c r="A32" s="3112">
        <v>4</v>
      </c>
      <c r="B32" s="3113" t="s">
        <v>2930</v>
      </c>
      <c r="C32" s="3114">
        <f>C23-C26-C29</f>
        <v>0</v>
      </c>
      <c r="D32" s="3115">
        <f>D23-D26-D29</f>
        <v>0</v>
      </c>
      <c r="E32" s="3116">
        <f>E23-E26-E29</f>
        <v>0</v>
      </c>
      <c r="F32" s="3117"/>
      <c r="G32" s="3111"/>
      <c r="H32" s="3029"/>
      <c r="I32" s="3030"/>
      <c r="J32" s="3429" t="s">
        <v>2822</v>
      </c>
      <c r="K32" s="3430"/>
      <c r="L32" s="3031" t="s">
        <v>2823</v>
      </c>
      <c r="M32" s="3031" t="s">
        <v>2824</v>
      </c>
      <c r="N32" s="3031" t="s">
        <v>2825</v>
      </c>
      <c r="O32" s="3031" t="s">
        <v>2826</v>
      </c>
      <c r="P32" s="3031" t="s">
        <v>2827</v>
      </c>
      <c r="Q32" s="3032" t="s">
        <v>2828</v>
      </c>
      <c r="R32" s="3154" t="s">
        <v>2829</v>
      </c>
      <c r="S32" s="3103"/>
      <c r="T32" s="3022"/>
      <c r="U32" s="3022"/>
      <c r="V32" s="3130"/>
    </row>
    <row r="33" spans="1:23" s="3034" customFormat="1" ht="13.2" customHeight="1">
      <c r="A33" s="3112"/>
      <c r="B33" s="3113"/>
      <c r="C33" s="3114"/>
      <c r="D33" s="3155"/>
      <c r="E33" s="3156"/>
      <c r="F33" s="3117"/>
      <c r="G33" s="3111"/>
      <c r="H33" s="3139"/>
      <c r="I33" s="3130"/>
      <c r="J33" s="3431" t="s">
        <v>2832</v>
      </c>
      <c r="K33" s="3432"/>
      <c r="L33" s="3037"/>
      <c r="M33" s="3037"/>
      <c r="N33" s="3037"/>
      <c r="O33" s="3037"/>
      <c r="P33" s="3037"/>
      <c r="Q33" s="3038"/>
      <c r="R33" s="3157">
        <f>SUM(L33:Q33)</f>
        <v>0</v>
      </c>
      <c r="S33" s="3103"/>
      <c r="T33" s="3022"/>
      <c r="U33" s="3022"/>
      <c r="V33" s="3030"/>
    </row>
    <row r="34" spans="1:23" s="3034" customFormat="1" ht="13.2" customHeight="1">
      <c r="A34" s="3112">
        <v>5</v>
      </c>
      <c r="B34" s="3113" t="s">
        <v>2931</v>
      </c>
      <c r="C34" s="3158"/>
      <c r="D34" s="3159"/>
      <c r="E34" s="3160"/>
      <c r="F34" s="3117"/>
      <c r="G34" s="3111"/>
      <c r="H34" s="3139"/>
      <c r="I34" s="3130"/>
      <c r="J34" s="3431" t="s">
        <v>2834</v>
      </c>
      <c r="K34" s="3432"/>
      <c r="L34" s="3042"/>
      <c r="M34" s="3042"/>
      <c r="N34" s="3042"/>
      <c r="O34" s="3042"/>
      <c r="P34" s="3042"/>
      <c r="Q34" s="3043"/>
      <c r="R34" s="3161">
        <f>SUM(L34:Q34)</f>
        <v>0</v>
      </c>
      <c r="S34" s="3103"/>
      <c r="T34" s="3022"/>
      <c r="U34" s="3022" t="e">
        <f>ROUND(R35*10000/365/R33,1)</f>
        <v>#DIV/0!</v>
      </c>
      <c r="V34" s="3030"/>
    </row>
    <row r="35" spans="1:23" s="3034" customFormat="1" ht="13.2"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2" customHeight="1" thickBot="1">
      <c r="A36" s="3112">
        <v>7</v>
      </c>
      <c r="B36" s="3167" t="s">
        <v>2933</v>
      </c>
      <c r="C36" s="3168"/>
      <c r="D36" s="3169"/>
      <c r="E36" s="3170"/>
      <c r="F36" s="3171">
        <f>C36+D36+E36</f>
        <v>0</v>
      </c>
      <c r="G36" s="3111"/>
      <c r="H36" s="3029"/>
      <c r="I36" s="3030"/>
      <c r="J36" s="3436">
        <v>1</v>
      </c>
      <c r="K36" s="3437" t="s">
        <v>2934</v>
      </c>
      <c r="L36" s="3055"/>
      <c r="M36" s="3056"/>
      <c r="N36" s="3056"/>
      <c r="O36" s="3056"/>
      <c r="P36" s="3056"/>
      <c r="Q36" s="3056"/>
      <c r="R36" s="3039" t="s">
        <v>2846</v>
      </c>
      <c r="S36" s="3103"/>
      <c r="T36" s="3022" t="s">
        <v>2847</v>
      </c>
      <c r="U36" s="3022"/>
      <c r="V36" s="3030"/>
    </row>
    <row r="37" spans="1:23" s="3034" customFormat="1" ht="13.2" customHeight="1">
      <c r="A37" s="3112"/>
      <c r="B37" s="3113"/>
      <c r="C37" s="3113"/>
      <c r="D37" s="3113"/>
      <c r="E37" s="3113"/>
      <c r="F37" s="3117"/>
      <c r="G37" s="3111"/>
      <c r="H37" s="3029"/>
      <c r="I37" s="3030"/>
      <c r="J37" s="3436"/>
      <c r="K37" s="3438"/>
      <c r="L37" s="3064"/>
      <c r="M37" s="3065"/>
      <c r="N37" s="3041"/>
      <c r="O37" s="3066"/>
      <c r="P37" s="3066"/>
      <c r="Q37" s="3067"/>
      <c r="R37" s="3068"/>
      <c r="S37" s="3103"/>
      <c r="T37" s="3022" t="s">
        <v>2850</v>
      </c>
      <c r="U37" s="3022"/>
      <c r="V37" s="3030"/>
    </row>
    <row r="38" spans="1:23" s="3034" customFormat="1" ht="13.2" customHeight="1">
      <c r="A38" s="3112">
        <v>8</v>
      </c>
      <c r="B38" s="3113"/>
      <c r="C38" s="3070" t="e">
        <f>ROUND(C32*(1-((1+C35)/(1+C34))^C36)/(C34-C35),0)</f>
        <v>#DIV/0!</v>
      </c>
      <c r="D38" s="3070">
        <f>IF(D23=0,0,ROUND(D32*(1-((1+D35)/(1+D34))^D36)/(D34-D35),0))</f>
        <v>0</v>
      </c>
      <c r="E38" s="3070">
        <f>IF(E23=0,0,ROUND(E32*(1-((1+E35)/(1+E34))^E36)/(E34-E35),0))</f>
        <v>0</v>
      </c>
      <c r="F38" s="3117"/>
      <c r="G38" s="3111"/>
      <c r="H38" s="3029"/>
      <c r="I38" s="3030"/>
      <c r="J38" s="3436"/>
      <c r="K38" s="3438"/>
      <c r="L38" s="3064"/>
      <c r="M38" s="3065"/>
      <c r="N38" s="3041"/>
      <c r="O38" s="3066"/>
      <c r="P38" s="3066"/>
      <c r="Q38" s="3067"/>
      <c r="R38" s="3068"/>
      <c r="S38" s="3103"/>
      <c r="T38" s="3022" t="s">
        <v>2857</v>
      </c>
      <c r="U38" s="3022"/>
      <c r="V38" s="3030"/>
    </row>
    <row r="39" spans="1:23" s="3034" customFormat="1" ht="13.2" customHeight="1">
      <c r="A39" s="3112">
        <v>9</v>
      </c>
      <c r="B39" s="3113" t="s">
        <v>2935</v>
      </c>
      <c r="C39" s="3078" t="e">
        <f>C38</f>
        <v>#DIV/0!</v>
      </c>
      <c r="D39" s="3113">
        <f>D38/(1+D34)^C36</f>
        <v>0</v>
      </c>
      <c r="E39" s="3113">
        <f>E38/(1+E34)^(C36+D36)</f>
        <v>0</v>
      </c>
      <c r="F39" s="3117"/>
      <c r="G39" s="3172"/>
      <c r="H39" s="3029"/>
      <c r="I39" s="3030"/>
      <c r="J39" s="3436"/>
      <c r="K39" s="3438"/>
      <c r="L39" s="3064"/>
      <c r="M39" s="3065"/>
      <c r="N39" s="3041"/>
      <c r="O39" s="3066"/>
      <c r="P39" s="3066"/>
      <c r="Q39" s="3067"/>
      <c r="R39" s="3068"/>
      <c r="S39" s="3103"/>
      <c r="T39" s="3022"/>
      <c r="U39" s="3022"/>
      <c r="V39" s="3030"/>
    </row>
    <row r="40" spans="1:23" s="3034" customFormat="1" ht="13.2" customHeight="1">
      <c r="A40" s="3173">
        <v>10</v>
      </c>
      <c r="B40" s="3113" t="s">
        <v>2936</v>
      </c>
      <c r="C40" s="3174" t="e">
        <f>C39+D39+E39</f>
        <v>#DIV/0!</v>
      </c>
      <c r="D40" s="3175"/>
      <c r="E40" s="3175"/>
      <c r="F40" s="3176"/>
      <c r="G40" s="3111"/>
      <c r="H40" s="3029"/>
      <c r="I40" s="3030"/>
      <c r="J40" s="3436"/>
      <c r="K40" s="3439"/>
      <c r="L40" s="3084" t="s">
        <v>2875</v>
      </c>
      <c r="M40" s="3085"/>
      <c r="N40" s="3085"/>
      <c r="O40" s="3086"/>
      <c r="P40" s="3086"/>
      <c r="Q40" s="3087"/>
      <c r="R40" s="3033">
        <f>SUM(R37:R39)</f>
        <v>0</v>
      </c>
      <c r="S40" s="3103"/>
      <c r="T40" s="3022"/>
      <c r="U40" s="3022"/>
      <c r="V40" s="3030"/>
    </row>
    <row r="41" spans="1:23" s="3034" customFormat="1" ht="13.2"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2" customHeight="1">
      <c r="G42" s="3181"/>
      <c r="H42" s="3029"/>
      <c r="I42" s="3030"/>
      <c r="J42" s="3446">
        <v>3</v>
      </c>
      <c r="K42" s="3132" t="s">
        <v>2917</v>
      </c>
      <c r="L42" s="3133"/>
      <c r="M42" s="3134"/>
      <c r="N42" s="3135" t="s">
        <v>2918</v>
      </c>
      <c r="O42" s="3135" t="s">
        <v>2919</v>
      </c>
      <c r="P42" s="3136" t="s">
        <v>2920</v>
      </c>
      <c r="Q42" s="3136" t="s">
        <v>2921</v>
      </c>
      <c r="R42" s="3039" t="s">
        <v>2846</v>
      </c>
      <c r="S42" s="3137"/>
      <c r="T42" s="3137"/>
      <c r="U42" s="3022"/>
      <c r="V42" s="3030"/>
    </row>
    <row r="43" spans="1:23" ht="13.2" customHeight="1">
      <c r="A43" s="3034"/>
      <c r="B43" s="3034"/>
      <c r="C43" s="3034"/>
      <c r="D43" s="3034"/>
      <c r="E43" s="3034"/>
      <c r="F43" s="3034"/>
      <c r="I43" s="3017"/>
      <c r="J43" s="3447"/>
      <c r="K43" s="3140"/>
      <c r="L43" s="3141"/>
      <c r="M43" s="3142"/>
      <c r="N43" s="3065"/>
      <c r="O43" s="3065"/>
      <c r="P43" s="3065"/>
      <c r="Q43" s="3129"/>
      <c r="R43" s="3100">
        <f>ROUND(O43*N43*P43*(1-Q43)/10000,0)</f>
        <v>0</v>
      </c>
      <c r="S43" s="3103"/>
      <c r="T43" s="3022"/>
      <c r="V43" s="3183"/>
      <c r="W43" s="3184"/>
    </row>
    <row r="44" spans="1:23" ht="13.2"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13" customWidth="1"/>
    <col min="2" max="2" width="12" style="1613" customWidth="1"/>
    <col min="3" max="3" width="9" style="1613"/>
    <col min="4" max="4" width="14.109375" style="1613" customWidth="1"/>
    <col min="5" max="5" width="9" style="1613"/>
    <col min="6" max="6" width="12.88671875" style="1613" customWidth="1"/>
    <col min="7" max="16384" width="9" style="1613"/>
  </cols>
  <sheetData>
    <row r="1" spans="1:22" ht="21.6">
      <c r="A1" s="2004" t="s">
        <v>2106</v>
      </c>
      <c r="B1" s="2005"/>
      <c r="C1" s="2005"/>
      <c r="D1" s="2005"/>
      <c r="E1" s="2006"/>
      <c r="F1" s="2886"/>
      <c r="G1" s="1625"/>
      <c r="H1" s="1625"/>
      <c r="I1" s="1625"/>
      <c r="J1" s="1625"/>
      <c r="K1" s="1625"/>
      <c r="L1" s="1625"/>
      <c r="M1" s="1625"/>
      <c r="N1" s="1625"/>
      <c r="O1" s="1625"/>
      <c r="P1" s="1625"/>
      <c r="Q1" s="1625"/>
      <c r="R1" s="1625"/>
      <c r="S1" s="1625"/>
    </row>
    <row r="2" spans="1:22" ht="15.6">
      <c r="A2" s="2007" t="s">
        <v>1907</v>
      </c>
      <c r="B2" s="2008">
        <f ca="1">SUMIF(B6:B13,"&lt;&gt;#ref!",B6:B13)</f>
        <v>1723</v>
      </c>
      <c r="C2" s="2009" t="s">
        <v>2099</v>
      </c>
      <c r="D2" s="2010" t="s">
        <v>2100</v>
      </c>
      <c r="E2" s="2783">
        <f>SUM(E6:E13)</f>
        <v>11798.5</v>
      </c>
      <c r="F2" s="2886"/>
      <c r="G2" s="1625"/>
      <c r="H2" s="1625"/>
      <c r="I2" s="1625"/>
      <c r="J2" s="1625"/>
      <c r="K2" s="1625"/>
      <c r="L2" s="1625"/>
      <c r="M2" s="1625"/>
      <c r="N2" s="1625"/>
      <c r="O2" s="1625"/>
      <c r="P2" s="1625"/>
      <c r="Q2" s="1625"/>
      <c r="R2" s="1625"/>
      <c r="S2" s="1625"/>
    </row>
    <row r="3" spans="1:22" ht="15.6">
      <c r="A3" s="2007" t="s">
        <v>1119</v>
      </c>
      <c r="B3" s="2777">
        <f ca="1">ROUND(B2*10000/E2,0)</f>
        <v>1460</v>
      </c>
      <c r="C3" s="2009" t="s">
        <v>2107</v>
      </c>
      <c r="D3" s="2888"/>
      <c r="E3" s="2890"/>
      <c r="F3" s="2886"/>
      <c r="G3" s="1625"/>
      <c r="H3" s="1625"/>
      <c r="I3" s="1625"/>
      <c r="J3" s="1625"/>
      <c r="K3" s="1625"/>
      <c r="L3" s="1625"/>
      <c r="M3" s="1625"/>
      <c r="N3" s="1625"/>
      <c r="O3" s="1625"/>
      <c r="P3" s="1625"/>
      <c r="Q3" s="1625"/>
      <c r="R3" s="1625"/>
      <c r="S3" s="1625"/>
    </row>
    <row r="4" spans="1:22" ht="15.6">
      <c r="A4" s="2891"/>
      <c r="B4" s="2888"/>
      <c r="C4" s="2888"/>
      <c r="D4" s="2888"/>
      <c r="E4" s="2890"/>
      <c r="F4" s="2886"/>
      <c r="G4" s="1625"/>
      <c r="H4" s="1625"/>
      <c r="I4" s="1625"/>
      <c r="J4" s="1625"/>
      <c r="K4" s="1625"/>
      <c r="L4" s="1625"/>
      <c r="M4" s="1625"/>
      <c r="N4" s="1625"/>
      <c r="O4" s="1625"/>
      <c r="P4" s="1625"/>
      <c r="Q4" s="1625"/>
      <c r="R4" s="1625"/>
      <c r="S4" s="1625"/>
    </row>
    <row r="5" spans="1:22" ht="14.4">
      <c r="A5" s="2779" t="s">
        <v>2101</v>
      </c>
      <c r="B5" s="3448" t="s">
        <v>2102</v>
      </c>
      <c r="C5" s="3449"/>
      <c r="D5" s="2887"/>
      <c r="E5" s="2011" t="s">
        <v>2103</v>
      </c>
      <c r="F5" s="2012" t="s">
        <v>2104</v>
      </c>
      <c r="G5" s="1625"/>
      <c r="H5" s="1625"/>
      <c r="I5" s="1625"/>
      <c r="J5" s="1625"/>
      <c r="K5" s="1625"/>
      <c r="L5" s="1625"/>
      <c r="M5" s="1625"/>
      <c r="N5" s="1625"/>
      <c r="O5" s="1625"/>
      <c r="P5" s="1625"/>
      <c r="Q5" s="1625"/>
      <c r="R5" s="1625"/>
      <c r="S5" s="1625"/>
    </row>
    <row r="6" spans="1:22" ht="14.4">
      <c r="A6" s="2780" t="str">
        <f>'数据-取费表'!AN6</f>
        <v>收益法</v>
      </c>
      <c r="B6" s="2778">
        <f ca="1">IF(F6="是",'数据-取费表'!AO6,0)</f>
        <v>1723</v>
      </c>
      <c r="C6" s="2009" t="s">
        <v>2099</v>
      </c>
      <c r="D6" s="2888"/>
      <c r="E6" s="2782">
        <f>IF(OR(A6=0,F6="否"),0,'数据-取费表'!K6+'数据-取费表'!S6)</f>
        <v>11798.5</v>
      </c>
      <c r="F6" s="2013" t="s">
        <v>2105</v>
      </c>
      <c r="G6" s="1625"/>
      <c r="H6" s="1625"/>
      <c r="I6" s="1625"/>
      <c r="J6" s="1625"/>
      <c r="K6" s="1625"/>
      <c r="L6" s="1625"/>
      <c r="M6" s="1625"/>
      <c r="N6" s="1625"/>
      <c r="O6" s="1625"/>
      <c r="P6" s="1625"/>
      <c r="Q6" s="1625"/>
      <c r="R6" s="1625"/>
      <c r="S6" s="1625"/>
    </row>
    <row r="7" spans="1:22" ht="14.4">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ht="14.4">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ht="14.4">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ht="14.4">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ht="14.4">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ht="14.4">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U15" sqref="U15"/>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11798.5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4.4">
      <c r="A4" s="361" t="s">
        <v>2115</v>
      </c>
      <c r="B4" s="362"/>
      <c r="C4" s="3468" t="s">
        <v>2116</v>
      </c>
      <c r="D4" s="3469"/>
      <c r="E4" s="3470" t="s">
        <v>2117</v>
      </c>
      <c r="F4" s="3471"/>
      <c r="G4" s="3468" t="s">
        <v>2118</v>
      </c>
      <c r="H4" s="3469"/>
      <c r="I4" s="3468" t="s">
        <v>2119</v>
      </c>
      <c r="J4" s="3469"/>
      <c r="K4" s="2026" t="s">
        <v>2120</v>
      </c>
      <c r="L4" s="2894"/>
      <c r="M4" s="2895"/>
      <c r="N4" s="2895"/>
      <c r="O4" s="2895"/>
      <c r="P4" s="3472" t="s">
        <v>2121</v>
      </c>
      <c r="Q4" s="3473"/>
      <c r="R4" s="3455" t="s">
        <v>2117</v>
      </c>
      <c r="S4" s="3456"/>
      <c r="T4" s="3455" t="s">
        <v>2118</v>
      </c>
      <c r="U4" s="3456"/>
      <c r="V4" s="3480" t="s">
        <v>2119</v>
      </c>
      <c r="W4" s="3480"/>
      <c r="X4" s="1490"/>
      <c r="Y4" s="3455" t="s">
        <v>2121</v>
      </c>
      <c r="Z4" s="3456"/>
      <c r="AA4" s="3450" t="s">
        <v>2117</v>
      </c>
      <c r="AB4" s="3450" t="s">
        <v>2118</v>
      </c>
      <c r="AC4" s="3450" t="s">
        <v>2119</v>
      </c>
    </row>
    <row r="5" spans="1:29">
      <c r="A5" s="364"/>
      <c r="B5" s="365"/>
      <c r="C5" s="3461" t="s">
        <v>2122</v>
      </c>
      <c r="D5" s="3462"/>
      <c r="E5" s="3459" t="s">
        <v>2123</v>
      </c>
      <c r="F5" s="3460"/>
      <c r="G5" s="3461" t="s">
        <v>2124</v>
      </c>
      <c r="H5" s="3462"/>
      <c r="I5" s="3461" t="s">
        <v>2125</v>
      </c>
      <c r="J5" s="3462"/>
      <c r="K5" s="2027"/>
      <c r="L5" s="2894"/>
      <c r="M5" s="2895"/>
      <c r="N5" s="2895"/>
      <c r="O5" s="2895"/>
      <c r="P5" s="3474"/>
      <c r="Q5" s="3475"/>
      <c r="R5" s="3457"/>
      <c r="S5" s="3458"/>
      <c r="T5" s="3457"/>
      <c r="U5" s="3458"/>
      <c r="V5" s="3480"/>
      <c r="W5" s="3480"/>
      <c r="X5" s="1490"/>
      <c r="Y5" s="3457"/>
      <c r="Z5" s="3458"/>
      <c r="AA5" s="3451"/>
      <c r="AB5" s="3451"/>
      <c r="AC5" s="3451"/>
    </row>
    <row r="6" spans="1:29" ht="15" thickBot="1">
      <c r="A6" s="366"/>
      <c r="B6" s="367"/>
      <c r="C6" s="3463" t="s">
        <v>2126</v>
      </c>
      <c r="D6" s="3464"/>
      <c r="E6" s="3465" t="s">
        <v>2126</v>
      </c>
      <c r="F6" s="3466"/>
      <c r="G6" s="3463" t="s">
        <v>2126</v>
      </c>
      <c r="H6" s="3464"/>
      <c r="I6" s="3463" t="s">
        <v>2126</v>
      </c>
      <c r="J6" s="3464"/>
      <c r="K6" s="2027" t="s">
        <v>2127</v>
      </c>
      <c r="L6" s="2894"/>
      <c r="M6" s="2895"/>
      <c r="N6" s="2895"/>
      <c r="O6" s="2895"/>
      <c r="P6" s="3476"/>
      <c r="Q6" s="3477"/>
      <c r="R6" s="3457"/>
      <c r="S6" s="3458"/>
      <c r="T6" s="3478"/>
      <c r="U6" s="3479"/>
      <c r="V6" s="3480"/>
      <c r="W6" s="3480"/>
      <c r="X6" s="1490"/>
      <c r="Y6" s="3478"/>
      <c r="Z6" s="3479"/>
      <c r="AA6" s="3452"/>
      <c r="AB6" s="3452"/>
      <c r="AC6" s="3452"/>
    </row>
    <row r="7" spans="1:29" s="113" customFormat="1" ht="15" thickBot="1">
      <c r="A7" s="368" t="s">
        <v>2128</v>
      </c>
      <c r="B7" s="369"/>
      <c r="C7" s="370">
        <f>'数据-取费表'!B2</f>
        <v>44889</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3" t="s">
        <v>2129</v>
      </c>
      <c r="Q7" s="3481"/>
      <c r="R7" s="710" t="s">
        <v>23</v>
      </c>
      <c r="S7" s="711">
        <f t="shared" ref="S7:S15" si="0">F7</f>
        <v>0</v>
      </c>
      <c r="T7" s="710" t="s">
        <v>23</v>
      </c>
      <c r="U7" s="711">
        <f t="shared" ref="U7:U15" si="1">H7</f>
        <v>0</v>
      </c>
      <c r="V7" s="710" t="s">
        <v>23</v>
      </c>
      <c r="W7" s="711">
        <f t="shared" ref="W7:W15" si="2">J7</f>
        <v>0</v>
      </c>
      <c r="X7" s="712"/>
      <c r="Y7" s="3453" t="s">
        <v>2129</v>
      </c>
      <c r="Z7" s="3454"/>
      <c r="AA7" s="713" t="e">
        <f>D7/F7</f>
        <v>#DIV/0!</v>
      </c>
      <c r="AB7" s="713" t="e">
        <f>D7/H7</f>
        <v>#DIV/0!</v>
      </c>
      <c r="AC7" s="713" t="e">
        <f>D7/J7</f>
        <v>#DIV/0!</v>
      </c>
    </row>
    <row r="8" spans="1:29" s="113" customFormat="1" ht="1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3" t="s">
        <v>2132</v>
      </c>
      <c r="Q8" s="3454"/>
      <c r="R8" s="710" t="s">
        <v>23</v>
      </c>
      <c r="S8" s="711">
        <f t="shared" si="0"/>
        <v>0</v>
      </c>
      <c r="T8" s="710" t="s">
        <v>23</v>
      </c>
      <c r="U8" s="711">
        <f t="shared" si="1"/>
        <v>0</v>
      </c>
      <c r="V8" s="710" t="s">
        <v>23</v>
      </c>
      <c r="W8" s="711">
        <f t="shared" si="2"/>
        <v>0</v>
      </c>
      <c r="X8" s="712"/>
      <c r="Y8" s="3453" t="s">
        <v>2132</v>
      </c>
      <c r="Z8" s="3454"/>
      <c r="AA8" s="713" t="e">
        <f t="shared" ref="AA8:AA19" si="3">D8/F8</f>
        <v>#DIV/0!</v>
      </c>
      <c r="AB8" s="713" t="e">
        <f t="shared" ref="AB8:AB19" si="4">D8/H8</f>
        <v>#DIV/0!</v>
      </c>
      <c r="AC8" s="713" t="e">
        <f t="shared" ref="AC8:AC19" si="5">D8/J8</f>
        <v>#DIV/0!</v>
      </c>
    </row>
    <row r="9" spans="1:29" s="113" customFormat="1" ht="14.4">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7"/>
      <c r="Q11" s="1478" t="str">
        <f t="shared" si="6"/>
        <v>容积率</v>
      </c>
      <c r="R11" s="710" t="s">
        <v>21</v>
      </c>
      <c r="S11" s="711" t="e">
        <f t="shared" si="0"/>
        <v>#N/A</v>
      </c>
      <c r="T11" s="710" t="s">
        <v>21</v>
      </c>
      <c r="U11" s="711" t="e">
        <f t="shared" si="1"/>
        <v>#N/A</v>
      </c>
      <c r="V11" s="710" t="s">
        <v>21</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7"/>
      <c r="Q12" s="1478">
        <f t="shared" si="6"/>
        <v>111</v>
      </c>
      <c r="R12" s="710" t="s">
        <v>21</v>
      </c>
      <c r="S12" s="711">
        <f t="shared" si="0"/>
        <v>100</v>
      </c>
      <c r="T12" s="710" t="s">
        <v>21</v>
      </c>
      <c r="U12" s="711">
        <f t="shared" si="1"/>
        <v>100</v>
      </c>
      <c r="V12" s="710" t="s">
        <v>21</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7"/>
      <c r="Q13" s="1478">
        <f t="shared" si="6"/>
        <v>111</v>
      </c>
      <c r="R13" s="710" t="s">
        <v>21</v>
      </c>
      <c r="S13" s="711">
        <f t="shared" si="0"/>
        <v>100</v>
      </c>
      <c r="T13" s="710" t="s">
        <v>21</v>
      </c>
      <c r="U13" s="711">
        <f t="shared" si="1"/>
        <v>100</v>
      </c>
      <c r="V13" s="710" t="s">
        <v>21</v>
      </c>
      <c r="W13" s="711">
        <f t="shared" si="2"/>
        <v>100</v>
      </c>
      <c r="X13" s="712"/>
      <c r="Y13" s="3397"/>
      <c r="Z13" s="55">
        <f t="shared" si="7"/>
        <v>111</v>
      </c>
      <c r="AA13" s="713">
        <f t="shared" si="3"/>
        <v>1</v>
      </c>
      <c r="AB13" s="713">
        <f t="shared" si="4"/>
        <v>1</v>
      </c>
      <c r="AC13" s="713">
        <f t="shared" si="5"/>
        <v>1</v>
      </c>
    </row>
    <row r="14" spans="1:29" ht="15.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7"/>
      <c r="Q14" s="1478">
        <f t="shared" si="6"/>
        <v>111</v>
      </c>
      <c r="R14" s="710" t="s">
        <v>21</v>
      </c>
      <c r="S14" s="711">
        <f t="shared" si="0"/>
        <v>100</v>
      </c>
      <c r="T14" s="710" t="s">
        <v>21</v>
      </c>
      <c r="U14" s="711">
        <f t="shared" si="1"/>
        <v>100</v>
      </c>
      <c r="V14" s="710" t="s">
        <v>21</v>
      </c>
      <c r="W14" s="711">
        <f t="shared" si="2"/>
        <v>100</v>
      </c>
      <c r="X14" s="712"/>
      <c r="Y14" s="3397"/>
      <c r="Z14" s="55">
        <f t="shared" si="7"/>
        <v>111</v>
      </c>
      <c r="AA14" s="713">
        <f t="shared" si="3"/>
        <v>1</v>
      </c>
      <c r="AB14" s="713">
        <f t="shared" si="4"/>
        <v>1</v>
      </c>
      <c r="AC14" s="713">
        <f t="shared" si="5"/>
        <v>1</v>
      </c>
    </row>
    <row r="15" spans="1:29" ht="96.6">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4" t="s">
        <v>2140</v>
      </c>
      <c r="Q15" s="1487" t="str">
        <f t="shared" si="6"/>
        <v>居住社区成熟度</v>
      </c>
      <c r="R15" s="714" t="s">
        <v>21</v>
      </c>
      <c r="S15" s="715">
        <f t="shared" si="0"/>
        <v>100</v>
      </c>
      <c r="T15" s="714" t="s">
        <v>21</v>
      </c>
      <c r="U15" s="715">
        <f t="shared" si="1"/>
        <v>100</v>
      </c>
      <c r="V15" s="714" t="s">
        <v>21</v>
      </c>
      <c r="W15" s="715">
        <f t="shared" si="2"/>
        <v>100</v>
      </c>
      <c r="X15" s="1490"/>
      <c r="Y15" s="3487"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5"/>
      <c r="Q16" s="1487"/>
      <c r="R16" s="714"/>
      <c r="S16" s="715"/>
      <c r="T16" s="714"/>
      <c r="U16" s="715"/>
      <c r="V16" s="714"/>
      <c r="W16" s="715"/>
      <c r="X16" s="1490"/>
      <c r="Y16" s="3488"/>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5"/>
      <c r="Q17" s="1487" t="str">
        <f>B17</f>
        <v>交通便捷度</v>
      </c>
      <c r="R17" s="714" t="s">
        <v>21</v>
      </c>
      <c r="S17" s="715">
        <f>F17</f>
        <v>100</v>
      </c>
      <c r="T17" s="714" t="s">
        <v>21</v>
      </c>
      <c r="U17" s="715">
        <f>H17</f>
        <v>100</v>
      </c>
      <c r="V17" s="714" t="s">
        <v>21</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5"/>
      <c r="Q18" s="1487"/>
      <c r="R18" s="714"/>
      <c r="S18" s="715"/>
      <c r="T18" s="714"/>
      <c r="U18" s="715"/>
      <c r="V18" s="714"/>
      <c r="W18" s="715"/>
      <c r="X18" s="1490"/>
      <c r="Y18" s="3488"/>
      <c r="Z18" s="1491"/>
      <c r="AA18" s="1488">
        <v>1</v>
      </c>
      <c r="AB18" s="1488">
        <v>1</v>
      </c>
      <c r="AC18" s="1488">
        <v>1</v>
      </c>
    </row>
    <row r="19" spans="1:29" ht="41.4">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5"/>
      <c r="Q19" s="1487" t="str">
        <f>B19</f>
        <v>公共配套设施</v>
      </c>
      <c r="R19" s="714" t="s">
        <v>21</v>
      </c>
      <c r="S19" s="715">
        <f>F19</f>
        <v>100</v>
      </c>
      <c r="T19" s="714" t="s">
        <v>21</v>
      </c>
      <c r="U19" s="715">
        <f>H19</f>
        <v>100</v>
      </c>
      <c r="V19" s="714" t="s">
        <v>21</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5"/>
      <c r="Q20" s="1487"/>
      <c r="R20" s="714"/>
      <c r="S20" s="715"/>
      <c r="T20" s="714"/>
      <c r="U20" s="715"/>
      <c r="V20" s="714"/>
      <c r="W20" s="715"/>
      <c r="X20" s="1490"/>
      <c r="Y20" s="3488"/>
      <c r="Z20" s="1491"/>
      <c r="AA20" s="1488">
        <v>1</v>
      </c>
      <c r="AB20" s="1488">
        <v>1</v>
      </c>
      <c r="AC20" s="1488">
        <v>1</v>
      </c>
    </row>
    <row r="21" spans="1:29" ht="27.6">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5"/>
      <c r="Q22" s="1487"/>
      <c r="R22" s="714"/>
      <c r="S22" s="715"/>
      <c r="T22" s="714"/>
      <c r="U22" s="715"/>
      <c r="V22" s="714"/>
      <c r="W22" s="715"/>
      <c r="X22" s="1490"/>
      <c r="Y22" s="3488"/>
      <c r="Z22" s="1491"/>
      <c r="AA22" s="1488">
        <v>1</v>
      </c>
      <c r="AB22" s="1488">
        <v>1</v>
      </c>
      <c r="AC22" s="1488">
        <v>1</v>
      </c>
    </row>
    <row r="23" spans="1:29" ht="55.2">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5"/>
      <c r="Q23" s="1487" t="str">
        <f>B23</f>
        <v>自然及人文环境</v>
      </c>
      <c r="R23" s="714" t="s">
        <v>21</v>
      </c>
      <c r="S23" s="715">
        <f>F23</f>
        <v>100</v>
      </c>
      <c r="T23" s="714" t="s">
        <v>21</v>
      </c>
      <c r="U23" s="715">
        <f>H23</f>
        <v>100</v>
      </c>
      <c r="V23" s="714" t="s">
        <v>21</v>
      </c>
      <c r="W23" s="715">
        <f>J23</f>
        <v>100</v>
      </c>
      <c r="X23" s="1490"/>
      <c r="Y23" s="348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5"/>
      <c r="Q26" s="1487" t="str">
        <f t="shared" si="11"/>
        <v>朝向</v>
      </c>
      <c r="R26" s="714" t="s">
        <v>21</v>
      </c>
      <c r="S26" s="715">
        <f t="shared" si="12"/>
        <v>100</v>
      </c>
      <c r="T26" s="714" t="s">
        <v>21</v>
      </c>
      <c r="U26" s="715">
        <f t="shared" si="13"/>
        <v>100</v>
      </c>
      <c r="V26" s="714" t="s">
        <v>21</v>
      </c>
      <c r="W26" s="715">
        <f t="shared" si="14"/>
        <v>100</v>
      </c>
      <c r="X26" s="1490"/>
      <c r="Y26" s="348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5"/>
      <c r="Q27" s="1478">
        <f t="shared" si="11"/>
        <v>111</v>
      </c>
      <c r="R27" s="710" t="s">
        <v>21</v>
      </c>
      <c r="S27" s="711">
        <f t="shared" si="12"/>
        <v>100</v>
      </c>
      <c r="T27" s="710" t="s">
        <v>21</v>
      </c>
      <c r="U27" s="711">
        <f t="shared" si="13"/>
        <v>100</v>
      </c>
      <c r="V27" s="710" t="s">
        <v>21</v>
      </c>
      <c r="W27" s="711">
        <f t="shared" si="14"/>
        <v>100</v>
      </c>
      <c r="X27" s="712"/>
      <c r="Y27" s="348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5"/>
      <c r="Q28" s="1487">
        <f t="shared" si="11"/>
        <v>111</v>
      </c>
      <c r="R28" s="714" t="s">
        <v>21</v>
      </c>
      <c r="S28" s="715">
        <f t="shared" si="12"/>
        <v>100</v>
      </c>
      <c r="T28" s="714" t="s">
        <v>21</v>
      </c>
      <c r="U28" s="715">
        <f t="shared" si="13"/>
        <v>100</v>
      </c>
      <c r="V28" s="714" t="s">
        <v>21</v>
      </c>
      <c r="W28" s="715">
        <f t="shared" si="14"/>
        <v>100</v>
      </c>
      <c r="X28" s="1490"/>
      <c r="Y28" s="348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5"/>
      <c r="Q29" s="1487">
        <f t="shared" si="11"/>
        <v>111</v>
      </c>
      <c r="R29" s="714" t="s">
        <v>21</v>
      </c>
      <c r="S29" s="715">
        <f t="shared" si="12"/>
        <v>100</v>
      </c>
      <c r="T29" s="714" t="s">
        <v>21</v>
      </c>
      <c r="U29" s="715">
        <f t="shared" si="13"/>
        <v>100</v>
      </c>
      <c r="V29" s="714" t="s">
        <v>21</v>
      </c>
      <c r="W29" s="715">
        <f t="shared" si="14"/>
        <v>100</v>
      </c>
      <c r="X29" s="1490"/>
      <c r="Y29" s="348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5"/>
      <c r="Q30" s="1487">
        <f t="shared" si="11"/>
        <v>111</v>
      </c>
      <c r="R30" s="714" t="s">
        <v>21</v>
      </c>
      <c r="S30" s="715">
        <f t="shared" si="12"/>
        <v>100</v>
      </c>
      <c r="T30" s="714" t="s">
        <v>21</v>
      </c>
      <c r="U30" s="715">
        <f t="shared" si="13"/>
        <v>100</v>
      </c>
      <c r="V30" s="714" t="s">
        <v>21</v>
      </c>
      <c r="W30" s="715">
        <f t="shared" si="14"/>
        <v>100</v>
      </c>
      <c r="X30" s="1490"/>
      <c r="Y30" s="3488"/>
      <c r="Z30" s="1491">
        <f t="shared" si="18"/>
        <v>111</v>
      </c>
      <c r="AA30" s="1488">
        <f t="shared" si="15"/>
        <v>1</v>
      </c>
      <c r="AB30" s="1488">
        <f t="shared" si="16"/>
        <v>1</v>
      </c>
      <c r="AC30" s="1488">
        <f t="shared" si="17"/>
        <v>1</v>
      </c>
    </row>
    <row r="31" spans="1:29" ht="15.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5"/>
      <c r="Q31" s="1487">
        <f t="shared" si="11"/>
        <v>111</v>
      </c>
      <c r="R31" s="714" t="s">
        <v>21</v>
      </c>
      <c r="S31" s="715">
        <f t="shared" si="12"/>
        <v>100</v>
      </c>
      <c r="T31" s="714" t="s">
        <v>21</v>
      </c>
      <c r="U31" s="715">
        <f t="shared" si="13"/>
        <v>100</v>
      </c>
      <c r="V31" s="714" t="s">
        <v>21</v>
      </c>
      <c r="W31" s="715">
        <f t="shared" si="14"/>
        <v>100</v>
      </c>
      <c r="X31" s="1490"/>
      <c r="Y31" s="3488"/>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89" t="s">
        <v>2145</v>
      </c>
      <c r="Q32" s="1487" t="str">
        <f t="shared" si="11"/>
        <v>建筑类型</v>
      </c>
      <c r="R32" s="714" t="s">
        <v>21</v>
      </c>
      <c r="S32" s="715">
        <f t="shared" si="12"/>
        <v>100</v>
      </c>
      <c r="T32" s="714" t="s">
        <v>21</v>
      </c>
      <c r="U32" s="715">
        <f t="shared" si="13"/>
        <v>100</v>
      </c>
      <c r="V32" s="714" t="s">
        <v>21</v>
      </c>
      <c r="W32" s="715">
        <f t="shared" si="14"/>
        <v>100</v>
      </c>
      <c r="X32" s="1490"/>
      <c r="Y32" s="3492"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0"/>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0"/>
      <c r="Q34" s="1487" t="str">
        <f t="shared" si="11"/>
        <v>建筑结构</v>
      </c>
      <c r="R34" s="714" t="s">
        <v>21</v>
      </c>
      <c r="S34" s="715">
        <f t="shared" si="12"/>
        <v>100</v>
      </c>
      <c r="T34" s="714" t="s">
        <v>21</v>
      </c>
      <c r="U34" s="715">
        <f t="shared" si="13"/>
        <v>100</v>
      </c>
      <c r="V34" s="714" t="s">
        <v>21</v>
      </c>
      <c r="W34" s="715">
        <f t="shared" si="14"/>
        <v>100</v>
      </c>
      <c r="X34" s="1490"/>
      <c r="Y34" s="3492"/>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0"/>
      <c r="Q35" s="1487" t="str">
        <f t="shared" si="11"/>
        <v>建筑品质</v>
      </c>
      <c r="R35" s="714" t="s">
        <v>21</v>
      </c>
      <c r="S35" s="715">
        <f t="shared" si="12"/>
        <v>100</v>
      </c>
      <c r="T35" s="714" t="s">
        <v>21</v>
      </c>
      <c r="U35" s="715">
        <f t="shared" si="13"/>
        <v>100</v>
      </c>
      <c r="V35" s="714" t="s">
        <v>21</v>
      </c>
      <c r="W35" s="715">
        <f t="shared" si="14"/>
        <v>100</v>
      </c>
      <c r="X35" s="1490"/>
      <c r="Y35" s="3492"/>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0"/>
      <c r="Q36" s="1487" t="str">
        <f t="shared" si="11"/>
        <v>公共部分装修</v>
      </c>
      <c r="R36" s="714" t="s">
        <v>21</v>
      </c>
      <c r="S36" s="715">
        <f t="shared" si="12"/>
        <v>100</v>
      </c>
      <c r="T36" s="714" t="s">
        <v>21</v>
      </c>
      <c r="U36" s="715">
        <f t="shared" si="13"/>
        <v>100</v>
      </c>
      <c r="V36" s="714" t="s">
        <v>21</v>
      </c>
      <c r="W36" s="715">
        <f t="shared" si="14"/>
        <v>100</v>
      </c>
      <c r="X36" s="1490"/>
      <c r="Y36" s="3492"/>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0"/>
      <c r="Q37" s="1478"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0" t="s">
        <v>2145</v>
      </c>
      <c r="Q38" s="1487" t="str">
        <f t="shared" si="11"/>
        <v>物业管理</v>
      </c>
      <c r="R38" s="714" t="s">
        <v>21</v>
      </c>
      <c r="S38" s="715">
        <f t="shared" si="12"/>
        <v>100</v>
      </c>
      <c r="T38" s="714" t="s">
        <v>21</v>
      </c>
      <c r="U38" s="715">
        <f t="shared" si="13"/>
        <v>100</v>
      </c>
      <c r="V38" s="714" t="s">
        <v>21</v>
      </c>
      <c r="W38" s="715">
        <f t="shared" si="14"/>
        <v>100</v>
      </c>
      <c r="X38" s="1490"/>
      <c r="Y38" s="3492"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0"/>
      <c r="Q39" s="1487" t="str">
        <f t="shared" si="11"/>
        <v>市政基础设施</v>
      </c>
      <c r="R39" s="714" t="s">
        <v>21</v>
      </c>
      <c r="S39" s="715">
        <f t="shared" si="12"/>
        <v>100</v>
      </c>
      <c r="T39" s="714" t="s">
        <v>21</v>
      </c>
      <c r="U39" s="715">
        <f t="shared" si="13"/>
        <v>100</v>
      </c>
      <c r="V39" s="714" t="s">
        <v>21</v>
      </c>
      <c r="W39" s="715">
        <f t="shared" si="14"/>
        <v>100</v>
      </c>
      <c r="X39" s="1490"/>
      <c r="Y39" s="3492"/>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0"/>
      <c r="Q40" s="1487" t="str">
        <f t="shared" si="11"/>
        <v>房型</v>
      </c>
      <c r="R40" s="714" t="s">
        <v>21</v>
      </c>
      <c r="S40" s="715">
        <f t="shared" si="12"/>
        <v>100</v>
      </c>
      <c r="T40" s="714" t="s">
        <v>21</v>
      </c>
      <c r="U40" s="715">
        <f t="shared" si="13"/>
        <v>100</v>
      </c>
      <c r="V40" s="714" t="s">
        <v>21</v>
      </c>
      <c r="W40" s="715">
        <f t="shared" si="14"/>
        <v>100</v>
      </c>
      <c r="X40" s="1490"/>
      <c r="Y40" s="3492"/>
      <c r="Z40" s="1491" t="str">
        <f t="shared" si="18"/>
        <v>房型</v>
      </c>
      <c r="AA40" s="1488">
        <f t="shared" si="15"/>
        <v>1</v>
      </c>
      <c r="AB40" s="1488">
        <f t="shared" si="16"/>
        <v>1</v>
      </c>
      <c r="AC40" s="1488">
        <f t="shared" si="17"/>
        <v>1</v>
      </c>
    </row>
    <row r="41" spans="1:29" s="430" customFormat="1" ht="28.8">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0"/>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0"/>
      <c r="Q42" s="1487" t="str">
        <f t="shared" si="11"/>
        <v>内部装修</v>
      </c>
      <c r="R42" s="714" t="s">
        <v>21</v>
      </c>
      <c r="S42" s="715">
        <f t="shared" si="12"/>
        <v>100</v>
      </c>
      <c r="T42" s="714" t="s">
        <v>21</v>
      </c>
      <c r="U42" s="715">
        <f t="shared" si="13"/>
        <v>100</v>
      </c>
      <c r="V42" s="714" t="s">
        <v>21</v>
      </c>
      <c r="W42" s="715">
        <f t="shared" si="14"/>
        <v>100</v>
      </c>
      <c r="X42" s="1490"/>
      <c r="Y42" s="3492"/>
      <c r="Z42" s="1491" t="str">
        <f t="shared" si="18"/>
        <v>内部装修</v>
      </c>
      <c r="AA42" s="1488">
        <f t="shared" si="15"/>
        <v>1</v>
      </c>
      <c r="AB42" s="1488">
        <f t="shared" si="16"/>
        <v>1</v>
      </c>
      <c r="AC42" s="1488">
        <f t="shared" si="17"/>
        <v>1</v>
      </c>
    </row>
    <row r="43" spans="1:29" ht="28.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0"/>
      <c r="Q43" s="1487" t="str">
        <f t="shared" si="11"/>
        <v>内部装修维护情况</v>
      </c>
      <c r="R43" s="714" t="s">
        <v>21</v>
      </c>
      <c r="S43" s="715">
        <f t="shared" si="12"/>
        <v>100</v>
      </c>
      <c r="T43" s="714" t="s">
        <v>21</v>
      </c>
      <c r="U43" s="715">
        <f t="shared" si="13"/>
        <v>100</v>
      </c>
      <c r="V43" s="714" t="s">
        <v>21</v>
      </c>
      <c r="W43" s="715">
        <f t="shared" si="14"/>
        <v>100</v>
      </c>
      <c r="X43" s="1490"/>
      <c r="Y43" s="349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0"/>
      <c r="Q44" s="1478">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0"/>
      <c r="Q45" s="1487">
        <f t="shared" si="11"/>
        <v>111</v>
      </c>
      <c r="R45" s="714" t="s">
        <v>21</v>
      </c>
      <c r="S45" s="715">
        <f t="shared" si="12"/>
        <v>100</v>
      </c>
      <c r="T45" s="714" t="s">
        <v>21</v>
      </c>
      <c r="U45" s="715">
        <f t="shared" si="13"/>
        <v>100</v>
      </c>
      <c r="V45" s="714" t="s">
        <v>21</v>
      </c>
      <c r="W45" s="715">
        <f t="shared" si="14"/>
        <v>100</v>
      </c>
      <c r="X45" s="1490"/>
      <c r="Y45" s="3492"/>
      <c r="Z45" s="1491">
        <f t="shared" si="18"/>
        <v>111</v>
      </c>
      <c r="AA45" s="1488">
        <f t="shared" si="15"/>
        <v>1</v>
      </c>
      <c r="AB45" s="1488">
        <f t="shared" si="16"/>
        <v>1</v>
      </c>
      <c r="AC45" s="1488">
        <f t="shared" si="17"/>
        <v>1</v>
      </c>
    </row>
    <row r="46" spans="1:29" ht="15.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1"/>
      <c r="Q46" s="1487">
        <f t="shared" si="11"/>
        <v>111</v>
      </c>
      <c r="R46" s="714" t="s">
        <v>20</v>
      </c>
      <c r="S46" s="715">
        <f t="shared" si="12"/>
        <v>100</v>
      </c>
      <c r="T46" s="714" t="s">
        <v>20</v>
      </c>
      <c r="U46" s="715">
        <f t="shared" si="13"/>
        <v>100</v>
      </c>
      <c r="V46" s="714" t="s">
        <v>20</v>
      </c>
      <c r="W46" s="715">
        <f t="shared" si="14"/>
        <v>100</v>
      </c>
      <c r="X46" s="1490"/>
      <c r="Y46" s="3493"/>
      <c r="Z46" s="1491">
        <f t="shared" si="18"/>
        <v>111</v>
      </c>
      <c r="AA46" s="1488">
        <f t="shared" si="15"/>
        <v>1</v>
      </c>
      <c r="AB46" s="1488">
        <f t="shared" si="16"/>
        <v>1</v>
      </c>
      <c r="AC46" s="1488">
        <f t="shared" si="17"/>
        <v>1</v>
      </c>
    </row>
    <row r="47" spans="1:29" ht="14.4">
      <c r="A47" s="438" t="s">
        <v>2157</v>
      </c>
      <c r="B47" s="439"/>
      <c r="C47" s="1269" t="s">
        <v>19</v>
      </c>
      <c r="D47" s="1270"/>
      <c r="E47" s="1271"/>
      <c r="F47" s="1272"/>
      <c r="G47" s="1273"/>
      <c r="H47" s="1274"/>
      <c r="I47" s="1271"/>
      <c r="J47" s="1274"/>
      <c r="K47" s="2051"/>
      <c r="L47" s="2903"/>
      <c r="M47" s="2904"/>
      <c r="N47" s="2895"/>
      <c r="O47" s="2904"/>
      <c r="P47" s="3485" t="str">
        <f>A47</f>
        <v>成交单价（元/平方米）</v>
      </c>
      <c r="Q47" s="3485"/>
      <c r="R47" s="3486">
        <f>E47</f>
        <v>0</v>
      </c>
      <c r="S47" s="3486"/>
      <c r="T47" s="3486">
        <f>G47</f>
        <v>0</v>
      </c>
      <c r="U47" s="3486"/>
      <c r="V47" s="3486">
        <f>I47</f>
        <v>0</v>
      </c>
      <c r="W47" s="3486"/>
      <c r="X47" s="699"/>
      <c r="Y47" s="721"/>
      <c r="Z47" s="699"/>
      <c r="AA47" s="699"/>
      <c r="AB47" s="699"/>
      <c r="AC47" s="699"/>
    </row>
    <row r="48" spans="1:29" ht="1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 thickBot="1">
      <c r="A49" s="449" t="s">
        <v>2159</v>
      </c>
      <c r="B49" s="450"/>
      <c r="C49" s="1277" t="e">
        <f>R49</f>
        <v>#DIV/0!</v>
      </c>
      <c r="D49" s="1278"/>
      <c r="E49" s="1278"/>
      <c r="F49" s="1278"/>
      <c r="G49" s="1278"/>
      <c r="H49" s="1278"/>
      <c r="I49" s="1278"/>
      <c r="J49" s="1278"/>
      <c r="K49" s="2052"/>
      <c r="L49" s="2903"/>
      <c r="M49" s="2904"/>
      <c r="N49" s="2904"/>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2.2" thickBot="1">
      <c r="A57" s="703" t="s">
        <v>2163</v>
      </c>
      <c r="B57" s="699"/>
      <c r="C57" s="704"/>
      <c r="D57" s="704"/>
      <c r="E57" s="704"/>
      <c r="F57" s="705"/>
      <c r="G57" s="705"/>
      <c r="H57" s="704"/>
      <c r="I57" s="704"/>
      <c r="J57" s="704"/>
      <c r="K57" s="1053"/>
      <c r="L57" s="1054"/>
      <c r="M57" s="1052"/>
      <c r="N57" s="1052"/>
      <c r="O57" s="1052"/>
      <c r="P57" s="2055"/>
      <c r="Q57" s="461"/>
    </row>
    <row r="58" spans="1:29" s="465" customFormat="1" ht="14.4">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5" thickBot="1">
      <c r="A60" s="472" t="s">
        <v>2165</v>
      </c>
      <c r="B60" s="473"/>
      <c r="C60" s="474"/>
      <c r="D60" s="475"/>
      <c r="E60" s="475"/>
      <c r="F60" s="475"/>
      <c r="G60" s="475"/>
      <c r="H60" s="475"/>
      <c r="I60" s="475"/>
      <c r="J60" s="475"/>
      <c r="K60" s="475"/>
      <c r="L60" s="475"/>
      <c r="M60" s="476"/>
      <c r="N60" s="475"/>
      <c r="O60" s="476"/>
      <c r="P60" s="2057"/>
      <c r="Q60" s="461"/>
    </row>
    <row r="61" spans="1:29" s="113" customFormat="1" ht="14.4">
      <c r="A61" s="478" t="s">
        <v>2166</v>
      </c>
      <c r="B61" s="467"/>
      <c r="C61" s="479" t="s">
        <v>2167</v>
      </c>
      <c r="D61" s="480"/>
      <c r="E61" s="480"/>
      <c r="F61" s="480"/>
      <c r="G61" s="480"/>
      <c r="H61" s="480"/>
      <c r="I61" s="480"/>
      <c r="J61" s="480"/>
      <c r="K61" s="480"/>
      <c r="L61" s="481"/>
      <c r="M61" s="482"/>
      <c r="N61" s="1044"/>
      <c r="O61" s="1044"/>
      <c r="P61" s="2058"/>
      <c r="Q61" s="461"/>
    </row>
    <row r="62" spans="1:29" s="113" customFormat="1" ht="14.4" thickBot="1">
      <c r="A62" s="478"/>
      <c r="B62" s="467"/>
      <c r="C62" s="468">
        <v>100</v>
      </c>
      <c r="D62" s="469"/>
      <c r="E62" s="469"/>
      <c r="F62" s="469"/>
      <c r="G62" s="469"/>
      <c r="H62" s="469"/>
      <c r="I62" s="469"/>
      <c r="J62" s="469"/>
      <c r="K62" s="469"/>
      <c r="L62" s="469"/>
      <c r="M62" s="471"/>
      <c r="N62" s="1044"/>
      <c r="O62" s="1044"/>
      <c r="P62" s="2057"/>
      <c r="Q62" s="461"/>
    </row>
    <row r="63" spans="1:29" ht="14.4">
      <c r="A63" s="484" t="s">
        <v>2168</v>
      </c>
      <c r="B63" s="485" t="s">
        <v>2134</v>
      </c>
      <c r="C63" s="486">
        <f>C9</f>
        <v>0</v>
      </c>
      <c r="D63" s="487"/>
      <c r="E63" s="487"/>
      <c r="F63" s="487"/>
      <c r="G63" s="487"/>
      <c r="H63" s="487"/>
      <c r="I63" s="487"/>
      <c r="J63" s="487"/>
      <c r="K63" s="488"/>
      <c r="L63" s="489"/>
      <c r="M63" s="490"/>
      <c r="N63" s="1045"/>
      <c r="O63" s="1045"/>
      <c r="P63" s="2059"/>
      <c r="Q63" s="461"/>
    </row>
    <row r="64" spans="1:29" ht="14.4" thickBot="1">
      <c r="A64" s="491"/>
      <c r="B64" s="492"/>
      <c r="C64" s="493">
        <v>100</v>
      </c>
      <c r="D64" s="493"/>
      <c r="E64" s="493"/>
      <c r="F64" s="493"/>
      <c r="G64" s="493"/>
      <c r="H64" s="493"/>
      <c r="I64" s="493"/>
      <c r="J64" s="493"/>
      <c r="K64" s="493"/>
      <c r="L64" s="493"/>
      <c r="M64" s="494"/>
      <c r="N64" s="1046"/>
      <c r="O64" s="1046"/>
      <c r="P64" s="2059"/>
      <c r="Q64" s="461"/>
    </row>
    <row r="65" spans="1:17" ht="29.4"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4" thickTop="1">
      <c r="A70" s="510"/>
      <c r="B70" s="495">
        <f>B12</f>
        <v>111</v>
      </c>
      <c r="C70" s="511"/>
      <c r="D70" s="511"/>
      <c r="E70" s="511"/>
      <c r="F70" s="511"/>
      <c r="G70" s="511"/>
      <c r="H70" s="512"/>
      <c r="I70" s="512"/>
      <c r="J70" s="512"/>
      <c r="K70" s="512"/>
      <c r="L70" s="513"/>
      <c r="M70" s="514"/>
      <c r="N70" s="1047"/>
      <c r="O70" s="1047"/>
      <c r="P70" s="2060"/>
      <c r="Q70" s="516"/>
    </row>
    <row r="71" spans="1:17" s="430" customFormat="1" ht="14.4" thickBot="1">
      <c r="A71" s="510"/>
      <c r="B71" s="500"/>
      <c r="C71" s="517"/>
      <c r="D71" s="493"/>
      <c r="E71" s="493"/>
      <c r="F71" s="493"/>
      <c r="G71" s="493"/>
      <c r="H71" s="493"/>
      <c r="I71" s="493"/>
      <c r="J71" s="493"/>
      <c r="K71" s="493"/>
      <c r="L71" s="493"/>
      <c r="M71" s="494"/>
      <c r="N71" s="1046"/>
      <c r="O71" s="1046"/>
      <c r="P71" s="2060"/>
      <c r="Q71" s="516"/>
    </row>
    <row r="72" spans="1:17" s="430" customFormat="1" ht="14.4" thickTop="1">
      <c r="A72" s="510"/>
      <c r="B72" s="495">
        <f>B13</f>
        <v>111</v>
      </c>
      <c r="C72" s="511"/>
      <c r="D72" s="511"/>
      <c r="E72" s="511"/>
      <c r="F72" s="511"/>
      <c r="G72" s="511"/>
      <c r="H72" s="512"/>
      <c r="I72" s="512"/>
      <c r="J72" s="512"/>
      <c r="K72" s="512"/>
      <c r="L72" s="513"/>
      <c r="M72" s="514"/>
      <c r="N72" s="1047"/>
      <c r="O72" s="1047"/>
      <c r="P72" s="2061"/>
      <c r="Q72" s="518"/>
    </row>
    <row r="73" spans="1:17" s="430" customFormat="1" ht="14.4" thickBot="1">
      <c r="A73" s="510"/>
      <c r="B73" s="500"/>
      <c r="C73" s="517"/>
      <c r="D73" s="517"/>
      <c r="E73" s="517"/>
      <c r="F73" s="517"/>
      <c r="G73" s="517"/>
      <c r="H73" s="519"/>
      <c r="I73" s="519"/>
      <c r="J73" s="519"/>
      <c r="K73" s="519"/>
      <c r="L73" s="519"/>
      <c r="M73" s="520"/>
      <c r="N73" s="1047"/>
      <c r="O73" s="1047"/>
      <c r="P73" s="2060"/>
      <c r="Q73" s="516"/>
    </row>
    <row r="74" spans="1:17" s="430" customFormat="1" ht="14.4" thickTop="1">
      <c r="A74" s="510"/>
      <c r="B74" s="503">
        <f>B14</f>
        <v>111</v>
      </c>
      <c r="C74" s="511"/>
      <c r="D74" s="511"/>
      <c r="E74" s="511"/>
      <c r="F74" s="511"/>
      <c r="G74" s="480"/>
      <c r="H74" s="521"/>
      <c r="I74" s="521"/>
      <c r="J74" s="521"/>
      <c r="K74" s="521"/>
      <c r="L74" s="522"/>
      <c r="M74" s="523"/>
      <c r="N74" s="1047"/>
      <c r="O74" s="1047"/>
      <c r="P74" s="2062"/>
      <c r="Q74" s="516"/>
    </row>
    <row r="75" spans="1:17" s="430" customFormat="1" ht="14.4" thickBot="1">
      <c r="A75" s="525"/>
      <c r="B75" s="526"/>
      <c r="C75" s="527"/>
      <c r="D75" s="527"/>
      <c r="E75" s="527"/>
      <c r="F75" s="527"/>
      <c r="G75" s="527"/>
      <c r="H75" s="528"/>
      <c r="I75" s="528"/>
      <c r="J75" s="528"/>
      <c r="K75" s="528"/>
      <c r="L75" s="528"/>
      <c r="M75" s="529"/>
      <c r="N75" s="1047"/>
      <c r="O75" s="1047"/>
      <c r="P75" s="2060"/>
      <c r="Q75" s="516"/>
    </row>
    <row r="76" spans="1:17" ht="14.4">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 thickTop="1">
      <c r="A88" s="536"/>
      <c r="B88" s="495" t="s">
        <v>2191</v>
      </c>
      <c r="C88" s="511"/>
      <c r="D88" s="511"/>
      <c r="E88" s="511"/>
      <c r="F88" s="2064"/>
      <c r="G88" s="511"/>
      <c r="H88" s="511"/>
      <c r="I88" s="511"/>
      <c r="J88" s="511"/>
      <c r="K88" s="511"/>
      <c r="L88" s="511"/>
      <c r="M88" s="538"/>
      <c r="N88" s="1044"/>
      <c r="O88" s="1044"/>
      <c r="P88" s="2059"/>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4" thickTop="1">
      <c r="A90" s="510"/>
      <c r="B90" s="495">
        <f>B27</f>
        <v>111</v>
      </c>
      <c r="C90" s="511"/>
      <c r="D90" s="511"/>
      <c r="E90" s="511"/>
      <c r="F90" s="511"/>
      <c r="G90" s="511"/>
      <c r="H90" s="512"/>
      <c r="I90" s="512"/>
      <c r="J90" s="512"/>
      <c r="K90" s="512"/>
      <c r="L90" s="513"/>
      <c r="M90" s="514"/>
      <c r="N90" s="1047"/>
      <c r="O90" s="1047"/>
      <c r="P90" s="2060"/>
      <c r="Q90" s="516"/>
    </row>
    <row r="91" spans="1:17" s="430" customFormat="1" ht="14.4" thickBot="1">
      <c r="A91" s="510"/>
      <c r="B91" s="500"/>
      <c r="C91" s="517"/>
      <c r="D91" s="517"/>
      <c r="E91" s="517"/>
      <c r="F91" s="517"/>
      <c r="G91" s="517"/>
      <c r="H91" s="519"/>
      <c r="I91" s="519"/>
      <c r="J91" s="519"/>
      <c r="K91" s="519"/>
      <c r="L91" s="519"/>
      <c r="M91" s="520"/>
      <c r="N91" s="1047"/>
      <c r="O91" s="1047"/>
      <c r="P91" s="2060"/>
      <c r="Q91" s="516"/>
    </row>
    <row r="92" spans="1:17" ht="14.4" thickTop="1">
      <c r="A92" s="491"/>
      <c r="B92" s="495">
        <f>B28</f>
        <v>111</v>
      </c>
      <c r="C92" s="511"/>
      <c r="D92" s="511"/>
      <c r="E92" s="511"/>
      <c r="F92" s="511"/>
      <c r="G92" s="540"/>
      <c r="H92" s="540"/>
      <c r="I92" s="540"/>
      <c r="J92" s="540"/>
      <c r="K92" s="541"/>
      <c r="L92" s="542"/>
      <c r="M92" s="543"/>
      <c r="N92" s="1045"/>
      <c r="O92" s="1045"/>
      <c r="P92" s="2059"/>
      <c r="Q92" s="461"/>
    </row>
    <row r="93" spans="1:17" ht="14.4" thickBot="1">
      <c r="A93" s="491"/>
      <c r="B93" s="500"/>
      <c r="C93" s="517"/>
      <c r="D93" s="493"/>
      <c r="E93" s="493"/>
      <c r="F93" s="493"/>
      <c r="G93" s="493"/>
      <c r="H93" s="493"/>
      <c r="I93" s="493"/>
      <c r="J93" s="493"/>
      <c r="K93" s="493"/>
      <c r="L93" s="493"/>
      <c r="M93" s="494"/>
      <c r="N93" s="1046"/>
      <c r="O93" s="1046"/>
      <c r="P93" s="2059"/>
      <c r="Q93" s="461"/>
    </row>
    <row r="94" spans="1:17" ht="14.4" thickTop="1">
      <c r="A94" s="491"/>
      <c r="B94" s="495">
        <f>B29</f>
        <v>111</v>
      </c>
      <c r="C94" s="511"/>
      <c r="D94" s="511"/>
      <c r="E94" s="511"/>
      <c r="F94" s="511"/>
      <c r="G94" s="540"/>
      <c r="H94" s="540"/>
      <c r="I94" s="540"/>
      <c r="J94" s="540"/>
      <c r="K94" s="541"/>
      <c r="L94" s="542"/>
      <c r="M94" s="543"/>
      <c r="N94" s="1045"/>
      <c r="O94" s="1045"/>
      <c r="P94" s="2059"/>
      <c r="Q94" s="461"/>
    </row>
    <row r="95" spans="1:17" ht="14.4" thickBot="1">
      <c r="A95" s="491"/>
      <c r="B95" s="500"/>
      <c r="C95" s="517"/>
      <c r="D95" s="517"/>
      <c r="E95" s="517"/>
      <c r="F95" s="517"/>
      <c r="G95" s="493"/>
      <c r="H95" s="493"/>
      <c r="I95" s="493"/>
      <c r="J95" s="493"/>
      <c r="K95" s="493"/>
      <c r="L95" s="493"/>
      <c r="M95" s="494"/>
      <c r="N95" s="1046"/>
      <c r="O95" s="1046"/>
      <c r="P95" s="2059"/>
      <c r="Q95" s="461"/>
    </row>
    <row r="96" spans="1:17" ht="14.4" thickTop="1">
      <c r="A96" s="491"/>
      <c r="B96" s="495">
        <f>B30</f>
        <v>111</v>
      </c>
      <c r="C96" s="511"/>
      <c r="D96" s="511"/>
      <c r="E96" s="511"/>
      <c r="F96" s="511"/>
      <c r="G96" s="540"/>
      <c r="H96" s="540"/>
      <c r="I96" s="540"/>
      <c r="J96" s="540"/>
      <c r="K96" s="541"/>
      <c r="L96" s="542"/>
      <c r="M96" s="543"/>
      <c r="N96" s="1045"/>
      <c r="O96" s="1045"/>
      <c r="P96" s="2059"/>
      <c r="Q96" s="461"/>
    </row>
    <row r="97" spans="1:17" ht="14.4" thickBot="1">
      <c r="A97" s="491"/>
      <c r="B97" s="500"/>
      <c r="C97" s="527"/>
      <c r="D97" s="527"/>
      <c r="E97" s="527"/>
      <c r="F97" s="527"/>
      <c r="G97" s="493"/>
      <c r="H97" s="493"/>
      <c r="I97" s="493"/>
      <c r="J97" s="493"/>
      <c r="K97" s="493"/>
      <c r="L97" s="493"/>
      <c r="M97" s="494"/>
      <c r="N97" s="1046"/>
      <c r="O97" s="1046"/>
      <c r="P97" s="2059"/>
      <c r="Q97" s="461"/>
    </row>
    <row r="98" spans="1:17" ht="14.4" thickTop="1">
      <c r="A98" s="491"/>
      <c r="B98" s="503">
        <f>B31</f>
        <v>111</v>
      </c>
      <c r="C98" s="544"/>
      <c r="D98" s="544"/>
      <c r="E98" s="544"/>
      <c r="F98" s="544"/>
      <c r="G98" s="544"/>
      <c r="H98" s="544"/>
      <c r="I98" s="544"/>
      <c r="J98" s="544"/>
      <c r="K98" s="545"/>
      <c r="L98" s="546"/>
      <c r="M98" s="547"/>
      <c r="N98" s="1045"/>
      <c r="O98" s="1045"/>
      <c r="P98" s="2059"/>
      <c r="Q98" s="461"/>
    </row>
    <row r="99" spans="1:17" ht="14.4" thickBot="1">
      <c r="A99" s="2065"/>
      <c r="B99" s="526"/>
      <c r="C99" s="548"/>
      <c r="D99" s="548"/>
      <c r="E99" s="548"/>
      <c r="F99" s="548"/>
      <c r="G99" s="548"/>
      <c r="H99" s="548"/>
      <c r="I99" s="548"/>
      <c r="J99" s="548"/>
      <c r="K99" s="548"/>
      <c r="L99" s="548"/>
      <c r="M99" s="549"/>
      <c r="N99" s="1046"/>
      <c r="O99" s="1046"/>
      <c r="P99" s="2059"/>
      <c r="Q99" s="461"/>
    </row>
    <row r="100" spans="1:17" ht="14.4">
      <c r="A100" s="484" t="s">
        <v>2143</v>
      </c>
      <c r="B100" s="485" t="s">
        <v>2192</v>
      </c>
      <c r="C100" s="487"/>
      <c r="D100" s="487"/>
      <c r="E100" s="487"/>
      <c r="F100" s="487"/>
      <c r="G100" s="487"/>
      <c r="H100" s="487"/>
      <c r="I100" s="487"/>
      <c r="J100" s="487"/>
      <c r="K100" s="488"/>
      <c r="L100" s="489"/>
      <c r="M100" s="490"/>
      <c r="N100" s="1045"/>
      <c r="O100" s="1045"/>
      <c r="P100" s="2059"/>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4"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4"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4"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9.4"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4"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4" thickBot="1">
      <c r="A127" s="510"/>
      <c r="B127" s="500"/>
      <c r="C127" s="517"/>
      <c r="D127" s="493"/>
      <c r="E127" s="493"/>
      <c r="F127" s="493"/>
      <c r="G127" s="517"/>
      <c r="H127" s="519"/>
      <c r="I127" s="519"/>
      <c r="J127" s="519"/>
      <c r="K127" s="519"/>
      <c r="L127" s="519"/>
      <c r="M127" s="520"/>
      <c r="N127" s="1047"/>
      <c r="O127" s="1047"/>
      <c r="P127" s="2060"/>
      <c r="Q127" s="516"/>
    </row>
    <row r="128" spans="1:17" ht="14.4" thickTop="1">
      <c r="A128" s="556"/>
      <c r="B128" s="495">
        <f>B45</f>
        <v>111</v>
      </c>
      <c r="C128" s="511"/>
      <c r="D128" s="511"/>
      <c r="E128" s="511"/>
      <c r="F128" s="511"/>
      <c r="G128" s="540"/>
      <c r="H128" s="540"/>
      <c r="I128" s="540"/>
      <c r="J128" s="540"/>
      <c r="K128" s="541"/>
      <c r="L128" s="542"/>
      <c r="M128" s="543"/>
      <c r="N128" s="1045"/>
      <c r="O128" s="1045"/>
      <c r="P128" s="2059"/>
      <c r="Q128" s="461"/>
    </row>
    <row r="129" spans="1:17" ht="14.4" thickBot="1">
      <c r="A129" s="491"/>
      <c r="B129" s="500"/>
      <c r="C129" s="517"/>
      <c r="D129" s="517"/>
      <c r="E129" s="517"/>
      <c r="F129" s="517"/>
      <c r="G129" s="493"/>
      <c r="H129" s="493"/>
      <c r="I129" s="493"/>
      <c r="J129" s="493"/>
      <c r="K129" s="493"/>
      <c r="L129" s="493"/>
      <c r="M129" s="494"/>
      <c r="N129" s="1046"/>
      <c r="O129" s="1046"/>
      <c r="P129" s="2059"/>
      <c r="Q129" s="461"/>
    </row>
    <row r="130" spans="1:17" ht="14.4" thickTop="1">
      <c r="A130" s="556"/>
      <c r="B130" s="503">
        <f>B46</f>
        <v>111</v>
      </c>
      <c r="C130" s="511"/>
      <c r="D130" s="511"/>
      <c r="E130" s="511"/>
      <c r="F130" s="511"/>
      <c r="G130" s="544"/>
      <c r="H130" s="544"/>
      <c r="I130" s="544"/>
      <c r="J130" s="544"/>
      <c r="K130" s="480"/>
      <c r="L130" s="481"/>
      <c r="M130" s="547"/>
      <c r="N130" s="1045"/>
      <c r="O130" s="1045"/>
      <c r="P130" s="2059"/>
      <c r="Q130" s="461"/>
    </row>
    <row r="131" spans="1:17" ht="14.4"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6.2"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ht="14.4">
      <c r="B147" s="2066" t="s">
        <v>2220</v>
      </c>
    </row>
    <row r="148" spans="2:11" ht="14.4">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U15" sqref="U15"/>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5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11798.5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4.4">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80" t="s">
        <v>2228</v>
      </c>
      <c r="AC4" s="3450" t="s">
        <v>2229</v>
      </c>
    </row>
    <row r="5" spans="1:29">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80"/>
      <c r="AC5" s="3451"/>
    </row>
    <row r="6" spans="1:29" ht="1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80"/>
      <c r="AC6" s="3452"/>
    </row>
    <row r="7" spans="1:29" s="113" customFormat="1" ht="15" thickBot="1">
      <c r="A7" s="368" t="s">
        <v>2128</v>
      </c>
      <c r="B7" s="369"/>
      <c r="C7" s="370">
        <f>'数据-取费表'!B2</f>
        <v>44889</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6" si="3">D8/F8</f>
        <v>#DIV/0!</v>
      </c>
      <c r="AB8" s="713" t="e">
        <f t="shared" ref="AB8:AB46" si="4">D8/H8</f>
        <v>#DIV/0!</v>
      </c>
      <c r="AC8" s="713" t="e">
        <f t="shared" ref="AC8:AC46" si="5">D8/J8</f>
        <v>#DIV/0!</v>
      </c>
    </row>
    <row r="9" spans="1:29" s="113" customFormat="1" ht="14.4">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69">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4" t="s">
        <v>2140</v>
      </c>
      <c r="Q15" s="1487" t="str">
        <f t="shared" si="6"/>
        <v>商业繁华度</v>
      </c>
      <c r="R15" s="714" t="s">
        <v>17</v>
      </c>
      <c r="S15" s="715">
        <f t="shared" si="0"/>
        <v>100</v>
      </c>
      <c r="T15" s="714" t="s">
        <v>17</v>
      </c>
      <c r="U15" s="715">
        <f t="shared" si="1"/>
        <v>100</v>
      </c>
      <c r="V15" s="714" t="s">
        <v>17</v>
      </c>
      <c r="W15" s="715">
        <f t="shared" si="2"/>
        <v>100</v>
      </c>
      <c r="X15" s="1490"/>
      <c r="Y15" s="348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1488">
        <v>1</v>
      </c>
    </row>
    <row r="17" spans="1:29" ht="82.8">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1488">
        <v>1</v>
      </c>
    </row>
    <row r="19" spans="1:29" ht="41.4">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1488">
        <v>1</v>
      </c>
    </row>
    <row r="21" spans="1:29" ht="27.6">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5"/>
      <c r="Q22" s="1487"/>
      <c r="R22" s="714"/>
      <c r="S22" s="715"/>
      <c r="T22" s="714"/>
      <c r="U22" s="715"/>
      <c r="V22" s="714"/>
      <c r="W22" s="715"/>
      <c r="X22" s="1490"/>
      <c r="Y22" s="3488"/>
      <c r="Z22" s="1491"/>
      <c r="AA22" s="1488">
        <v>1</v>
      </c>
      <c r="AB22" s="1488">
        <v>1</v>
      </c>
      <c r="AC22" s="1488">
        <v>1</v>
      </c>
    </row>
    <row r="23" spans="1:29" ht="55.2">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5"/>
      <c r="Q23" s="1487" t="str">
        <f>B23</f>
        <v>自然及人文环境</v>
      </c>
      <c r="R23" s="714" t="s">
        <v>17</v>
      </c>
      <c r="S23" s="715">
        <f>F23</f>
        <v>100</v>
      </c>
      <c r="T23" s="714" t="s">
        <v>17</v>
      </c>
      <c r="U23" s="715">
        <f>H23</f>
        <v>100</v>
      </c>
      <c r="V23" s="714" t="s">
        <v>17</v>
      </c>
      <c r="W23" s="715">
        <f>J23</f>
        <v>100</v>
      </c>
      <c r="X23" s="1490"/>
      <c r="Y23" s="348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5"/>
      <c r="Q25" s="1487" t="str">
        <f t="shared" ref="Q25:Q46" si="11">B25</f>
        <v>临街状况</v>
      </c>
      <c r="R25" s="714" t="s">
        <v>17</v>
      </c>
      <c r="S25" s="715">
        <f>F25</f>
        <v>100</v>
      </c>
      <c r="T25" s="714" t="s">
        <v>17</v>
      </c>
      <c r="U25" s="715">
        <f>H25</f>
        <v>100</v>
      </c>
      <c r="V25" s="714" t="s">
        <v>17</v>
      </c>
      <c r="W25" s="715">
        <f>J25</f>
        <v>100</v>
      </c>
      <c r="X25" s="1490"/>
      <c r="Y25" s="348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5"/>
      <c r="Q26" s="1487" t="str">
        <f t="shared" si="11"/>
        <v>平面位置/可视性</v>
      </c>
      <c r="R26" s="714" t="s">
        <v>17</v>
      </c>
      <c r="S26" s="715">
        <f>F26</f>
        <v>100</v>
      </c>
      <c r="T26" s="714" t="s">
        <v>17</v>
      </c>
      <c r="U26" s="715">
        <f>H26</f>
        <v>100</v>
      </c>
      <c r="V26" s="714" t="s">
        <v>17</v>
      </c>
      <c r="W26" s="715">
        <f>J26</f>
        <v>100</v>
      </c>
      <c r="X26" s="1490"/>
      <c r="Y26" s="3488"/>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5"/>
      <c r="Q27" s="1478" t="str">
        <f t="shared" si="11"/>
        <v>人流量</v>
      </c>
      <c r="R27" s="710" t="s">
        <v>17</v>
      </c>
      <c r="S27" s="711">
        <f>F27</f>
        <v>100</v>
      </c>
      <c r="T27" s="710" t="s">
        <v>17</v>
      </c>
      <c r="U27" s="711">
        <f>H27</f>
        <v>100</v>
      </c>
      <c r="V27" s="710" t="s">
        <v>17</v>
      </c>
      <c r="W27" s="711">
        <f>J27</f>
        <v>100</v>
      </c>
      <c r="X27" s="712"/>
      <c r="Y27" s="348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5"/>
      <c r="Q29" s="1487">
        <f t="shared" si="11"/>
        <v>111</v>
      </c>
      <c r="R29" s="714" t="s">
        <v>17</v>
      </c>
      <c r="S29" s="715">
        <f t="shared" si="12"/>
        <v>100</v>
      </c>
      <c r="T29" s="714" t="s">
        <v>17</v>
      </c>
      <c r="U29" s="715">
        <f t="shared" si="13"/>
        <v>100</v>
      </c>
      <c r="V29" s="714" t="s">
        <v>17</v>
      </c>
      <c r="W29" s="715">
        <f t="shared" si="14"/>
        <v>100</v>
      </c>
      <c r="X29" s="1490"/>
      <c r="Y29" s="348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1488">
        <f t="shared" si="5"/>
        <v>1</v>
      </c>
    </row>
    <row r="31" spans="1:29" ht="15.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89" t="s">
        <v>2145</v>
      </c>
      <c r="Q32" s="1487" t="str">
        <f t="shared" si="11"/>
        <v>商业类型</v>
      </c>
      <c r="R32" s="714" t="s">
        <v>17</v>
      </c>
      <c r="S32" s="715">
        <f t="shared" si="12"/>
        <v>100</v>
      </c>
      <c r="T32" s="714" t="s">
        <v>17</v>
      </c>
      <c r="U32" s="715">
        <f t="shared" si="13"/>
        <v>100</v>
      </c>
      <c r="V32" s="714" t="s">
        <v>17</v>
      </c>
      <c r="W32" s="715">
        <f t="shared" si="14"/>
        <v>100</v>
      </c>
      <c r="X32" s="1490"/>
      <c r="Y32" s="3492"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0"/>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0"/>
      <c r="Q34" s="1487" t="str">
        <f t="shared" si="11"/>
        <v>建筑结构</v>
      </c>
      <c r="R34" s="714" t="s">
        <v>17</v>
      </c>
      <c r="S34" s="715">
        <f t="shared" si="12"/>
        <v>100</v>
      </c>
      <c r="T34" s="714" t="s">
        <v>17</v>
      </c>
      <c r="U34" s="715">
        <f t="shared" si="13"/>
        <v>100</v>
      </c>
      <c r="V34" s="714" t="s">
        <v>17</v>
      </c>
      <c r="W34" s="715">
        <f t="shared" si="14"/>
        <v>100</v>
      </c>
      <c r="X34" s="1490"/>
      <c r="Y34" s="3492"/>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0"/>
      <c r="Q35" s="1487" t="str">
        <f t="shared" si="11"/>
        <v>公共部分装修</v>
      </c>
      <c r="R35" s="714" t="s">
        <v>17</v>
      </c>
      <c r="S35" s="715">
        <f t="shared" si="12"/>
        <v>100</v>
      </c>
      <c r="T35" s="714" t="s">
        <v>17</v>
      </c>
      <c r="U35" s="715">
        <f t="shared" si="13"/>
        <v>100</v>
      </c>
      <c r="V35" s="714" t="s">
        <v>17</v>
      </c>
      <c r="W35" s="715">
        <f t="shared" si="14"/>
        <v>100</v>
      </c>
      <c r="X35" s="1490"/>
      <c r="Y35" s="3492"/>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0"/>
      <c r="Q36" s="1487" t="str">
        <f t="shared" si="11"/>
        <v>成新度</v>
      </c>
      <c r="R36" s="714" t="s">
        <v>17</v>
      </c>
      <c r="S36" s="715" t="e">
        <f t="shared" si="12"/>
        <v>#N/A</v>
      </c>
      <c r="T36" s="714" t="s">
        <v>17</v>
      </c>
      <c r="U36" s="715" t="e">
        <f t="shared" si="13"/>
        <v>#N/A</v>
      </c>
      <c r="V36" s="714" t="s">
        <v>17</v>
      </c>
      <c r="W36" s="715" t="e">
        <f t="shared" si="14"/>
        <v>#N/A</v>
      </c>
      <c r="X36" s="1490"/>
      <c r="Y36" s="3492"/>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0"/>
      <c r="Q37" s="1478"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0" t="s">
        <v>2145</v>
      </c>
      <c r="Q38" s="1487" t="str">
        <f t="shared" si="11"/>
        <v>业态</v>
      </c>
      <c r="R38" s="714" t="s">
        <v>17</v>
      </c>
      <c r="S38" s="715">
        <f t="shared" si="12"/>
        <v>100</v>
      </c>
      <c r="T38" s="714" t="s">
        <v>17</v>
      </c>
      <c r="U38" s="715">
        <f t="shared" si="13"/>
        <v>100</v>
      </c>
      <c r="V38" s="714" t="s">
        <v>17</v>
      </c>
      <c r="W38" s="715">
        <f t="shared" si="14"/>
        <v>100</v>
      </c>
      <c r="X38" s="1490"/>
      <c r="Y38" s="3492"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0"/>
      <c r="Q39" s="1487" t="str">
        <f t="shared" si="11"/>
        <v>层高</v>
      </c>
      <c r="R39" s="714" t="s">
        <v>17</v>
      </c>
      <c r="S39" s="715">
        <f t="shared" si="12"/>
        <v>100</v>
      </c>
      <c r="T39" s="714" t="s">
        <v>17</v>
      </c>
      <c r="U39" s="715">
        <f t="shared" si="13"/>
        <v>100</v>
      </c>
      <c r="V39" s="714" t="s">
        <v>17</v>
      </c>
      <c r="W39" s="715">
        <f t="shared" si="14"/>
        <v>100</v>
      </c>
      <c r="X39" s="1490"/>
      <c r="Y39" s="3492"/>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0"/>
      <c r="Q40" s="1487" t="str">
        <f t="shared" si="11"/>
        <v>单套建筑面积</v>
      </c>
      <c r="R40" s="714" t="s">
        <v>17</v>
      </c>
      <c r="S40" s="715">
        <f t="shared" si="12"/>
        <v>100</v>
      </c>
      <c r="T40" s="714" t="s">
        <v>17</v>
      </c>
      <c r="U40" s="715">
        <f t="shared" si="13"/>
        <v>100</v>
      </c>
      <c r="V40" s="714" t="s">
        <v>17</v>
      </c>
      <c r="W40" s="715">
        <f t="shared" si="14"/>
        <v>100</v>
      </c>
      <c r="X40" s="1490"/>
      <c r="Y40" s="3492"/>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0"/>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0"/>
      <c r="Q42" s="1487" t="str">
        <f t="shared" si="11"/>
        <v>内部装修</v>
      </c>
      <c r="R42" s="714" t="s">
        <v>17</v>
      </c>
      <c r="S42" s="715">
        <f t="shared" si="12"/>
        <v>100</v>
      </c>
      <c r="T42" s="714" t="s">
        <v>17</v>
      </c>
      <c r="U42" s="715">
        <f t="shared" si="13"/>
        <v>100</v>
      </c>
      <c r="V42" s="714" t="s">
        <v>17</v>
      </c>
      <c r="W42" s="715">
        <f t="shared" si="14"/>
        <v>100</v>
      </c>
      <c r="X42" s="1490"/>
      <c r="Y42" s="3492"/>
      <c r="Z42" s="1491" t="str">
        <f t="shared" si="15"/>
        <v>内部装修</v>
      </c>
      <c r="AA42" s="1488">
        <f t="shared" si="3"/>
        <v>1</v>
      </c>
      <c r="AB42" s="1488">
        <f t="shared" si="4"/>
        <v>1</v>
      </c>
      <c r="AC42" s="1488">
        <f t="shared" si="5"/>
        <v>1</v>
      </c>
    </row>
    <row r="43" spans="1:29" ht="28.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0"/>
      <c r="Q43" s="1487" t="str">
        <f t="shared" si="11"/>
        <v>内部装修维护情况</v>
      </c>
      <c r="R43" s="714" t="s">
        <v>17</v>
      </c>
      <c r="S43" s="715">
        <f t="shared" si="12"/>
        <v>100</v>
      </c>
      <c r="T43" s="714" t="s">
        <v>17</v>
      </c>
      <c r="U43" s="715">
        <f t="shared" si="13"/>
        <v>100</v>
      </c>
      <c r="V43" s="714" t="s">
        <v>17</v>
      </c>
      <c r="W43" s="715">
        <f t="shared" si="14"/>
        <v>100</v>
      </c>
      <c r="X43" s="1490"/>
      <c r="Y43" s="349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0"/>
      <c r="Q44" s="1478">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0"/>
      <c r="Q45" s="1487">
        <f t="shared" si="11"/>
        <v>111</v>
      </c>
      <c r="R45" s="714" t="s">
        <v>17</v>
      </c>
      <c r="S45" s="715">
        <f t="shared" si="12"/>
        <v>100</v>
      </c>
      <c r="T45" s="714" t="s">
        <v>17</v>
      </c>
      <c r="U45" s="715">
        <f t="shared" si="13"/>
        <v>100</v>
      </c>
      <c r="V45" s="714" t="s">
        <v>17</v>
      </c>
      <c r="W45" s="715">
        <f t="shared" si="14"/>
        <v>100</v>
      </c>
      <c r="X45" s="1490"/>
      <c r="Y45" s="3492"/>
      <c r="Z45" s="1491">
        <f t="shared" si="15"/>
        <v>111</v>
      </c>
      <c r="AA45" s="1488">
        <f t="shared" si="3"/>
        <v>1</v>
      </c>
      <c r="AB45" s="1488">
        <f t="shared" si="4"/>
        <v>1</v>
      </c>
      <c r="AC45" s="1488">
        <f t="shared" si="5"/>
        <v>1</v>
      </c>
    </row>
    <row r="46" spans="1:29" ht="15.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1488">
        <f t="shared" si="5"/>
        <v>1</v>
      </c>
    </row>
    <row r="47" spans="1:29" ht="14.4">
      <c r="A47" s="438" t="s">
        <v>2157</v>
      </c>
      <c r="B47" s="439"/>
      <c r="C47" s="1269" t="s">
        <v>1</v>
      </c>
      <c r="D47" s="1270"/>
      <c r="E47" s="1271"/>
      <c r="F47" s="1272"/>
      <c r="G47" s="1273"/>
      <c r="H47" s="1274"/>
      <c r="I47" s="1271"/>
      <c r="J47" s="1274"/>
      <c r="K47" s="723"/>
      <c r="L47" s="2903"/>
      <c r="M47" s="2904"/>
      <c r="N47" s="2895"/>
      <c r="O47" s="2904"/>
      <c r="P47" s="3485" t="str">
        <f>A47</f>
        <v>成交单价（元/平方米）</v>
      </c>
      <c r="Q47" s="3485"/>
      <c r="R47" s="3480">
        <f>E47</f>
        <v>0</v>
      </c>
      <c r="S47" s="3480"/>
      <c r="T47" s="3480">
        <f>G47</f>
        <v>0</v>
      </c>
      <c r="U47" s="3480"/>
      <c r="V47" s="3480">
        <f>I47</f>
        <v>0</v>
      </c>
      <c r="W47" s="3480"/>
      <c r="X47" s="699"/>
      <c r="Y47" s="721"/>
      <c r="Z47" s="699"/>
      <c r="AA47" s="699"/>
      <c r="AB47" s="699"/>
      <c r="AC47" s="699"/>
    </row>
    <row r="48" spans="1:29" ht="1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 thickBot="1">
      <c r="A49" s="449" t="s">
        <v>2250</v>
      </c>
      <c r="B49" s="450"/>
      <c r="C49" s="1278" t="e">
        <f>R49</f>
        <v>#DIV/0!</v>
      </c>
      <c r="D49" s="1278"/>
      <c r="E49" s="1278"/>
      <c r="F49" s="1278"/>
      <c r="G49" s="1278"/>
      <c r="H49" s="1278"/>
      <c r="I49" s="1278"/>
      <c r="J49" s="1278"/>
      <c r="K49" s="724"/>
      <c r="L49" s="2903"/>
      <c r="M49" s="2904"/>
      <c r="N49" s="2895"/>
      <c r="O49" s="2904"/>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2.2"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4.4">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4.4">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4"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ht="14.4">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4"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9.4"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4"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4"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4"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4"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4"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4"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ht="14.4">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4"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4"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4"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4"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4"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4"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4"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4"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4"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4"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4"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ht="14.4">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4"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4"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9.4"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4"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4"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4"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4"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4"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4"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U15" sqref="U15"/>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11798.5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4.4">
      <c r="A4" s="361" t="s">
        <v>2225</v>
      </c>
      <c r="B4" s="362"/>
      <c r="C4" s="3468" t="s">
        <v>2226</v>
      </c>
      <c r="D4" s="3469"/>
      <c r="E4" s="3470" t="s">
        <v>2227</v>
      </c>
      <c r="F4" s="3471"/>
      <c r="G4" s="3468" t="s">
        <v>2228</v>
      </c>
      <c r="H4" s="3469"/>
      <c r="I4" s="3468" t="s">
        <v>2229</v>
      </c>
      <c r="J4" s="3469"/>
      <c r="K4" s="567" t="s">
        <v>2230</v>
      </c>
      <c r="L4" s="2894"/>
      <c r="M4" s="2895"/>
      <c r="N4" s="2895"/>
      <c r="O4" s="2895"/>
      <c r="P4" s="3502" t="s">
        <v>2231</v>
      </c>
      <c r="Q4" s="3503"/>
      <c r="R4" s="3497" t="s">
        <v>2227</v>
      </c>
      <c r="S4" s="3498"/>
      <c r="T4" s="3497" t="s">
        <v>2228</v>
      </c>
      <c r="U4" s="3498"/>
      <c r="V4" s="3506" t="s">
        <v>2229</v>
      </c>
      <c r="W4" s="3506"/>
      <c r="X4" s="2095"/>
      <c r="Y4" s="3497" t="s">
        <v>2231</v>
      </c>
      <c r="Z4" s="3498"/>
      <c r="AA4" s="3496" t="s">
        <v>2227</v>
      </c>
      <c r="AB4" s="3496" t="s">
        <v>2228</v>
      </c>
      <c r="AC4" s="3499" t="s">
        <v>2229</v>
      </c>
    </row>
    <row r="5" spans="1:29">
      <c r="A5" s="364"/>
      <c r="B5" s="365"/>
      <c r="C5" s="3461" t="s">
        <v>2122</v>
      </c>
      <c r="D5" s="3462"/>
      <c r="E5" s="3459" t="s">
        <v>2123</v>
      </c>
      <c r="F5" s="3460"/>
      <c r="G5" s="3461" t="s">
        <v>2124</v>
      </c>
      <c r="H5" s="3462"/>
      <c r="I5" s="3461" t="s">
        <v>2125</v>
      </c>
      <c r="J5" s="3462"/>
      <c r="K5" s="567"/>
      <c r="L5" s="2894"/>
      <c r="M5" s="2895"/>
      <c r="N5" s="2895"/>
      <c r="O5" s="2895"/>
      <c r="P5" s="3504"/>
      <c r="Q5" s="3475"/>
      <c r="R5" s="3457"/>
      <c r="S5" s="3458"/>
      <c r="T5" s="3457"/>
      <c r="U5" s="3458"/>
      <c r="V5" s="3480"/>
      <c r="W5" s="3480"/>
      <c r="X5" s="1490"/>
      <c r="Y5" s="3457"/>
      <c r="Z5" s="3458"/>
      <c r="AA5" s="3451"/>
      <c r="AB5" s="3451"/>
      <c r="AC5" s="3500"/>
    </row>
    <row r="6" spans="1:29" ht="15" thickBot="1">
      <c r="A6" s="366"/>
      <c r="B6" s="367"/>
      <c r="C6" s="3463" t="s">
        <v>2126</v>
      </c>
      <c r="D6" s="3464"/>
      <c r="E6" s="3465" t="s">
        <v>2126</v>
      </c>
      <c r="F6" s="3466"/>
      <c r="G6" s="3463" t="s">
        <v>2126</v>
      </c>
      <c r="H6" s="3464"/>
      <c r="I6" s="3463" t="s">
        <v>2126</v>
      </c>
      <c r="J6" s="3464"/>
      <c r="K6" s="567" t="s">
        <v>2127</v>
      </c>
      <c r="L6" s="2894"/>
      <c r="M6" s="2895"/>
      <c r="N6" s="2895"/>
      <c r="O6" s="2895"/>
      <c r="P6" s="3505"/>
      <c r="Q6" s="3477"/>
      <c r="R6" s="3457"/>
      <c r="S6" s="3458"/>
      <c r="T6" s="3478"/>
      <c r="U6" s="3479"/>
      <c r="V6" s="3480"/>
      <c r="W6" s="3480"/>
      <c r="X6" s="1490"/>
      <c r="Y6" s="3478"/>
      <c r="Z6" s="3479"/>
      <c r="AA6" s="3452"/>
      <c r="AB6" s="3452"/>
      <c r="AC6" s="3501"/>
    </row>
    <row r="7" spans="1:29" s="113" customFormat="1" ht="15" thickBot="1">
      <c r="A7" s="368" t="s">
        <v>2128</v>
      </c>
      <c r="B7" s="369"/>
      <c r="C7" s="370">
        <f>'数据-取费表'!B2</f>
        <v>44889</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7"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2096" t="e">
        <f>D7/J7</f>
        <v>#DIV/0!</v>
      </c>
    </row>
    <row r="8" spans="1:29" s="113" customFormat="1" ht="1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7" t="s">
        <v>2132</v>
      </c>
      <c r="Q8" s="3454"/>
      <c r="R8" s="710" t="s">
        <v>17</v>
      </c>
      <c r="S8" s="711">
        <f t="shared" si="0"/>
        <v>0</v>
      </c>
      <c r="T8" s="710" t="s">
        <v>17</v>
      </c>
      <c r="U8" s="711">
        <f t="shared" si="1"/>
        <v>0</v>
      </c>
      <c r="V8" s="710" t="s">
        <v>17</v>
      </c>
      <c r="W8" s="711">
        <f t="shared" si="2"/>
        <v>0</v>
      </c>
      <c r="X8" s="712"/>
      <c r="Y8" s="3453" t="s">
        <v>2132</v>
      </c>
      <c r="Z8" s="3454"/>
      <c r="AA8" s="713" t="e">
        <f t="shared" ref="AA8:AA47" si="3">D8/F8</f>
        <v>#DIV/0!</v>
      </c>
      <c r="AB8" s="713" t="e">
        <f t="shared" ref="AB8:AB47" si="4">D8/H8</f>
        <v>#DIV/0!</v>
      </c>
      <c r="AC8" s="2096" t="e">
        <f t="shared" ref="AC8:AC47" si="5">D8/J8</f>
        <v>#DIV/0!</v>
      </c>
    </row>
    <row r="9" spans="1:29" s="113" customFormat="1" ht="14.4">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2096">
        <f t="shared" si="5"/>
        <v>1</v>
      </c>
    </row>
    <row r="10" spans="1:29" s="386" customFormat="1" ht="28.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2096">
        <f t="shared" si="5"/>
        <v>1</v>
      </c>
    </row>
    <row r="14" spans="1:29" ht="15.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2096">
        <f t="shared" si="5"/>
        <v>1</v>
      </c>
    </row>
    <row r="15" spans="1:29" ht="69">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4" t="s">
        <v>2140</v>
      </c>
      <c r="Q15" s="1487" t="str">
        <f t="shared" si="6"/>
        <v>办公集聚程度</v>
      </c>
      <c r="R15" s="714" t="s">
        <v>17</v>
      </c>
      <c r="S15" s="715">
        <f t="shared" si="0"/>
        <v>100</v>
      </c>
      <c r="T15" s="714" t="s">
        <v>17</v>
      </c>
      <c r="U15" s="715">
        <f t="shared" si="1"/>
        <v>100</v>
      </c>
      <c r="V15" s="714" t="s">
        <v>17</v>
      </c>
      <c r="W15" s="715">
        <f t="shared" si="2"/>
        <v>100</v>
      </c>
      <c r="X15" s="1490"/>
      <c r="Y15" s="3487"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5"/>
      <c r="Q16" s="1487"/>
      <c r="R16" s="714"/>
      <c r="S16" s="715"/>
      <c r="T16" s="714"/>
      <c r="U16" s="715"/>
      <c r="V16" s="714"/>
      <c r="W16" s="715"/>
      <c r="X16" s="1490"/>
      <c r="Y16" s="3488"/>
      <c r="Z16" s="1491"/>
      <c r="AA16" s="1488">
        <v>1</v>
      </c>
      <c r="AB16" s="1488">
        <v>1</v>
      </c>
      <c r="AC16" s="2099">
        <v>1</v>
      </c>
    </row>
    <row r="17" spans="1:29" ht="82.8">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5"/>
      <c r="Q18" s="1487"/>
      <c r="R18" s="714"/>
      <c r="S18" s="715"/>
      <c r="T18" s="714"/>
      <c r="U18" s="715"/>
      <c r="V18" s="714"/>
      <c r="W18" s="715"/>
      <c r="X18" s="1490"/>
      <c r="Y18" s="3488"/>
      <c r="Z18" s="1491"/>
      <c r="AA18" s="1488">
        <v>1</v>
      </c>
      <c r="AB18" s="1488">
        <v>1</v>
      </c>
      <c r="AC18" s="2099">
        <v>1</v>
      </c>
    </row>
    <row r="19" spans="1:29" ht="41.4">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5"/>
      <c r="Q20" s="1487"/>
      <c r="R20" s="714"/>
      <c r="S20" s="715"/>
      <c r="T20" s="714"/>
      <c r="U20" s="715"/>
      <c r="V20" s="714"/>
      <c r="W20" s="715"/>
      <c r="X20" s="1490"/>
      <c r="Y20" s="3488"/>
      <c r="Z20" s="1491"/>
      <c r="AA20" s="1488">
        <v>1</v>
      </c>
      <c r="AB20" s="1488">
        <v>1</v>
      </c>
      <c r="AC20" s="2099">
        <v>1</v>
      </c>
    </row>
    <row r="21" spans="1:29" ht="27.6">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5"/>
      <c r="Q22" s="1487"/>
      <c r="R22" s="714"/>
      <c r="S22" s="715"/>
      <c r="T22" s="714"/>
      <c r="U22" s="715"/>
      <c r="V22" s="714"/>
      <c r="W22" s="715"/>
      <c r="X22" s="1490"/>
      <c r="Y22" s="3488"/>
      <c r="Z22" s="1491"/>
      <c r="AA22" s="1488">
        <v>1</v>
      </c>
      <c r="AB22" s="1488">
        <v>1</v>
      </c>
      <c r="AC22" s="2099">
        <v>1</v>
      </c>
    </row>
    <row r="23" spans="1:29" ht="55.2">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5"/>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5"/>
      <c r="Q24" s="1487"/>
      <c r="R24" s="714"/>
      <c r="S24" s="715"/>
      <c r="T24" s="714"/>
      <c r="U24" s="715"/>
      <c r="V24" s="714"/>
      <c r="W24" s="715"/>
      <c r="X24" s="1490"/>
      <c r="Y24" s="3488"/>
      <c r="Z24" s="1491"/>
      <c r="AA24" s="1488">
        <v>1</v>
      </c>
      <c r="AB24" s="1488">
        <v>1</v>
      </c>
      <c r="AC24" s="2099">
        <v>1</v>
      </c>
    </row>
    <row r="25" spans="1:29" ht="28.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5"/>
      <c r="Q25" s="1487" t="str">
        <f>B25</f>
        <v>毗邻道路的类型与等级</v>
      </c>
      <c r="R25" s="714" t="s">
        <v>17</v>
      </c>
      <c r="S25" s="715">
        <f>F25</f>
        <v>100</v>
      </c>
      <c r="T25" s="714" t="s">
        <v>17</v>
      </c>
      <c r="U25" s="715">
        <f>H25</f>
        <v>100</v>
      </c>
      <c r="V25" s="714" t="s">
        <v>17</v>
      </c>
      <c r="W25" s="715">
        <f>J25</f>
        <v>100</v>
      </c>
      <c r="X25" s="1490"/>
      <c r="Y25" s="348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5"/>
      <c r="Q26" s="1487"/>
      <c r="R26" s="714"/>
      <c r="S26" s="715"/>
      <c r="T26" s="714"/>
      <c r="U26" s="715"/>
      <c r="V26" s="714"/>
      <c r="W26" s="715"/>
      <c r="X26" s="1490"/>
      <c r="Y26" s="3488"/>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5"/>
      <c r="Q27" s="1487" t="str">
        <f t="shared" ref="Q27:Q47" si="11">B27</f>
        <v>楼层</v>
      </c>
      <c r="R27" s="714" t="s">
        <v>17</v>
      </c>
      <c r="S27" s="715">
        <f>F27</f>
        <v>100</v>
      </c>
      <c r="T27" s="714" t="s">
        <v>17</v>
      </c>
      <c r="U27" s="715">
        <f>H27</f>
        <v>100</v>
      </c>
      <c r="V27" s="714" t="s">
        <v>17</v>
      </c>
      <c r="W27" s="715">
        <f>J27</f>
        <v>100</v>
      </c>
      <c r="X27" s="1490"/>
      <c r="Y27" s="3488"/>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5"/>
      <c r="Q28" s="1478" t="str">
        <f t="shared" si="11"/>
        <v>朝向</v>
      </c>
      <c r="R28" s="710" t="s">
        <v>17</v>
      </c>
      <c r="S28" s="711">
        <f>F28</f>
        <v>100</v>
      </c>
      <c r="T28" s="710" t="s">
        <v>17</v>
      </c>
      <c r="U28" s="711">
        <f>H28</f>
        <v>100</v>
      </c>
      <c r="V28" s="710" t="s">
        <v>17</v>
      </c>
      <c r="W28" s="711">
        <f>J28</f>
        <v>100</v>
      </c>
      <c r="X28" s="712"/>
      <c r="Y28" s="348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5"/>
      <c r="Q29" s="1487">
        <f t="shared" si="11"/>
        <v>111</v>
      </c>
      <c r="R29" s="714" t="s">
        <v>17</v>
      </c>
      <c r="S29" s="715">
        <f t="shared" ref="S29:S47" si="12">F29</f>
        <v>100</v>
      </c>
      <c r="T29" s="714" t="s">
        <v>17</v>
      </c>
      <c r="U29" s="715">
        <f t="shared" ref="U29:U47" si="13">H29</f>
        <v>100</v>
      </c>
      <c r="V29" s="714" t="s">
        <v>17</v>
      </c>
      <c r="W29" s="715">
        <f t="shared" ref="W29:W47" si="14">J29</f>
        <v>100</v>
      </c>
      <c r="X29" s="1490"/>
      <c r="Y29" s="348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2099">
        <f t="shared" si="5"/>
        <v>1</v>
      </c>
    </row>
    <row r="32" spans="1:29" ht="15.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5"/>
      <c r="Q32" s="1487">
        <f t="shared" si="11"/>
        <v>111</v>
      </c>
      <c r="R32" s="714" t="s">
        <v>17</v>
      </c>
      <c r="S32" s="715">
        <f t="shared" si="12"/>
        <v>100</v>
      </c>
      <c r="T32" s="714" t="s">
        <v>17</v>
      </c>
      <c r="U32" s="715">
        <f t="shared" si="13"/>
        <v>100</v>
      </c>
      <c r="V32" s="714" t="s">
        <v>17</v>
      </c>
      <c r="W32" s="715">
        <f t="shared" si="14"/>
        <v>100</v>
      </c>
      <c r="X32" s="1490"/>
      <c r="Y32" s="3488"/>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89" t="s">
        <v>2145</v>
      </c>
      <c r="Q33" s="1487" t="str">
        <f t="shared" si="11"/>
        <v>建筑类型</v>
      </c>
      <c r="R33" s="714" t="s">
        <v>17</v>
      </c>
      <c r="S33" s="715">
        <f t="shared" si="12"/>
        <v>100</v>
      </c>
      <c r="T33" s="714" t="s">
        <v>17</v>
      </c>
      <c r="U33" s="715">
        <f t="shared" si="13"/>
        <v>100</v>
      </c>
      <c r="V33" s="714" t="s">
        <v>17</v>
      </c>
      <c r="W33" s="715">
        <f t="shared" si="14"/>
        <v>100</v>
      </c>
      <c r="X33" s="1490"/>
      <c r="Y33" s="3492"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0"/>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0"/>
      <c r="Q35" s="1487" t="str">
        <f t="shared" si="11"/>
        <v>建筑结构</v>
      </c>
      <c r="R35" s="714" t="s">
        <v>17</v>
      </c>
      <c r="S35" s="715">
        <f t="shared" si="12"/>
        <v>100</v>
      </c>
      <c r="T35" s="714" t="s">
        <v>17</v>
      </c>
      <c r="U35" s="715">
        <f t="shared" si="13"/>
        <v>100</v>
      </c>
      <c r="V35" s="714" t="s">
        <v>17</v>
      </c>
      <c r="W35" s="715">
        <f t="shared" si="14"/>
        <v>100</v>
      </c>
      <c r="X35" s="1490"/>
      <c r="Y35" s="3492"/>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0"/>
      <c r="Q36" s="1487" t="str">
        <f t="shared" si="11"/>
        <v>公共部分装修</v>
      </c>
      <c r="R36" s="714" t="s">
        <v>17</v>
      </c>
      <c r="S36" s="715">
        <f t="shared" si="12"/>
        <v>100</v>
      </c>
      <c r="T36" s="714" t="s">
        <v>17</v>
      </c>
      <c r="U36" s="715">
        <f t="shared" si="13"/>
        <v>100</v>
      </c>
      <c r="V36" s="714" t="s">
        <v>17</v>
      </c>
      <c r="W36" s="715">
        <f t="shared" si="14"/>
        <v>100</v>
      </c>
      <c r="X36" s="1490"/>
      <c r="Y36" s="3492"/>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0"/>
      <c r="Q37" s="1487" t="str">
        <f t="shared" si="11"/>
        <v>成新度</v>
      </c>
      <c r="R37" s="714" t="s">
        <v>17</v>
      </c>
      <c r="S37" s="715" t="e">
        <f t="shared" si="12"/>
        <v>#N/A</v>
      </c>
      <c r="T37" s="714" t="s">
        <v>17</v>
      </c>
      <c r="U37" s="715" t="e">
        <f t="shared" si="13"/>
        <v>#N/A</v>
      </c>
      <c r="V37" s="714" t="s">
        <v>17</v>
      </c>
      <c r="W37" s="715" t="e">
        <f t="shared" si="14"/>
        <v>#N/A</v>
      </c>
      <c r="X37" s="1490"/>
      <c r="Y37" s="3492"/>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0"/>
      <c r="Q38" s="1478"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0" t="s">
        <v>2145</v>
      </c>
      <c r="Q39" s="1487" t="str">
        <f t="shared" si="11"/>
        <v>物业管理</v>
      </c>
      <c r="R39" s="714" t="s">
        <v>17</v>
      </c>
      <c r="S39" s="715">
        <f t="shared" si="12"/>
        <v>100</v>
      </c>
      <c r="T39" s="714" t="s">
        <v>17</v>
      </c>
      <c r="U39" s="715">
        <f t="shared" si="13"/>
        <v>100</v>
      </c>
      <c r="V39" s="714" t="s">
        <v>17</v>
      </c>
      <c r="W39" s="715">
        <f t="shared" si="14"/>
        <v>100</v>
      </c>
      <c r="X39" s="1490"/>
      <c r="Y39" s="3492"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0"/>
      <c r="Q40" s="1487" t="str">
        <f t="shared" si="11"/>
        <v>市政基础设施</v>
      </c>
      <c r="R40" s="714" t="s">
        <v>17</v>
      </c>
      <c r="S40" s="715">
        <f t="shared" si="12"/>
        <v>100</v>
      </c>
      <c r="T40" s="714" t="s">
        <v>17</v>
      </c>
      <c r="U40" s="715">
        <f t="shared" si="13"/>
        <v>100</v>
      </c>
      <c r="V40" s="714" t="s">
        <v>17</v>
      </c>
      <c r="W40" s="715">
        <f t="shared" si="14"/>
        <v>100</v>
      </c>
      <c r="X40" s="1490"/>
      <c r="Y40" s="3492"/>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0"/>
      <c r="Q41" s="1487" t="str">
        <f t="shared" si="11"/>
        <v>层高</v>
      </c>
      <c r="R41" s="714" t="s">
        <v>17</v>
      </c>
      <c r="S41" s="715">
        <f t="shared" si="12"/>
        <v>100</v>
      </c>
      <c r="T41" s="714" t="s">
        <v>17</v>
      </c>
      <c r="U41" s="715">
        <f t="shared" si="13"/>
        <v>100</v>
      </c>
      <c r="V41" s="714" t="s">
        <v>17</v>
      </c>
      <c r="W41" s="715">
        <f t="shared" si="14"/>
        <v>100</v>
      </c>
      <c r="X41" s="1490"/>
      <c r="Y41" s="3492"/>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0"/>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0"/>
      <c r="Q43" s="1487" t="str">
        <f t="shared" si="11"/>
        <v>内部装修</v>
      </c>
      <c r="R43" s="714" t="s">
        <v>17</v>
      </c>
      <c r="S43" s="715">
        <f t="shared" si="12"/>
        <v>100</v>
      </c>
      <c r="T43" s="714" t="s">
        <v>17</v>
      </c>
      <c r="U43" s="715">
        <f t="shared" si="13"/>
        <v>100</v>
      </c>
      <c r="V43" s="714" t="s">
        <v>17</v>
      </c>
      <c r="W43" s="715">
        <f t="shared" si="14"/>
        <v>100</v>
      </c>
      <c r="X43" s="1490"/>
      <c r="Y43" s="3492"/>
      <c r="Z43" s="1491" t="str">
        <f t="shared" si="15"/>
        <v>内部装修</v>
      </c>
      <c r="AA43" s="1488">
        <f t="shared" si="3"/>
        <v>1</v>
      </c>
      <c r="AB43" s="1488">
        <f t="shared" si="4"/>
        <v>1</v>
      </c>
      <c r="AC43" s="2099">
        <f t="shared" si="5"/>
        <v>1</v>
      </c>
    </row>
    <row r="44" spans="1:29" ht="28.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0"/>
      <c r="Q44" s="1487" t="str">
        <f t="shared" si="11"/>
        <v>内部装修维护情况</v>
      </c>
      <c r="R44" s="714" t="s">
        <v>17</v>
      </c>
      <c r="S44" s="715">
        <f t="shared" si="12"/>
        <v>100</v>
      </c>
      <c r="T44" s="714" t="s">
        <v>17</v>
      </c>
      <c r="U44" s="715">
        <f t="shared" si="13"/>
        <v>100</v>
      </c>
      <c r="V44" s="714" t="s">
        <v>17</v>
      </c>
      <c r="W44" s="715">
        <f t="shared" si="14"/>
        <v>100</v>
      </c>
      <c r="X44" s="1490"/>
      <c r="Y44" s="349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0"/>
      <c r="Q45" s="1478">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2099">
        <f t="shared" si="5"/>
        <v>1</v>
      </c>
    </row>
    <row r="47" spans="1:29" ht="15.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1"/>
      <c r="Q47" s="1487">
        <f t="shared" si="11"/>
        <v>111</v>
      </c>
      <c r="R47" s="714" t="s">
        <v>17</v>
      </c>
      <c r="S47" s="715">
        <f t="shared" si="12"/>
        <v>100</v>
      </c>
      <c r="T47" s="714" t="s">
        <v>17</v>
      </c>
      <c r="U47" s="715">
        <f t="shared" si="13"/>
        <v>100</v>
      </c>
      <c r="V47" s="714" t="s">
        <v>17</v>
      </c>
      <c r="W47" s="715">
        <f t="shared" si="14"/>
        <v>100</v>
      </c>
      <c r="X47" s="1490"/>
      <c r="Y47" s="3493"/>
      <c r="Z47" s="1491">
        <f t="shared" si="15"/>
        <v>111</v>
      </c>
      <c r="AA47" s="1488">
        <f t="shared" si="3"/>
        <v>1</v>
      </c>
      <c r="AB47" s="1488">
        <f t="shared" si="4"/>
        <v>1</v>
      </c>
      <c r="AC47" s="2099">
        <f t="shared" si="5"/>
        <v>1</v>
      </c>
    </row>
    <row r="48" spans="1:29" ht="14.4">
      <c r="A48" s="438" t="s">
        <v>2157</v>
      </c>
      <c r="B48" s="439"/>
      <c r="C48" s="1269" t="s">
        <v>1</v>
      </c>
      <c r="D48" s="1270"/>
      <c r="E48" s="1271"/>
      <c r="F48" s="1272"/>
      <c r="G48" s="1273"/>
      <c r="H48" s="1274"/>
      <c r="I48" s="1271"/>
      <c r="J48" s="444"/>
      <c r="K48" s="723"/>
      <c r="L48" s="2903"/>
      <c r="M48" s="2895"/>
      <c r="N48" s="2895"/>
      <c r="O48" s="2895"/>
      <c r="P48" s="3467" t="str">
        <f>A48</f>
        <v>成交单价（元/平方米）</v>
      </c>
      <c r="Q48" s="3485"/>
      <c r="R48" s="3486">
        <f>E48</f>
        <v>0</v>
      </c>
      <c r="S48" s="3486"/>
      <c r="T48" s="3486">
        <f>G48</f>
        <v>0</v>
      </c>
      <c r="U48" s="3486"/>
      <c r="V48" s="3486">
        <f>I48</f>
        <v>0</v>
      </c>
      <c r="W48" s="3486"/>
      <c r="X48" s="405"/>
      <c r="Y48" s="721"/>
      <c r="Z48" s="405"/>
      <c r="AA48" s="405"/>
      <c r="AB48" s="405"/>
      <c r="AC48" s="586"/>
    </row>
    <row r="49" spans="1:29" ht="1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7"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05"/>
      <c r="Y49" s="405"/>
      <c r="Z49" s="405"/>
      <c r="AA49" s="405"/>
      <c r="AB49" s="405"/>
      <c r="AC49" s="586"/>
    </row>
    <row r="50" spans="1:29" ht="15" thickBot="1">
      <c r="A50" s="449" t="s">
        <v>2250</v>
      </c>
      <c r="B50" s="450"/>
      <c r="C50" s="1278" t="e">
        <f>R50</f>
        <v>#DIV/0!</v>
      </c>
      <c r="D50" s="1278"/>
      <c r="E50" s="1278"/>
      <c r="F50" s="1278"/>
      <c r="G50" s="1278"/>
      <c r="H50" s="1278"/>
      <c r="I50" s="1278"/>
      <c r="J50" s="451"/>
      <c r="K50" s="724"/>
      <c r="L50" s="2903"/>
      <c r="M50" s="2895"/>
      <c r="N50" s="2895"/>
      <c r="O50" s="2895"/>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2.2"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4.4">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4.4">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4"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ht="14.4">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4"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9.4"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4"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4"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4"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4"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4"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4"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ht="14.4">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9.4"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4"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4"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4"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4"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4"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4"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4"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4"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ht="14.4">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4"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4"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9.4"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4"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4"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4"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4"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4"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4"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U15" sqref="U15"/>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11798.5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4.4">
      <c r="A4" s="361" t="s">
        <v>2225</v>
      </c>
      <c r="B4" s="362"/>
      <c r="C4" s="3468" t="s">
        <v>2226</v>
      </c>
      <c r="D4" s="3469"/>
      <c r="E4" s="3470" t="s">
        <v>2227</v>
      </c>
      <c r="F4" s="3471"/>
      <c r="G4" s="3468" t="s">
        <v>2228</v>
      </c>
      <c r="H4" s="3469"/>
      <c r="I4" s="3468" t="s">
        <v>2229</v>
      </c>
      <c r="J4" s="3469"/>
      <c r="K4" s="567" t="s">
        <v>2230</v>
      </c>
      <c r="L4" s="1025"/>
      <c r="M4" s="1026"/>
      <c r="N4" s="1026"/>
      <c r="O4" s="1026"/>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c r="A5" s="364"/>
      <c r="B5" s="365"/>
      <c r="C5" s="3461" t="s">
        <v>2122</v>
      </c>
      <c r="D5" s="3462"/>
      <c r="E5" s="3459" t="s">
        <v>2123</v>
      </c>
      <c r="F5" s="3460"/>
      <c r="G5" s="3461" t="s">
        <v>2124</v>
      </c>
      <c r="H5" s="3462"/>
      <c r="I5" s="3461" t="s">
        <v>2125</v>
      </c>
      <c r="J5" s="3462"/>
      <c r="K5" s="567"/>
      <c r="L5" s="1025"/>
      <c r="M5" s="1026"/>
      <c r="N5" s="1026"/>
      <c r="O5" s="1026"/>
      <c r="P5" s="3474"/>
      <c r="Q5" s="3475"/>
      <c r="R5" s="3457"/>
      <c r="S5" s="3458"/>
      <c r="T5" s="3457"/>
      <c r="U5" s="3458"/>
      <c r="V5" s="3480"/>
      <c r="W5" s="3480"/>
      <c r="X5" s="1490"/>
      <c r="Y5" s="3457"/>
      <c r="Z5" s="3458"/>
      <c r="AA5" s="3451"/>
      <c r="AB5" s="3451"/>
      <c r="AC5" s="3451"/>
    </row>
    <row r="6" spans="1:29" ht="15" thickBot="1">
      <c r="A6" s="366"/>
      <c r="B6" s="367"/>
      <c r="C6" s="3463" t="s">
        <v>2126</v>
      </c>
      <c r="D6" s="3464"/>
      <c r="E6" s="3465" t="s">
        <v>2126</v>
      </c>
      <c r="F6" s="3466"/>
      <c r="G6" s="3463" t="s">
        <v>2126</v>
      </c>
      <c r="H6" s="3464"/>
      <c r="I6" s="3463" t="s">
        <v>2126</v>
      </c>
      <c r="J6" s="3464"/>
      <c r="K6" s="567" t="s">
        <v>2127</v>
      </c>
      <c r="L6" s="1025"/>
      <c r="M6" s="1026"/>
      <c r="N6" s="1026"/>
      <c r="O6" s="1026"/>
      <c r="P6" s="3476"/>
      <c r="Q6" s="3477"/>
      <c r="R6" s="3457"/>
      <c r="S6" s="3458"/>
      <c r="T6" s="3478"/>
      <c r="U6" s="3479"/>
      <c r="V6" s="3480"/>
      <c r="W6" s="3480"/>
      <c r="X6" s="1490"/>
      <c r="Y6" s="3478"/>
      <c r="Z6" s="3479"/>
      <c r="AA6" s="3452"/>
      <c r="AB6" s="3452"/>
      <c r="AC6" s="3452"/>
    </row>
    <row r="7" spans="1:29" s="113" customFormat="1" ht="15" thickBot="1">
      <c r="A7" s="368" t="s">
        <v>2128</v>
      </c>
      <c r="B7" s="369"/>
      <c r="C7" s="370">
        <f>'数据-取费表'!B2</f>
        <v>44889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ht="14.4">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8.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69">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8"/>
      <c r="Q16" s="1487"/>
      <c r="R16" s="714"/>
      <c r="S16" s="715"/>
      <c r="T16" s="714"/>
      <c r="U16" s="715"/>
      <c r="V16" s="714"/>
      <c r="W16" s="715"/>
      <c r="X16" s="1490"/>
      <c r="Y16" s="3488"/>
      <c r="Z16" s="1491"/>
      <c r="AA16" s="1488">
        <v>1</v>
      </c>
      <c r="AB16" s="1488">
        <v>1</v>
      </c>
      <c r="AC16" s="1488">
        <v>1</v>
      </c>
    </row>
    <row r="17" spans="1:29" ht="96.6">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8"/>
      <c r="Q18" s="1487"/>
      <c r="R18" s="714"/>
      <c r="S18" s="715"/>
      <c r="T18" s="714"/>
      <c r="U18" s="715"/>
      <c r="V18" s="714"/>
      <c r="W18" s="715"/>
      <c r="X18" s="1490"/>
      <c r="Y18" s="3488"/>
      <c r="Z18" s="1491"/>
      <c r="AA18" s="1488">
        <v>1</v>
      </c>
      <c r="AB18" s="1488">
        <v>1</v>
      </c>
      <c r="AC18" s="1488">
        <v>1</v>
      </c>
    </row>
    <row r="19" spans="1:29" ht="41.4">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8"/>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8"/>
      <c r="Q20" s="1487"/>
      <c r="R20" s="714"/>
      <c r="S20" s="715"/>
      <c r="T20" s="714"/>
      <c r="U20" s="715"/>
      <c r="V20" s="714"/>
      <c r="W20" s="715"/>
      <c r="X20" s="1490"/>
      <c r="Y20" s="3488"/>
      <c r="Z20" s="1491"/>
      <c r="AA20" s="1488">
        <v>1</v>
      </c>
      <c r="AB20" s="1488">
        <v>1</v>
      </c>
      <c r="AC20" s="1488">
        <v>1</v>
      </c>
    </row>
    <row r="21" spans="1:29" ht="41.4">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8"/>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8"/>
      <c r="Q22" s="1487"/>
      <c r="R22" s="714"/>
      <c r="S22" s="715"/>
      <c r="T22" s="714"/>
      <c r="U22" s="715"/>
      <c r="V22" s="714"/>
      <c r="W22" s="715"/>
      <c r="X22" s="1490"/>
      <c r="Y22" s="3488"/>
      <c r="Z22" s="1491"/>
      <c r="AA22" s="1488">
        <v>1</v>
      </c>
      <c r="AB22" s="1488">
        <v>1</v>
      </c>
      <c r="AC22" s="1488">
        <v>1</v>
      </c>
    </row>
    <row r="23" spans="1:29" ht="82.8">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8"/>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8"/>
      <c r="Q24" s="1487"/>
      <c r="R24" s="714"/>
      <c r="S24" s="715"/>
      <c r="T24" s="714"/>
      <c r="U24" s="715"/>
      <c r="V24" s="714"/>
      <c r="W24" s="715"/>
      <c r="X24" s="1490"/>
      <c r="Y24" s="348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8"/>
      <c r="Q25" s="1487">
        <f>B25</f>
        <v>111</v>
      </c>
      <c r="R25" s="714" t="s">
        <v>17</v>
      </c>
      <c r="S25" s="715">
        <f>F25</f>
        <v>100</v>
      </c>
      <c r="T25" s="714" t="s">
        <v>17</v>
      </c>
      <c r="U25" s="715">
        <f>H25</f>
        <v>100</v>
      </c>
      <c r="V25" s="714" t="s">
        <v>17</v>
      </c>
      <c r="W25" s="715">
        <f>J25</f>
        <v>100</v>
      </c>
      <c r="X25" s="1490"/>
      <c r="Y25" s="348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8"/>
      <c r="Q26" s="1487">
        <f t="shared" ref="Q26:Q40" si="11">B26</f>
        <v>111</v>
      </c>
      <c r="R26" s="714" t="s">
        <v>17</v>
      </c>
      <c r="S26" s="715">
        <f>F26</f>
        <v>100</v>
      </c>
      <c r="T26" s="714" t="s">
        <v>17</v>
      </c>
      <c r="U26" s="715">
        <f>H26</f>
        <v>100</v>
      </c>
      <c r="V26" s="714" t="s">
        <v>17</v>
      </c>
      <c r="W26" s="715">
        <f>J26</f>
        <v>100</v>
      </c>
      <c r="X26" s="1490"/>
      <c r="Y26" s="348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8"/>
      <c r="Q27" s="1478">
        <f t="shared" si="11"/>
        <v>111</v>
      </c>
      <c r="R27" s="710" t="s">
        <v>17</v>
      </c>
      <c r="S27" s="711">
        <f>F27</f>
        <v>100</v>
      </c>
      <c r="T27" s="710" t="s">
        <v>17</v>
      </c>
      <c r="U27" s="711">
        <f>H27</f>
        <v>100</v>
      </c>
      <c r="V27" s="710" t="s">
        <v>17</v>
      </c>
      <c r="W27" s="711">
        <f>J27</f>
        <v>100</v>
      </c>
      <c r="X27" s="712"/>
      <c r="Y27" s="3488"/>
      <c r="Z27" s="55">
        <f>Q27</f>
        <v>111</v>
      </c>
      <c r="AA27" s="1488">
        <f>D27/F27</f>
        <v>1</v>
      </c>
      <c r="AB27" s="1488">
        <f>D27/H27</f>
        <v>1</v>
      </c>
      <c r="AC27" s="1488">
        <f>D27/J27</f>
        <v>1</v>
      </c>
    </row>
    <row r="28" spans="1:29" ht="15.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8"/>
      <c r="Q28" s="1487">
        <f t="shared" si="11"/>
        <v>111</v>
      </c>
      <c r="R28" s="714" t="s">
        <v>17</v>
      </c>
      <c r="S28" s="715">
        <f t="shared" ref="S28:S40" si="12">F28</f>
        <v>100</v>
      </c>
      <c r="T28" s="714" t="s">
        <v>17</v>
      </c>
      <c r="U28" s="715">
        <f t="shared" ref="U28:U40" si="13">H28</f>
        <v>100</v>
      </c>
      <c r="V28" s="714" t="s">
        <v>17</v>
      </c>
      <c r="W28" s="715">
        <f t="shared" ref="W28:W40" si="14">J28</f>
        <v>100</v>
      </c>
      <c r="X28" s="1490"/>
      <c r="Y28" s="3488"/>
      <c r="Z28" s="1491">
        <f t="shared" ref="Z28:Z40" si="15">Q28</f>
        <v>111</v>
      </c>
      <c r="AA28" s="1488">
        <f t="shared" si="3"/>
        <v>1</v>
      </c>
      <c r="AB28" s="1488">
        <f t="shared" si="4"/>
        <v>1</v>
      </c>
      <c r="AC28" s="1488">
        <f t="shared" si="5"/>
        <v>1</v>
      </c>
    </row>
    <row r="29" spans="1:29" ht="30">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1" t="s">
        <v>2145</v>
      </c>
      <c r="Q29" s="1487" t="str">
        <f t="shared" si="11"/>
        <v>建筑类型</v>
      </c>
      <c r="R29" s="714" t="s">
        <v>17</v>
      </c>
      <c r="S29" s="715">
        <f t="shared" si="12"/>
        <v>100</v>
      </c>
      <c r="T29" s="714" t="s">
        <v>17</v>
      </c>
      <c r="U29" s="715">
        <f t="shared" si="13"/>
        <v>100</v>
      </c>
      <c r="V29" s="714" t="s">
        <v>17</v>
      </c>
      <c r="W29" s="715">
        <f t="shared" si="14"/>
        <v>100</v>
      </c>
      <c r="X29" s="1490"/>
      <c r="Y29" s="3492"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2"/>
      <c r="Q31" s="1487" t="str">
        <f t="shared" si="11"/>
        <v>建筑结构</v>
      </c>
      <c r="R31" s="714" t="s">
        <v>17</v>
      </c>
      <c r="S31" s="715">
        <f t="shared" si="12"/>
        <v>100</v>
      </c>
      <c r="T31" s="714" t="s">
        <v>17</v>
      </c>
      <c r="U31" s="715">
        <f t="shared" si="13"/>
        <v>100</v>
      </c>
      <c r="V31" s="714" t="s">
        <v>17</v>
      </c>
      <c r="W31" s="715">
        <f t="shared" si="14"/>
        <v>100</v>
      </c>
      <c r="X31" s="1490"/>
      <c r="Y31" s="3492"/>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2"/>
      <c r="Q32" s="1487" t="str">
        <f t="shared" si="11"/>
        <v>公共部分装修</v>
      </c>
      <c r="R32" s="714" t="s">
        <v>17</v>
      </c>
      <c r="S32" s="715">
        <f t="shared" si="12"/>
        <v>100</v>
      </c>
      <c r="T32" s="714" t="s">
        <v>17</v>
      </c>
      <c r="U32" s="715">
        <f t="shared" si="13"/>
        <v>100</v>
      </c>
      <c r="V32" s="714" t="s">
        <v>17</v>
      </c>
      <c r="W32" s="715">
        <f t="shared" si="14"/>
        <v>100</v>
      </c>
      <c r="X32" s="1490"/>
      <c r="Y32" s="3492"/>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2"/>
      <c r="Q33" s="1487" t="str">
        <f t="shared" si="11"/>
        <v>成新度</v>
      </c>
      <c r="R33" s="714" t="s">
        <v>17</v>
      </c>
      <c r="S33" s="715" t="e">
        <f t="shared" si="12"/>
        <v>#N/A</v>
      </c>
      <c r="T33" s="714" t="s">
        <v>17</v>
      </c>
      <c r="U33" s="715" t="e">
        <f t="shared" si="13"/>
        <v>#N/A</v>
      </c>
      <c r="V33" s="714" t="s">
        <v>17</v>
      </c>
      <c r="W33" s="715" t="e">
        <f t="shared" si="14"/>
        <v>#N/A</v>
      </c>
      <c r="X33" s="1490"/>
      <c r="Y33" s="3492"/>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2"/>
      <c r="Q34" s="1478"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2" t="s">
        <v>2145</v>
      </c>
      <c r="Q35" s="1487" t="str">
        <f t="shared" si="11"/>
        <v>市政基础设施</v>
      </c>
      <c r="R35" s="714" t="s">
        <v>17</v>
      </c>
      <c r="S35" s="715">
        <f t="shared" si="12"/>
        <v>100</v>
      </c>
      <c r="T35" s="714" t="s">
        <v>17</v>
      </c>
      <c r="U35" s="715">
        <f t="shared" si="13"/>
        <v>100</v>
      </c>
      <c r="V35" s="714" t="s">
        <v>17</v>
      </c>
      <c r="W35" s="715">
        <f t="shared" si="14"/>
        <v>100</v>
      </c>
      <c r="X35" s="1490"/>
      <c r="Y35" s="3492"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2"/>
      <c r="Q36" s="1487" t="str">
        <f t="shared" si="11"/>
        <v>内部装修</v>
      </c>
      <c r="R36" s="714" t="s">
        <v>17</v>
      </c>
      <c r="S36" s="715">
        <f t="shared" si="12"/>
        <v>100</v>
      </c>
      <c r="T36" s="714" t="s">
        <v>17</v>
      </c>
      <c r="U36" s="715">
        <f t="shared" si="13"/>
        <v>100</v>
      </c>
      <c r="V36" s="714" t="s">
        <v>17</v>
      </c>
      <c r="W36" s="715">
        <f t="shared" si="14"/>
        <v>100</v>
      </c>
      <c r="X36" s="1490"/>
      <c r="Y36" s="3492"/>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2"/>
      <c r="Q37" s="1487" t="str">
        <f t="shared" si="11"/>
        <v>内部装修状况</v>
      </c>
      <c r="R37" s="714" t="s">
        <v>17</v>
      </c>
      <c r="S37" s="715">
        <f t="shared" si="12"/>
        <v>100</v>
      </c>
      <c r="T37" s="714" t="s">
        <v>17</v>
      </c>
      <c r="U37" s="715">
        <f t="shared" si="13"/>
        <v>100</v>
      </c>
      <c r="V37" s="714" t="s">
        <v>17</v>
      </c>
      <c r="W37" s="715">
        <f t="shared" si="14"/>
        <v>100</v>
      </c>
      <c r="X37" s="1490"/>
      <c r="Y37" s="349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2"/>
      <c r="Q39" s="1487">
        <f t="shared" si="11"/>
        <v>111</v>
      </c>
      <c r="R39" s="714" t="s">
        <v>17</v>
      </c>
      <c r="S39" s="715">
        <f t="shared" si="12"/>
        <v>100</v>
      </c>
      <c r="T39" s="714" t="s">
        <v>17</v>
      </c>
      <c r="U39" s="715">
        <f t="shared" si="13"/>
        <v>100</v>
      </c>
      <c r="V39" s="714" t="s">
        <v>17</v>
      </c>
      <c r="W39" s="715">
        <f t="shared" si="14"/>
        <v>100</v>
      </c>
      <c r="X39" s="1490"/>
      <c r="Y39" s="3492"/>
      <c r="Z39" s="1491">
        <f t="shared" si="15"/>
        <v>111</v>
      </c>
      <c r="AA39" s="1488">
        <f t="shared" si="3"/>
        <v>1</v>
      </c>
      <c r="AB39" s="1488">
        <f t="shared" si="4"/>
        <v>1</v>
      </c>
      <c r="AC39" s="1488">
        <f t="shared" si="5"/>
        <v>1</v>
      </c>
    </row>
    <row r="40" spans="1:29" ht="15.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3"/>
      <c r="Q40" s="1487">
        <f t="shared" si="11"/>
        <v>111</v>
      </c>
      <c r="R40" s="714" t="s">
        <v>17</v>
      </c>
      <c r="S40" s="715">
        <f t="shared" si="12"/>
        <v>100</v>
      </c>
      <c r="T40" s="714" t="s">
        <v>17</v>
      </c>
      <c r="U40" s="715">
        <f t="shared" si="13"/>
        <v>100</v>
      </c>
      <c r="V40" s="714" t="s">
        <v>17</v>
      </c>
      <c r="W40" s="715">
        <f t="shared" si="14"/>
        <v>100</v>
      </c>
      <c r="X40" s="1490"/>
      <c r="Y40" s="3493"/>
      <c r="Z40" s="1491">
        <f t="shared" si="15"/>
        <v>111</v>
      </c>
      <c r="AA40" s="1488">
        <f t="shared" si="3"/>
        <v>1</v>
      </c>
      <c r="AB40" s="1488">
        <f t="shared" si="4"/>
        <v>1</v>
      </c>
      <c r="AC40" s="1488">
        <f t="shared" si="5"/>
        <v>1</v>
      </c>
    </row>
    <row r="41" spans="1:29" ht="14.4">
      <c r="A41" s="438" t="s">
        <v>2157</v>
      </c>
      <c r="B41" s="439"/>
      <c r="C41" s="1269" t="s">
        <v>1</v>
      </c>
      <c r="D41" s="1270"/>
      <c r="E41" s="1271"/>
      <c r="F41" s="1272"/>
      <c r="G41" s="1273"/>
      <c r="H41" s="1274"/>
      <c r="I41" s="1271"/>
      <c r="J41" s="1274"/>
      <c r="K41" s="723"/>
      <c r="L41" s="1038"/>
      <c r="M41" s="1039"/>
      <c r="N41" s="1026"/>
      <c r="O41" s="1039"/>
      <c r="P41" s="3485" t="str">
        <f>A41</f>
        <v>成交单价（元/平方米）</v>
      </c>
      <c r="Q41" s="3485"/>
      <c r="R41" s="3486">
        <f>E41</f>
        <v>0</v>
      </c>
      <c r="S41" s="3486"/>
      <c r="T41" s="3486">
        <f>G41</f>
        <v>0</v>
      </c>
      <c r="U41" s="3486"/>
      <c r="V41" s="3486">
        <f>I41</f>
        <v>0</v>
      </c>
      <c r="W41" s="3486"/>
      <c r="X41" s="699"/>
      <c r="Y41" s="721"/>
      <c r="Z41" s="699"/>
      <c r="AA41" s="699"/>
      <c r="AB41" s="699"/>
      <c r="AC41" s="699"/>
    </row>
    <row r="42" spans="1:29" ht="1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5" t="str">
        <f>A42</f>
        <v>比较价值（元/平方米）</v>
      </c>
      <c r="Q42" s="348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699"/>
      <c r="Y42" s="699"/>
      <c r="Z42" s="699"/>
      <c r="AA42" s="699"/>
      <c r="AB42" s="699"/>
      <c r="AC42" s="699"/>
    </row>
    <row r="43" spans="1:29" ht="15" thickBot="1">
      <c r="A43" s="449" t="s">
        <v>2250</v>
      </c>
      <c r="B43" s="450"/>
      <c r="C43" s="1278" t="e">
        <f>R43</f>
        <v>#DIV/0!</v>
      </c>
      <c r="D43" s="1278"/>
      <c r="E43" s="1278"/>
      <c r="F43" s="1278"/>
      <c r="G43" s="1278"/>
      <c r="H43" s="1278"/>
      <c r="I43" s="1278"/>
      <c r="J43" s="1278"/>
      <c r="K43" s="724"/>
      <c r="L43" s="1038"/>
      <c r="M43" s="1039"/>
      <c r="N43" s="1039"/>
      <c r="O43" s="103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2.2" thickBot="1">
      <c r="A51" s="703" t="s">
        <v>2254</v>
      </c>
      <c r="B51" s="699"/>
      <c r="C51" s="704"/>
      <c r="D51" s="704"/>
      <c r="E51" s="704"/>
      <c r="F51" s="705"/>
      <c r="G51" s="705"/>
      <c r="H51" s="704"/>
      <c r="I51" s="704"/>
      <c r="J51" s="704"/>
      <c r="K51" s="1053"/>
      <c r="L51" s="1054"/>
      <c r="M51" s="1052"/>
      <c r="N51" s="1052"/>
      <c r="O51" s="1052"/>
      <c r="P51" s="460"/>
      <c r="Q51" s="461"/>
    </row>
    <row r="52" spans="1:17" s="465" customFormat="1" ht="14.4">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5" thickBot="1">
      <c r="A54" s="472" t="s">
        <v>2165</v>
      </c>
      <c r="B54" s="473"/>
      <c r="C54" s="474"/>
      <c r="D54" s="475"/>
      <c r="E54" s="475"/>
      <c r="F54" s="475"/>
      <c r="G54" s="475"/>
      <c r="H54" s="475"/>
      <c r="I54" s="475"/>
      <c r="J54" s="475"/>
      <c r="K54" s="475"/>
      <c r="L54" s="475"/>
      <c r="M54" s="476"/>
      <c r="N54" s="2949"/>
      <c r="O54" s="2950"/>
      <c r="P54" s="461"/>
      <c r="Q54" s="461"/>
    </row>
    <row r="55" spans="1:17" s="113" customFormat="1" ht="14.4">
      <c r="A55" s="478" t="s">
        <v>2130</v>
      </c>
      <c r="B55" s="467"/>
      <c r="C55" s="479" t="s">
        <v>2232</v>
      </c>
      <c r="D55" s="480"/>
      <c r="E55" s="480"/>
      <c r="F55" s="480"/>
      <c r="G55" s="480"/>
      <c r="H55" s="480"/>
      <c r="I55" s="480"/>
      <c r="J55" s="480"/>
      <c r="K55" s="480"/>
      <c r="L55" s="481"/>
      <c r="M55" s="482"/>
      <c r="N55" s="1044"/>
      <c r="O55" s="1044"/>
      <c r="P55" s="483"/>
      <c r="Q55" s="461"/>
    </row>
    <row r="56" spans="1:17" s="113" customFormat="1" ht="14.4" thickBot="1">
      <c r="A56" s="478"/>
      <c r="B56" s="467"/>
      <c r="C56" s="595">
        <v>100</v>
      </c>
      <c r="D56" s="469"/>
      <c r="E56" s="469"/>
      <c r="F56" s="469"/>
      <c r="G56" s="469"/>
      <c r="H56" s="469"/>
      <c r="I56" s="469"/>
      <c r="J56" s="469"/>
      <c r="K56" s="469"/>
      <c r="L56" s="469"/>
      <c r="M56" s="471"/>
      <c r="N56" s="1044"/>
      <c r="O56" s="1044"/>
      <c r="P56" s="461"/>
      <c r="Q56" s="461"/>
    </row>
    <row r="57" spans="1:17" ht="14.4">
      <c r="A57" s="484" t="s">
        <v>2168</v>
      </c>
      <c r="B57" s="485" t="s">
        <v>2134</v>
      </c>
      <c r="C57" s="486">
        <f>C9</f>
        <v>0</v>
      </c>
      <c r="D57" s="487"/>
      <c r="E57" s="487"/>
      <c r="F57" s="487"/>
      <c r="G57" s="487"/>
      <c r="H57" s="487"/>
      <c r="I57" s="487"/>
      <c r="J57" s="487"/>
      <c r="K57" s="488"/>
      <c r="L57" s="489"/>
      <c r="M57" s="490"/>
      <c r="N57" s="1045"/>
      <c r="O57" s="1045"/>
      <c r="P57" s="45"/>
      <c r="Q57" s="461"/>
    </row>
    <row r="58" spans="1:17" ht="14.4" thickBot="1">
      <c r="A58" s="491"/>
      <c r="B58" s="492"/>
      <c r="C58" s="493">
        <v>100</v>
      </c>
      <c r="D58" s="493"/>
      <c r="E58" s="493"/>
      <c r="F58" s="493"/>
      <c r="G58" s="493"/>
      <c r="H58" s="493"/>
      <c r="I58" s="493"/>
      <c r="J58" s="493"/>
      <c r="K58" s="493"/>
      <c r="L58" s="493"/>
      <c r="M58" s="494"/>
      <c r="N58" s="1046"/>
      <c r="O58" s="1046"/>
      <c r="P58" s="45"/>
      <c r="Q58" s="461"/>
    </row>
    <row r="59" spans="1:17" ht="29.4"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4" thickTop="1">
      <c r="A64" s="510"/>
      <c r="B64" s="495">
        <f>B12</f>
        <v>111</v>
      </c>
      <c r="C64" s="511"/>
      <c r="D64" s="511"/>
      <c r="E64" s="511"/>
      <c r="F64" s="511"/>
      <c r="G64" s="511"/>
      <c r="H64" s="512"/>
      <c r="I64" s="512"/>
      <c r="J64" s="512"/>
      <c r="K64" s="512"/>
      <c r="L64" s="513"/>
      <c r="M64" s="514"/>
      <c r="N64" s="1047"/>
      <c r="O64" s="1047"/>
      <c r="P64" s="515"/>
      <c r="Q64" s="516"/>
    </row>
    <row r="65" spans="1:17" s="430" customFormat="1" ht="14.4" thickBot="1">
      <c r="A65" s="510"/>
      <c r="B65" s="500"/>
      <c r="C65" s="517"/>
      <c r="D65" s="493"/>
      <c r="E65" s="493"/>
      <c r="F65" s="493"/>
      <c r="G65" s="493"/>
      <c r="H65" s="493"/>
      <c r="I65" s="493"/>
      <c r="J65" s="493"/>
      <c r="K65" s="493"/>
      <c r="L65" s="493"/>
      <c r="M65" s="494"/>
      <c r="N65" s="1046"/>
      <c r="O65" s="1046"/>
      <c r="P65" s="515"/>
      <c r="Q65" s="516"/>
    </row>
    <row r="66" spans="1:17" s="430" customFormat="1" ht="14.4" thickTop="1">
      <c r="A66" s="510"/>
      <c r="B66" s="495">
        <f>B13</f>
        <v>111</v>
      </c>
      <c r="C66" s="511"/>
      <c r="D66" s="511"/>
      <c r="E66" s="511"/>
      <c r="F66" s="511"/>
      <c r="G66" s="511"/>
      <c r="H66" s="512"/>
      <c r="I66" s="512"/>
      <c r="J66" s="512"/>
      <c r="K66" s="512"/>
      <c r="L66" s="513"/>
      <c r="M66" s="514"/>
      <c r="N66" s="1047"/>
      <c r="O66" s="1047"/>
      <c r="P66" s="429"/>
      <c r="Q66" s="518"/>
    </row>
    <row r="67" spans="1:17" s="430" customFormat="1" ht="14.4" thickBot="1">
      <c r="A67" s="510"/>
      <c r="B67" s="500"/>
      <c r="C67" s="517"/>
      <c r="D67" s="493"/>
      <c r="E67" s="493"/>
      <c r="F67" s="493"/>
      <c r="G67" s="517"/>
      <c r="H67" s="519"/>
      <c r="I67" s="519"/>
      <c r="J67" s="519"/>
      <c r="K67" s="519"/>
      <c r="L67" s="519"/>
      <c r="M67" s="520"/>
      <c r="N67" s="1047"/>
      <c r="O67" s="1047"/>
      <c r="P67" s="515"/>
      <c r="Q67" s="516"/>
    </row>
    <row r="68" spans="1:17" s="430" customFormat="1" ht="14.4" thickTop="1">
      <c r="A68" s="510"/>
      <c r="B68" s="503">
        <f>B14</f>
        <v>111</v>
      </c>
      <c r="C68" s="480"/>
      <c r="D68" s="480"/>
      <c r="E68" s="480"/>
      <c r="F68" s="480"/>
      <c r="G68" s="480"/>
      <c r="H68" s="521"/>
      <c r="I68" s="521"/>
      <c r="J68" s="521"/>
      <c r="K68" s="521"/>
      <c r="L68" s="522"/>
      <c r="M68" s="523"/>
      <c r="N68" s="1047"/>
      <c r="O68" s="1047"/>
      <c r="P68" s="524"/>
      <c r="Q68" s="516"/>
    </row>
    <row r="69" spans="1:17" s="430" customFormat="1" ht="14.4" thickBot="1">
      <c r="A69" s="525"/>
      <c r="B69" s="526"/>
      <c r="C69" s="527"/>
      <c r="D69" s="527"/>
      <c r="E69" s="527"/>
      <c r="F69" s="527"/>
      <c r="G69" s="527"/>
      <c r="H69" s="528"/>
      <c r="I69" s="528"/>
      <c r="J69" s="528"/>
      <c r="K69" s="528"/>
      <c r="L69" s="528"/>
      <c r="M69" s="529"/>
      <c r="N69" s="1047"/>
      <c r="O69" s="1047"/>
      <c r="P69" s="515"/>
      <c r="Q69" s="516"/>
    </row>
    <row r="70" spans="1:17" ht="14.4">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4" thickTop="1">
      <c r="A80" s="536"/>
      <c r="B80" s="495">
        <f>B25</f>
        <v>111</v>
      </c>
      <c r="C80" s="511"/>
      <c r="D80" s="511"/>
      <c r="E80" s="511"/>
      <c r="F80" s="511"/>
      <c r="G80" s="511"/>
      <c r="H80" s="511"/>
      <c r="I80" s="511"/>
      <c r="J80" s="511"/>
      <c r="K80" s="511"/>
      <c r="L80" s="537"/>
      <c r="M80" s="538"/>
      <c r="N80" s="1044"/>
      <c r="O80" s="1044"/>
      <c r="P80" s="45"/>
      <c r="Q80" s="461"/>
    </row>
    <row r="81" spans="1:17" s="113" customFormat="1" ht="14.4" thickBot="1">
      <c r="A81" s="536"/>
      <c r="B81" s="500"/>
      <c r="C81" s="517"/>
      <c r="D81" s="493"/>
      <c r="E81" s="493"/>
      <c r="F81" s="493"/>
      <c r="G81" s="493"/>
      <c r="H81" s="493"/>
      <c r="I81" s="493"/>
      <c r="J81" s="493"/>
      <c r="K81" s="493"/>
      <c r="L81" s="493"/>
      <c r="M81" s="494"/>
      <c r="N81" s="1046"/>
      <c r="O81" s="1046"/>
      <c r="P81" s="45"/>
      <c r="Q81" s="461"/>
    </row>
    <row r="82" spans="1:17" s="113" customFormat="1" ht="14.4" thickTop="1">
      <c r="A82" s="536"/>
      <c r="B82" s="495">
        <f>B26</f>
        <v>111</v>
      </c>
      <c r="C82" s="511"/>
      <c r="D82" s="511"/>
      <c r="E82" s="511"/>
      <c r="F82" s="511"/>
      <c r="G82" s="511"/>
      <c r="H82" s="511"/>
      <c r="I82" s="511"/>
      <c r="J82" s="511"/>
      <c r="K82" s="511"/>
      <c r="L82" s="537"/>
      <c r="M82" s="538"/>
      <c r="N82" s="1044"/>
      <c r="O82" s="1044"/>
      <c r="P82" s="45"/>
      <c r="Q82" s="461"/>
    </row>
    <row r="83" spans="1:17" s="113" customFormat="1" ht="14.4" thickBot="1">
      <c r="A83" s="536"/>
      <c r="B83" s="500"/>
      <c r="C83" s="517"/>
      <c r="D83" s="493"/>
      <c r="E83" s="493"/>
      <c r="F83" s="493"/>
      <c r="G83" s="493"/>
      <c r="H83" s="493"/>
      <c r="I83" s="493"/>
      <c r="J83" s="493"/>
      <c r="K83" s="493"/>
      <c r="L83" s="493"/>
      <c r="M83" s="494"/>
      <c r="N83" s="1046"/>
      <c r="O83" s="1046"/>
      <c r="P83" s="45"/>
      <c r="Q83" s="461"/>
    </row>
    <row r="84" spans="1:17" s="430" customFormat="1" ht="14.4" thickTop="1">
      <c r="A84" s="510"/>
      <c r="B84" s="495">
        <f>B27</f>
        <v>111</v>
      </c>
      <c r="C84" s="511"/>
      <c r="D84" s="511"/>
      <c r="E84" s="511"/>
      <c r="F84" s="511"/>
      <c r="G84" s="511"/>
      <c r="H84" s="511"/>
      <c r="I84" s="511"/>
      <c r="J84" s="511"/>
      <c r="K84" s="511"/>
      <c r="L84" s="537"/>
      <c r="M84" s="538"/>
      <c r="N84" s="1047"/>
      <c r="O84" s="1047"/>
      <c r="P84" s="515"/>
      <c r="Q84" s="516"/>
    </row>
    <row r="85" spans="1:17" s="430" customFormat="1" ht="14.4" thickBot="1">
      <c r="A85" s="510"/>
      <c r="B85" s="500"/>
      <c r="C85" s="517"/>
      <c r="D85" s="493"/>
      <c r="E85" s="493"/>
      <c r="F85" s="493"/>
      <c r="G85" s="493"/>
      <c r="H85" s="493"/>
      <c r="I85" s="493"/>
      <c r="J85" s="493"/>
      <c r="K85" s="493"/>
      <c r="L85" s="493"/>
      <c r="M85" s="494"/>
      <c r="N85" s="1047"/>
      <c r="O85" s="1047"/>
      <c r="P85" s="515"/>
      <c r="Q85" s="516"/>
    </row>
    <row r="86" spans="1:17" ht="14.4" thickTop="1">
      <c r="A86" s="491"/>
      <c r="B86" s="503">
        <f>B28</f>
        <v>111</v>
      </c>
      <c r="C86" s="480"/>
      <c r="D86" s="480"/>
      <c r="E86" s="480"/>
      <c r="F86" s="480"/>
      <c r="G86" s="544"/>
      <c r="H86" s="544"/>
      <c r="I86" s="544"/>
      <c r="J86" s="544"/>
      <c r="K86" s="545"/>
      <c r="L86" s="546"/>
      <c r="M86" s="547"/>
      <c r="N86" s="1045"/>
      <c r="O86" s="1045"/>
      <c r="P86" s="45"/>
      <c r="Q86" s="461"/>
    </row>
    <row r="87" spans="1:17" ht="14.4" thickBot="1">
      <c r="A87" s="2065"/>
      <c r="B87" s="526"/>
      <c r="C87" s="527"/>
      <c r="D87" s="527"/>
      <c r="E87" s="527"/>
      <c r="F87" s="527"/>
      <c r="G87" s="548"/>
      <c r="H87" s="548"/>
      <c r="I87" s="548"/>
      <c r="J87" s="548"/>
      <c r="K87" s="548"/>
      <c r="L87" s="548"/>
      <c r="M87" s="549"/>
      <c r="N87" s="1046"/>
      <c r="O87" s="1046"/>
      <c r="P87" s="45"/>
      <c r="Q87" s="461"/>
    </row>
    <row r="88" spans="1:17" ht="14.4">
      <c r="A88" s="484" t="s">
        <v>2143</v>
      </c>
      <c r="B88" s="485" t="s">
        <v>2192</v>
      </c>
      <c r="C88" s="487"/>
      <c r="D88" s="487"/>
      <c r="E88" s="487"/>
      <c r="F88" s="487"/>
      <c r="G88" s="487"/>
      <c r="H88" s="487"/>
      <c r="I88" s="487"/>
      <c r="J88" s="487"/>
      <c r="K88" s="488"/>
      <c r="L88" s="489"/>
      <c r="M88" s="490"/>
      <c r="N88" s="1045"/>
      <c r="O88" s="1045"/>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4"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9.4"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4"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4" thickBot="1">
      <c r="A109" s="510"/>
      <c r="B109" s="492"/>
      <c r="C109" s="517"/>
      <c r="D109" s="493"/>
      <c r="E109" s="493"/>
      <c r="F109" s="493"/>
      <c r="G109" s="517"/>
      <c r="H109" s="519"/>
      <c r="I109" s="519"/>
      <c r="J109" s="519"/>
      <c r="K109" s="519"/>
      <c r="L109" s="519"/>
      <c r="M109" s="520"/>
      <c r="N109" s="1047"/>
      <c r="O109" s="1047"/>
      <c r="P109" s="515"/>
      <c r="Q109" s="516"/>
    </row>
    <row r="110" spans="1:17" ht="14.4" thickTop="1">
      <c r="A110" s="556"/>
      <c r="B110" s="495">
        <f>B39</f>
        <v>111</v>
      </c>
      <c r="C110" s="511"/>
      <c r="D110" s="511"/>
      <c r="E110" s="511"/>
      <c r="F110" s="511"/>
      <c r="G110" s="511"/>
      <c r="H110" s="512"/>
      <c r="I110" s="512"/>
      <c r="J110" s="512"/>
      <c r="K110" s="512"/>
      <c r="L110" s="513"/>
      <c r="M110" s="514"/>
      <c r="N110" s="1045"/>
      <c r="O110" s="1045"/>
      <c r="P110" s="45"/>
      <c r="Q110" s="461"/>
    </row>
    <row r="111" spans="1:17" ht="14.4" thickBot="1">
      <c r="A111" s="491"/>
      <c r="B111" s="500"/>
      <c r="C111" s="517"/>
      <c r="D111" s="493"/>
      <c r="E111" s="493"/>
      <c r="F111" s="493"/>
      <c r="G111" s="517"/>
      <c r="H111" s="519"/>
      <c r="I111" s="519"/>
      <c r="J111" s="519"/>
      <c r="K111" s="519"/>
      <c r="L111" s="519"/>
      <c r="M111" s="520"/>
      <c r="N111" s="1046"/>
      <c r="O111" s="1046"/>
      <c r="P111" s="45"/>
      <c r="Q111" s="461"/>
    </row>
    <row r="112" spans="1:17" ht="14.4" thickTop="1">
      <c r="A112" s="556"/>
      <c r="B112" s="503">
        <f>B40</f>
        <v>111</v>
      </c>
      <c r="C112" s="480"/>
      <c r="D112" s="480"/>
      <c r="E112" s="480"/>
      <c r="F112" s="480"/>
      <c r="G112" s="544"/>
      <c r="H112" s="544"/>
      <c r="I112" s="544"/>
      <c r="J112" s="544"/>
      <c r="K112" s="480"/>
      <c r="L112" s="481"/>
      <c r="M112" s="547"/>
      <c r="N112" s="1045"/>
      <c r="O112" s="1045"/>
      <c r="P112" s="45"/>
      <c r="Q112" s="461"/>
    </row>
    <row r="113" spans="1:17" ht="14.4"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3" customWidth="1"/>
    <col min="2" max="16384" width="9" style="1613"/>
  </cols>
  <sheetData>
    <row r="1" spans="1:1" ht="22.8">
      <c r="A1" s="1612" t="s">
        <v>1335</v>
      </c>
    </row>
    <row r="2" spans="1:1">
      <c r="A2" s="1614"/>
    </row>
    <row r="3" spans="1:1" ht="17.399999999999999">
      <c r="A3" s="1615" t="str">
        <f>项目基本情况!B5&amp;"："</f>
        <v>：</v>
      </c>
    </row>
    <row r="4" spans="1:1" ht="17.399999999999999">
      <c r="A4" s="1616" t="str">
        <f>"受贵公司委托，我公司对"&amp;项目基本情况!S1&amp;"进行了预评估。"</f>
        <v>受贵公司委托，我公司对房地产抵押价值进行了预评估。</v>
      </c>
    </row>
    <row r="5" spans="1:1" ht="17.399999999999999">
      <c r="A5" s="1617" t="s">
        <v>1336</v>
      </c>
    </row>
    <row r="6" spans="1:1" ht="17.399999999999999">
      <c r="A6" s="1618" t="s">
        <v>1337</v>
      </c>
    </row>
    <row r="7" spans="1:1" ht="52.2">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估价对象为房地产，为所有。根据《国有土地使用证》[]，估价对象（分摊）出让国有建设用地使用权面积为41059.64平方米，建筑面积为11798.5平方米。</v>
      </c>
    </row>
    <row r="8" spans="1:1" ht="54.6">
      <c r="A8" s="1619" t="s">
        <v>1338</v>
      </c>
    </row>
    <row r="9" spans="1:1" ht="17.399999999999999">
      <c r="A9" s="1618" t="s">
        <v>1339</v>
      </c>
    </row>
    <row r="10" spans="1:1" ht="52.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估价对象为房地产,属开发建设的，该项目尚在开发建设中。根据《国有土地使用证》[]，估价对象（分摊）出让国有建设用地使用权面积为41059.64平方米，规划建筑面积为11798.5平方米。</v>
      </c>
    </row>
    <row r="11" spans="1:1" ht="72">
      <c r="A11" s="1619" t="s">
        <v>1340</v>
      </c>
    </row>
    <row r="12" spans="1:1" ht="17.399999999999999">
      <c r="A12" s="1617" t="s">
        <v>1341</v>
      </c>
    </row>
    <row r="13" spans="1:1" ht="38.25" customHeight="1">
      <c r="A13" s="162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21" t="s">
        <v>1342</v>
      </c>
    </row>
    <row r="15" spans="1:1" ht="17.399999999999999">
      <c r="A15" s="1622" t="str">
        <f>TEXT(项目基本情况!D3,"yyyy年m月d日;;")&amp;IF(项目基本情况!D3=项目基本情况!B3,"（评估专业人员实地查勘之日）","")</f>
        <v>2022年11月24日</v>
      </c>
    </row>
    <row r="16" spans="1:1" ht="17.399999999999999">
      <c r="A16" s="1621" t="s">
        <v>1343</v>
      </c>
    </row>
    <row r="17" spans="1:1" ht="69.599999999999994">
      <c r="A17" s="1616" t="s">
        <v>1344</v>
      </c>
    </row>
    <row r="18" spans="1:1" ht="69.59999999999999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16" t="str">
        <f>IF(项目基本情况!B9="房地产市场价值","——",IF(项目基本情况!E9="——","",定义!C57))</f>
        <v/>
      </c>
    </row>
    <row r="23" spans="1:1" ht="17.399999999999999">
      <c r="A23" s="1621" t="s">
        <v>1333</v>
      </c>
    </row>
    <row r="24" spans="1:1" ht="17.399999999999999">
      <c r="A24" s="1623" t="str">
        <f>"本次评估采用的主估价方法为"&amp;结果表!K4&amp;"和"&amp;结果表!L4&amp;"。"</f>
        <v>本次评估采用的主估价方法为成本法和收益法。</v>
      </c>
    </row>
    <row r="25" spans="1:1" ht="17.399999999999999">
      <c r="A25" s="1623"/>
    </row>
    <row r="26" spans="1:1" ht="17.399999999999999">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U15" sqref="U15"/>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8"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4.4">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 thickBot="1">
      <c r="A7" s="368" t="s">
        <v>2128</v>
      </c>
      <c r="B7" s="369"/>
      <c r="C7" s="370">
        <f>'数据-取费表'!B2</f>
        <v>44889</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36" si="3">D8/F8</f>
        <v>#DIV/0!</v>
      </c>
      <c r="AB8" s="713" t="e">
        <f t="shared" ref="AB8:AB36" si="4">D8/H8</f>
        <v>#DIV/0!</v>
      </c>
      <c r="AC8" s="713" t="e">
        <f t="shared" ref="AC8:AC36" si="5">D8/J8</f>
        <v>#DIV/0!</v>
      </c>
    </row>
    <row r="9" spans="1:29" s="113" customFormat="1" ht="14.4">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8.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96.6">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8"/>
      <c r="Q15" s="1487"/>
      <c r="R15" s="714"/>
      <c r="S15" s="715"/>
      <c r="T15" s="714"/>
      <c r="U15" s="715"/>
      <c r="V15" s="714"/>
      <c r="W15" s="715"/>
      <c r="X15" s="1490"/>
      <c r="Y15" s="3488"/>
      <c r="Z15" s="1491"/>
      <c r="AA15" s="1488">
        <v>1</v>
      </c>
      <c r="AB15" s="1488">
        <v>1</v>
      </c>
      <c r="AC15" s="1488">
        <v>1</v>
      </c>
    </row>
    <row r="16" spans="1:29" ht="41.4">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8"/>
      <c r="Q17" s="1487"/>
      <c r="R17" s="714"/>
      <c r="S17" s="715"/>
      <c r="T17" s="714"/>
      <c r="U17" s="715"/>
      <c r="V17" s="714"/>
      <c r="W17" s="715"/>
      <c r="X17" s="1490"/>
      <c r="Y17" s="3488"/>
      <c r="Z17" s="1491"/>
      <c r="AA17" s="1488">
        <v>1</v>
      </c>
      <c r="AB17" s="1488">
        <v>1</v>
      </c>
      <c r="AC17" s="1488">
        <v>1</v>
      </c>
    </row>
    <row r="18" spans="1:29" ht="41.4">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8"/>
      <c r="Q19" s="1487"/>
      <c r="R19" s="714"/>
      <c r="S19" s="715"/>
      <c r="T19" s="714"/>
      <c r="U19" s="715"/>
      <c r="V19" s="714"/>
      <c r="W19" s="715"/>
      <c r="X19" s="1490"/>
      <c r="Y19" s="3488"/>
      <c r="Z19" s="1491"/>
      <c r="AA19" s="1488">
        <v>1</v>
      </c>
      <c r="AB19" s="1488">
        <v>1</v>
      </c>
      <c r="AC19" s="1488">
        <v>1</v>
      </c>
    </row>
    <row r="20" spans="1:29" ht="55.2">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8"/>
      <c r="Q21" s="1487"/>
      <c r="R21" s="714"/>
      <c r="S21" s="715"/>
      <c r="T21" s="714"/>
      <c r="U21" s="715"/>
      <c r="V21" s="714"/>
      <c r="W21" s="715"/>
      <c r="X21" s="1490"/>
      <c r="Y21" s="348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8"/>
      <c r="Q24" s="1487">
        <f t="shared" ref="Q24:Q36"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30">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1"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2"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2"/>
      <c r="Q28" s="1487" t="str">
        <f t="shared" si="11"/>
        <v>公共部分装修</v>
      </c>
      <c r="R28" s="714" t="s">
        <v>17</v>
      </c>
      <c r="S28" s="715">
        <f t="shared" si="12"/>
        <v>100</v>
      </c>
      <c r="T28" s="714" t="s">
        <v>17</v>
      </c>
      <c r="U28" s="715">
        <f t="shared" si="13"/>
        <v>100</v>
      </c>
      <c r="V28" s="714" t="s">
        <v>17</v>
      </c>
      <c r="W28" s="715">
        <f t="shared" si="14"/>
        <v>100</v>
      </c>
      <c r="X28" s="1490"/>
      <c r="Y28" s="3492"/>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2"/>
      <c r="Q29" s="1487" t="str">
        <f t="shared" si="11"/>
        <v>成新率</v>
      </c>
      <c r="R29" s="714" t="s">
        <v>17</v>
      </c>
      <c r="S29" s="715" t="e">
        <f t="shared" si="12"/>
        <v>#N/A</v>
      </c>
      <c r="T29" s="714" t="s">
        <v>17</v>
      </c>
      <c r="U29" s="715" t="e">
        <f t="shared" si="13"/>
        <v>#N/A</v>
      </c>
      <c r="V29" s="714" t="s">
        <v>17</v>
      </c>
      <c r="W29" s="715" t="e">
        <f t="shared" si="14"/>
        <v>#N/A</v>
      </c>
      <c r="X29" s="1490"/>
      <c r="Y29" s="3492"/>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2"/>
      <c r="Q30" s="1487" t="str">
        <f t="shared" si="11"/>
        <v>物业等级</v>
      </c>
      <c r="R30" s="714" t="s">
        <v>17</v>
      </c>
      <c r="S30" s="715">
        <f t="shared" si="12"/>
        <v>100</v>
      </c>
      <c r="T30" s="714" t="s">
        <v>17</v>
      </c>
      <c r="U30" s="715">
        <f t="shared" si="13"/>
        <v>100</v>
      </c>
      <c r="V30" s="714" t="s">
        <v>17</v>
      </c>
      <c r="W30" s="715">
        <f t="shared" si="14"/>
        <v>100</v>
      </c>
      <c r="X30" s="1490"/>
      <c r="Y30" s="3492"/>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2"/>
      <c r="Q31" s="1478"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2" t="s">
        <v>2145</v>
      </c>
      <c r="Q32" s="1487" t="str">
        <f t="shared" si="11"/>
        <v>车位类型</v>
      </c>
      <c r="R32" s="714" t="s">
        <v>17</v>
      </c>
      <c r="S32" s="715">
        <f t="shared" si="12"/>
        <v>100</v>
      </c>
      <c r="T32" s="714" t="s">
        <v>17</v>
      </c>
      <c r="U32" s="715">
        <f t="shared" si="13"/>
        <v>100</v>
      </c>
      <c r="V32" s="714" t="s">
        <v>17</v>
      </c>
      <c r="W32" s="715">
        <f t="shared" si="14"/>
        <v>100</v>
      </c>
      <c r="X32" s="1490"/>
      <c r="Y32" s="3492"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2"/>
      <c r="Q33" s="1487" t="str">
        <f t="shared" si="11"/>
        <v>是否直接入户</v>
      </c>
      <c r="R33" s="714" t="s">
        <v>17</v>
      </c>
      <c r="S33" s="715">
        <f t="shared" si="12"/>
        <v>100</v>
      </c>
      <c r="T33" s="714" t="s">
        <v>17</v>
      </c>
      <c r="U33" s="715">
        <f t="shared" si="13"/>
        <v>100</v>
      </c>
      <c r="V33" s="714" t="s">
        <v>17</v>
      </c>
      <c r="W33" s="715">
        <f t="shared" si="14"/>
        <v>100</v>
      </c>
      <c r="X33" s="1490"/>
      <c r="Y33" s="349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488">
        <f t="shared" si="3"/>
        <v>1</v>
      </c>
      <c r="AB35" s="1488">
        <f t="shared" si="4"/>
        <v>1</v>
      </c>
      <c r="AC35" s="1488">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2"/>
      <c r="Q36" s="1487">
        <f t="shared" si="11"/>
        <v>111</v>
      </c>
      <c r="R36" s="714" t="s">
        <v>17</v>
      </c>
      <c r="S36" s="715">
        <f t="shared" si="12"/>
        <v>100</v>
      </c>
      <c r="T36" s="714" t="s">
        <v>17</v>
      </c>
      <c r="U36" s="715">
        <f t="shared" si="13"/>
        <v>100</v>
      </c>
      <c r="V36" s="714" t="s">
        <v>17</v>
      </c>
      <c r="W36" s="715">
        <f t="shared" si="14"/>
        <v>100</v>
      </c>
      <c r="X36" s="1490"/>
      <c r="Y36" s="3492"/>
      <c r="Z36" s="1491">
        <f t="shared" si="15"/>
        <v>111</v>
      </c>
      <c r="AA36" s="1488">
        <f t="shared" si="3"/>
        <v>1</v>
      </c>
      <c r="AB36" s="1488">
        <f t="shared" si="4"/>
        <v>1</v>
      </c>
      <c r="AC36" s="1488">
        <f t="shared" si="5"/>
        <v>1</v>
      </c>
    </row>
    <row r="37" spans="1:29" ht="14.4">
      <c r="A37" s="438" t="s">
        <v>2300</v>
      </c>
      <c r="B37" s="2110" t="s">
        <v>2301</v>
      </c>
      <c r="C37" s="1269" t="s">
        <v>1</v>
      </c>
      <c r="D37" s="1270"/>
      <c r="E37" s="1271"/>
      <c r="F37" s="1272"/>
      <c r="G37" s="1273"/>
      <c r="H37" s="1274"/>
      <c r="I37" s="1271"/>
      <c r="J37" s="1274"/>
      <c r="K37" s="576"/>
      <c r="L37" s="2903"/>
      <c r="M37" s="2904"/>
      <c r="N37" s="2895"/>
      <c r="O37" s="2904"/>
      <c r="P37" s="3485" t="str">
        <f>A37</f>
        <v>成交单价</v>
      </c>
      <c r="Q37" s="3485"/>
      <c r="R37" s="3486">
        <f>E37</f>
        <v>0</v>
      </c>
      <c r="S37" s="3486"/>
      <c r="T37" s="3486">
        <f>G37</f>
        <v>0</v>
      </c>
      <c r="U37" s="3486"/>
      <c r="V37" s="3486">
        <f>I37</f>
        <v>0</v>
      </c>
      <c r="W37" s="3486"/>
      <c r="X37" s="699"/>
      <c r="Y37" s="721"/>
      <c r="Z37" s="699"/>
      <c r="AA37" s="699"/>
      <c r="AB37" s="699"/>
      <c r="AC37" s="699"/>
    </row>
    <row r="38" spans="1:29" ht="1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99"/>
      <c r="Y38" s="699"/>
      <c r="Z38" s="699"/>
      <c r="AA38" s="699"/>
      <c r="AB38" s="699"/>
      <c r="AC38" s="699"/>
    </row>
    <row r="39" spans="1:29" ht="15" thickBot="1">
      <c r="A39" s="449" t="s">
        <v>2303</v>
      </c>
      <c r="B39" s="450"/>
      <c r="C39" s="1278" t="e">
        <f>R39</f>
        <v>#DIV/0!</v>
      </c>
      <c r="D39" s="1278"/>
      <c r="E39" s="1278"/>
      <c r="F39" s="1278"/>
      <c r="G39" s="1278"/>
      <c r="H39" s="1278"/>
      <c r="I39" s="1278"/>
      <c r="J39" s="1278"/>
      <c r="K39" s="577"/>
      <c r="L39" s="2903"/>
      <c r="M39" s="2904"/>
      <c r="N39" s="2904"/>
      <c r="O39" s="2904"/>
      <c r="P39" s="3482" t="str">
        <f>A39</f>
        <v>估价对象XX用房的比较价值（楼面单价，元/平方米）</v>
      </c>
      <c r="Q39" s="3483"/>
      <c r="R39" s="3512" t="e">
        <f>IF(F1="售价",ROUND(IF(D38="简单平均",AVERAGE(R38:W38),R38*F38+T38*H38+V38*J38),0),ROUND(IF(D38="简单平均",AVERAGE(R38:V38),R38*F38+T38*H38+V38*J38),1))</f>
        <v>#DIV/0!</v>
      </c>
      <c r="S39" s="3512"/>
      <c r="T39" s="3512"/>
      <c r="U39" s="3512"/>
      <c r="V39" s="3512"/>
      <c r="W39" s="3512"/>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2.2"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4.4">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4.4">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4"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ht="14.4">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4"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9.4"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4"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4"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4"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4"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4"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4"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4"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4"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4"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4"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4"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4"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9.4"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4"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4"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4"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4"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4"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4"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4"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4"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4"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 thickBot="1">
      <c r="A7" s="368" t="s">
        <v>2128</v>
      </c>
      <c r="B7" s="369"/>
      <c r="C7" s="370">
        <f>'数据-取费表'!B2</f>
        <v>44889</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34" si="3">D8/F8</f>
        <v>#DIV/0!</v>
      </c>
      <c r="AB8" s="713" t="e">
        <f t="shared" ref="AB8:AB34" si="4">D8/H8</f>
        <v>#DIV/0!</v>
      </c>
      <c r="AC8" s="713" t="e">
        <f t="shared" ref="AC8:AC34" si="5">D8/J8</f>
        <v>#DIV/0!</v>
      </c>
    </row>
    <row r="9" spans="1:29" s="113" customFormat="1" ht="14.4">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8.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96.6">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8"/>
      <c r="Q15" s="1487"/>
      <c r="R15" s="714"/>
      <c r="S15" s="715"/>
      <c r="T15" s="714"/>
      <c r="U15" s="715"/>
      <c r="V15" s="714"/>
      <c r="W15" s="715"/>
      <c r="X15" s="1490"/>
      <c r="Y15" s="3488"/>
      <c r="Z15" s="1491"/>
      <c r="AA15" s="1488">
        <v>1</v>
      </c>
      <c r="AB15" s="1488">
        <v>1</v>
      </c>
      <c r="AC15" s="1488">
        <v>1</v>
      </c>
    </row>
    <row r="16" spans="1:29" ht="41.4">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8"/>
      <c r="Q17" s="1487"/>
      <c r="R17" s="714"/>
      <c r="S17" s="715"/>
      <c r="T17" s="714"/>
      <c r="U17" s="715"/>
      <c r="V17" s="714"/>
      <c r="W17" s="715"/>
      <c r="X17" s="1490"/>
      <c r="Y17" s="3488"/>
      <c r="Z17" s="1491"/>
      <c r="AA17" s="1488">
        <v>1</v>
      </c>
      <c r="AB17" s="1488">
        <v>1</v>
      </c>
      <c r="AC17" s="1488">
        <v>1</v>
      </c>
    </row>
    <row r="18" spans="1:29" ht="41.4">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8"/>
      <c r="Q19" s="1487"/>
      <c r="R19" s="714"/>
      <c r="S19" s="715"/>
      <c r="T19" s="714"/>
      <c r="U19" s="715"/>
      <c r="V19" s="714"/>
      <c r="W19" s="715"/>
      <c r="X19" s="1490"/>
      <c r="Y19" s="3488"/>
      <c r="Z19" s="1491"/>
      <c r="AA19" s="1488">
        <v>1</v>
      </c>
      <c r="AB19" s="1488">
        <v>1</v>
      </c>
      <c r="AC19" s="1488">
        <v>1</v>
      </c>
    </row>
    <row r="20" spans="1:29" ht="55.2">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8"/>
      <c r="Q21" s="1487"/>
      <c r="R21" s="714"/>
      <c r="S21" s="715"/>
      <c r="T21" s="714"/>
      <c r="U21" s="715"/>
      <c r="V21" s="714"/>
      <c r="W21" s="715"/>
      <c r="X21" s="1490"/>
      <c r="Y21" s="348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8"/>
      <c r="Q24" s="1487">
        <f t="shared" ref="Q24:Q34"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30">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1"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2"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2"/>
      <c r="Q28" s="1487" t="str">
        <f t="shared" si="11"/>
        <v>物业等级</v>
      </c>
      <c r="R28" s="714" t="s">
        <v>17</v>
      </c>
      <c r="S28" s="715">
        <f t="shared" si="12"/>
        <v>100</v>
      </c>
      <c r="T28" s="714" t="s">
        <v>17</v>
      </c>
      <c r="U28" s="715">
        <f t="shared" si="13"/>
        <v>100</v>
      </c>
      <c r="V28" s="714" t="s">
        <v>17</v>
      </c>
      <c r="W28" s="715">
        <f t="shared" si="14"/>
        <v>100</v>
      </c>
      <c r="X28" s="1490"/>
      <c r="Y28" s="3492"/>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2"/>
      <c r="Q29" s="1487" t="str">
        <f t="shared" si="11"/>
        <v>有无电梯</v>
      </c>
      <c r="R29" s="714" t="s">
        <v>17</v>
      </c>
      <c r="S29" s="715">
        <f t="shared" si="12"/>
        <v>100</v>
      </c>
      <c r="T29" s="714" t="s">
        <v>17</v>
      </c>
      <c r="U29" s="715">
        <f t="shared" si="13"/>
        <v>100</v>
      </c>
      <c r="V29" s="714" t="s">
        <v>17</v>
      </c>
      <c r="W29" s="715">
        <f t="shared" si="14"/>
        <v>100</v>
      </c>
      <c r="X29" s="1490"/>
      <c r="Y29" s="3492"/>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2"/>
      <c r="Q30" s="1487" t="str">
        <f t="shared" si="11"/>
        <v>建筑面积</v>
      </c>
      <c r="R30" s="714" t="s">
        <v>17</v>
      </c>
      <c r="S30" s="715" t="e">
        <f t="shared" si="12"/>
        <v>#N/A</v>
      </c>
      <c r="T30" s="714" t="s">
        <v>17</v>
      </c>
      <c r="U30" s="715" t="e">
        <f t="shared" si="13"/>
        <v>#N/A</v>
      </c>
      <c r="V30" s="714" t="s">
        <v>17</v>
      </c>
      <c r="W30" s="715" t="e">
        <f t="shared" si="14"/>
        <v>#N/A</v>
      </c>
      <c r="X30" s="1490"/>
      <c r="Y30" s="3492"/>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2"/>
      <c r="Q31" s="1478"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2" t="s">
        <v>2145</v>
      </c>
      <c r="Q32" s="1487">
        <f t="shared" si="11"/>
        <v>111</v>
      </c>
      <c r="R32" s="714" t="s">
        <v>17</v>
      </c>
      <c r="S32" s="715">
        <f t="shared" si="12"/>
        <v>100</v>
      </c>
      <c r="T32" s="714" t="s">
        <v>17</v>
      </c>
      <c r="U32" s="715">
        <f t="shared" si="13"/>
        <v>100</v>
      </c>
      <c r="V32" s="714" t="s">
        <v>17</v>
      </c>
      <c r="W32" s="715">
        <f t="shared" si="14"/>
        <v>100</v>
      </c>
      <c r="X32" s="1490"/>
      <c r="Y32" s="3492"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2"/>
      <c r="Q33" s="1487">
        <f t="shared" si="11"/>
        <v>111</v>
      </c>
      <c r="R33" s="714" t="s">
        <v>17</v>
      </c>
      <c r="S33" s="715">
        <f t="shared" si="12"/>
        <v>100</v>
      </c>
      <c r="T33" s="714" t="s">
        <v>17</v>
      </c>
      <c r="U33" s="715">
        <f t="shared" si="13"/>
        <v>100</v>
      </c>
      <c r="V33" s="714" t="s">
        <v>17</v>
      </c>
      <c r="W33" s="715">
        <f t="shared" si="14"/>
        <v>100</v>
      </c>
      <c r="X33" s="1490"/>
      <c r="Y33" s="3492"/>
      <c r="Z33" s="1491">
        <f t="shared" si="15"/>
        <v>111</v>
      </c>
      <c r="AA33" s="1488">
        <f t="shared" si="3"/>
        <v>1</v>
      </c>
      <c r="AB33" s="1488">
        <f t="shared" si="4"/>
        <v>1</v>
      </c>
      <c r="AC33" s="1488">
        <f t="shared" si="5"/>
        <v>1</v>
      </c>
    </row>
    <row r="34" spans="1:30" ht="15.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30" ht="14.4">
      <c r="A35" s="438" t="s">
        <v>2157</v>
      </c>
      <c r="B35" s="439"/>
      <c r="C35" s="1269" t="s">
        <v>1</v>
      </c>
      <c r="D35" s="1270"/>
      <c r="E35" s="1271"/>
      <c r="F35" s="1272"/>
      <c r="G35" s="1273"/>
      <c r="H35" s="1274"/>
      <c r="I35" s="1271"/>
      <c r="J35" s="1274"/>
      <c r="K35" s="723"/>
      <c r="L35" s="2903"/>
      <c r="M35" s="2904"/>
      <c r="N35" s="2895"/>
      <c r="O35" s="2904"/>
      <c r="P35" s="3485" t="str">
        <f>A35</f>
        <v>成交单价（元/平方米）</v>
      </c>
      <c r="Q35" s="3485"/>
      <c r="R35" s="3486">
        <f>E35</f>
        <v>0</v>
      </c>
      <c r="S35" s="3486"/>
      <c r="T35" s="3486">
        <f>G35</f>
        <v>0</v>
      </c>
      <c r="U35" s="3486"/>
      <c r="V35" s="3486">
        <f>I35</f>
        <v>0</v>
      </c>
      <c r="W35" s="3486"/>
      <c r="X35" s="699"/>
      <c r="Y35" s="721"/>
      <c r="Z35" s="699"/>
      <c r="AA35" s="699"/>
      <c r="AB35" s="699"/>
      <c r="AC35" s="699"/>
    </row>
    <row r="36" spans="1:30" ht="1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99"/>
      <c r="Y36" s="699"/>
      <c r="Z36" s="699"/>
      <c r="AA36" s="699"/>
      <c r="AB36" s="699"/>
      <c r="AC36" s="699"/>
    </row>
    <row r="37" spans="1:30" ht="15" thickBot="1">
      <c r="A37" s="449" t="s">
        <v>2250</v>
      </c>
      <c r="B37" s="450"/>
      <c r="C37" s="1278" t="e">
        <f>R37</f>
        <v>#DIV/0!</v>
      </c>
      <c r="D37" s="1278"/>
      <c r="E37" s="1278"/>
      <c r="F37" s="1278"/>
      <c r="G37" s="1278"/>
      <c r="H37" s="1278"/>
      <c r="I37" s="1278"/>
      <c r="J37" s="1278"/>
      <c r="K37" s="724"/>
      <c r="L37" s="2903"/>
      <c r="M37" s="2904"/>
      <c r="N37" s="2904"/>
      <c r="O37" s="2904"/>
      <c r="P37" s="3482" t="str">
        <f>A37</f>
        <v>估价对象XX用房的比较价值（楼面单价，元/平方米）</v>
      </c>
      <c r="Q37" s="3483"/>
      <c r="R37" s="3512" t="e">
        <f>IF(F1="售价",ROUND(IF(D36="简单平均",AVERAGE(R36:W36),R36*F36+T36*H36+V36*J36),0),ROUND(IF(D36="简单平均",AVERAGE(R36:V36),R36*F36+T36*H36+V36*J36),1))</f>
        <v>#DIV/0!</v>
      </c>
      <c r="S37" s="3512"/>
      <c r="T37" s="3512"/>
      <c r="U37" s="3512"/>
      <c r="V37" s="3512"/>
      <c r="W37" s="3512"/>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2.2"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4.4">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4.4">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4"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ht="14.4">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4"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9.4"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4"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4"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4"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4"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4"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4"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9.4"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4"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4"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4"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4"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4"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4"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4"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4"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4"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4"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4"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4"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4"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4"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4"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4"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4"/>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4.4">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30">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30" ht="15" thickBot="1">
      <c r="A6" s="366"/>
      <c r="B6" s="367"/>
      <c r="C6" s="3463" t="s">
        <v>2126</v>
      </c>
      <c r="D6" s="3464"/>
      <c r="E6" s="3465" t="s">
        <v>2126</v>
      </c>
      <c r="F6" s="3466"/>
      <c r="G6" s="3463" t="s">
        <v>2126</v>
      </c>
      <c r="H6" s="3464"/>
      <c r="I6" s="3463" t="s">
        <v>2126</v>
      </c>
      <c r="J6" s="3464"/>
      <c r="K6" s="567" t="s">
        <v>2127</v>
      </c>
      <c r="L6" s="2894"/>
      <c r="M6" s="2895"/>
      <c r="N6" s="2895"/>
      <c r="O6" s="2895"/>
      <c r="P6" s="3476"/>
      <c r="Q6" s="3477"/>
      <c r="R6" s="3457"/>
      <c r="S6" s="3458"/>
      <c r="T6" s="3478"/>
      <c r="U6" s="3479"/>
      <c r="V6" s="3480"/>
      <c r="W6" s="3480"/>
      <c r="X6" s="1490"/>
      <c r="Y6" s="3478"/>
      <c r="Z6" s="3479"/>
      <c r="AA6" s="3452"/>
      <c r="AB6" s="3452"/>
      <c r="AC6" s="3452"/>
    </row>
    <row r="7" spans="1:30" s="113" customFormat="1" ht="15" thickBot="1">
      <c r="A7" s="368" t="s">
        <v>2128</v>
      </c>
      <c r="B7" s="369"/>
      <c r="C7" s="370">
        <f>'数据-取费表'!B2</f>
        <v>44889</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30" s="113" customFormat="1" ht="1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5" si="3">D8/F8</f>
        <v>#DIV/0!</v>
      </c>
      <c r="AB8" s="713" t="e">
        <f t="shared" ref="AB8:AB45" si="4">D8/H8</f>
        <v>#DIV/0!</v>
      </c>
      <c r="AC8" s="713" t="e">
        <f t="shared" ref="AC8:AC45" si="5">D8/J8</f>
        <v>#DIV/0!</v>
      </c>
    </row>
    <row r="9" spans="1:30" s="113" customFormat="1" ht="14.4">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30" s="386" customFormat="1" ht="28.8">
      <c r="A10" s="380"/>
      <c r="B10" s="381" t="s">
        <v>2137</v>
      </c>
      <c r="C10" s="391"/>
      <c r="D10" s="132">
        <v>100</v>
      </c>
      <c r="E10" s="424"/>
      <c r="F10" s="132">
        <f>ROUND(100/'数据-取费表'!G16,0)</f>
        <v>138</v>
      </c>
      <c r="G10" s="422"/>
      <c r="H10" s="132">
        <f>ROUND(100/'数据-取费表'!G16,0)</f>
        <v>138</v>
      </c>
      <c r="I10" s="422"/>
      <c r="J10" s="132">
        <f>ROUND(100/'数据-取费表'!G16,0)</f>
        <v>138</v>
      </c>
      <c r="K10" s="628"/>
      <c r="L10" s="2898"/>
      <c r="M10" s="2899"/>
      <c r="N10" s="2899"/>
      <c r="O10" s="2952"/>
      <c r="P10" s="3485"/>
      <c r="Q10" s="1478" t="str">
        <f t="shared" si="6"/>
        <v>土地使用年限（年）</v>
      </c>
      <c r="R10" s="710" t="s">
        <v>17</v>
      </c>
      <c r="S10" s="711">
        <f t="shared" si="0"/>
        <v>138</v>
      </c>
      <c r="T10" s="710" t="s">
        <v>17</v>
      </c>
      <c r="U10" s="711">
        <f t="shared" si="1"/>
        <v>138</v>
      </c>
      <c r="V10" s="710" t="s">
        <v>17</v>
      </c>
      <c r="W10" s="711">
        <f t="shared" si="2"/>
        <v>138</v>
      </c>
      <c r="X10" s="712"/>
      <c r="Y10" s="3397"/>
      <c r="Z10" s="55" t="str">
        <f t="shared" si="7"/>
        <v>土地使用年限（年）</v>
      </c>
      <c r="AA10" s="713">
        <f t="shared" si="3"/>
        <v>0.72463768115942029</v>
      </c>
      <c r="AB10" s="713">
        <f t="shared" si="4"/>
        <v>0.72463768115942029</v>
      </c>
      <c r="AC10" s="713">
        <f t="shared" si="5"/>
        <v>0.72463768115942029</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5"/>
      <c r="Q12" s="1478" t="str">
        <f t="shared" si="6"/>
        <v>配建</v>
      </c>
      <c r="R12" s="710" t="s">
        <v>17</v>
      </c>
      <c r="S12" s="711">
        <f t="shared" si="0"/>
        <v>100</v>
      </c>
      <c r="T12" s="710" t="s">
        <v>17</v>
      </c>
      <c r="U12" s="711">
        <f t="shared" si="1"/>
        <v>100</v>
      </c>
      <c r="V12" s="710" t="s">
        <v>17</v>
      </c>
      <c r="W12" s="711">
        <f t="shared" si="2"/>
        <v>100</v>
      </c>
      <c r="X12" s="712"/>
      <c r="Y12" s="339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D13/F13</f>
        <v>1</v>
      </c>
      <c r="AB13" s="713">
        <f>D13/H13</f>
        <v>1</v>
      </c>
      <c r="AC13" s="713">
        <f>D13/J13</f>
        <v>1</v>
      </c>
    </row>
    <row r="14" spans="1:30" ht="15.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D14/F14</f>
        <v>1</v>
      </c>
      <c r="AB14" s="713">
        <f>D14/H14</f>
        <v>1</v>
      </c>
      <c r="AC14" s="713">
        <f>D14/J14</f>
        <v>1</v>
      </c>
    </row>
    <row r="15" spans="1:30" ht="96.6">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7" t="s">
        <v>2140</v>
      </c>
      <c r="Q15" s="1487" t="str">
        <f t="shared" si="6"/>
        <v>居住社区成熟度</v>
      </c>
      <c r="R15" s="714" t="s">
        <v>17</v>
      </c>
      <c r="S15" s="715">
        <f t="shared" si="0"/>
        <v>100</v>
      </c>
      <c r="T15" s="714" t="s">
        <v>17</v>
      </c>
      <c r="U15" s="715">
        <f t="shared" si="1"/>
        <v>100</v>
      </c>
      <c r="V15" s="714" t="s">
        <v>17</v>
      </c>
      <c r="W15" s="715">
        <f t="shared" si="2"/>
        <v>100</v>
      </c>
      <c r="X15" s="1490"/>
      <c r="Y15" s="3487"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82.8">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8"/>
      <c r="Q17" s="1487" t="str">
        <f>B17</f>
        <v>商业繁华度</v>
      </c>
      <c r="R17" s="714" t="s">
        <v>17</v>
      </c>
      <c r="S17" s="715">
        <f>F17</f>
        <v>100</v>
      </c>
      <c r="T17" s="714" t="s">
        <v>17</v>
      </c>
      <c r="U17" s="715">
        <f>H17</f>
        <v>100</v>
      </c>
      <c r="V17" s="714" t="s">
        <v>17</v>
      </c>
      <c r="W17" s="715">
        <f>J17</f>
        <v>100</v>
      </c>
      <c r="X17" s="1490"/>
      <c r="Y17" s="348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82.8">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8"/>
      <c r="Q19" s="1487" t="str">
        <f>B19</f>
        <v>办公集聚程度</v>
      </c>
      <c r="R19" s="714" t="s">
        <v>17</v>
      </c>
      <c r="S19" s="715">
        <f>F19</f>
        <v>100</v>
      </c>
      <c r="T19" s="714" t="s">
        <v>17</v>
      </c>
      <c r="U19" s="715">
        <f>H19</f>
        <v>100</v>
      </c>
      <c r="V19" s="714" t="s">
        <v>17</v>
      </c>
      <c r="W19" s="715">
        <f>J19</f>
        <v>100</v>
      </c>
      <c r="X19" s="1490"/>
      <c r="Y19" s="348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8"/>
      <c r="Q20" s="1487"/>
      <c r="R20" s="714"/>
      <c r="S20" s="715"/>
      <c r="T20" s="714"/>
      <c r="U20" s="715"/>
      <c r="V20" s="714"/>
      <c r="W20" s="715"/>
      <c r="X20" s="1490"/>
      <c r="Y20" s="3488"/>
      <c r="Z20" s="1491"/>
      <c r="AA20" s="1488">
        <v>1</v>
      </c>
      <c r="AB20" s="1488">
        <v>1</v>
      </c>
      <c r="AC20" s="1488">
        <v>1</v>
      </c>
    </row>
    <row r="21" spans="1:29" ht="96.6">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8"/>
      <c r="Q21" s="1487" t="str">
        <f>B21</f>
        <v>交通便捷度</v>
      </c>
      <c r="R21" s="714" t="s">
        <v>17</v>
      </c>
      <c r="S21" s="715">
        <f>F21</f>
        <v>100</v>
      </c>
      <c r="T21" s="714" t="s">
        <v>17</v>
      </c>
      <c r="U21" s="715">
        <f>H21</f>
        <v>100</v>
      </c>
      <c r="V21" s="714" t="s">
        <v>17</v>
      </c>
      <c r="W21" s="715">
        <f>J21</f>
        <v>100</v>
      </c>
      <c r="X21" s="1490"/>
      <c r="Y21" s="348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ht="28.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8"/>
      <c r="Q23" s="1487" t="str">
        <f t="shared" ref="Q23:Q37" si="8">B23</f>
        <v>区域土地利用方向</v>
      </c>
      <c r="R23" s="714" t="s">
        <v>17</v>
      </c>
      <c r="S23" s="715">
        <f>F23</f>
        <v>100</v>
      </c>
      <c r="T23" s="714" t="s">
        <v>17</v>
      </c>
      <c r="U23" s="715">
        <f>H23</f>
        <v>100</v>
      </c>
      <c r="V23" s="714" t="s">
        <v>17</v>
      </c>
      <c r="W23" s="715">
        <f>J23</f>
        <v>100</v>
      </c>
      <c r="X23" s="1490"/>
      <c r="Y23" s="348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8"/>
      <c r="Q24" s="1487"/>
      <c r="R24" s="714"/>
      <c r="S24" s="715"/>
      <c r="T24" s="714"/>
      <c r="U24" s="715"/>
      <c r="V24" s="714"/>
      <c r="W24" s="715"/>
      <c r="X24" s="1490"/>
      <c r="Y24" s="3488"/>
      <c r="Z24" s="1491"/>
      <c r="AA24" s="1488"/>
      <c r="AB24" s="1488"/>
      <c r="AC24" s="1488"/>
    </row>
    <row r="25" spans="1:29" ht="55.2">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8"/>
      <c r="Q25" s="1487" t="str">
        <f t="shared" si="8"/>
        <v>自然及人文环境状况</v>
      </c>
      <c r="R25" s="714" t="s">
        <v>17</v>
      </c>
      <c r="S25" s="715">
        <f>F25</f>
        <v>100</v>
      </c>
      <c r="T25" s="714" t="s">
        <v>17</v>
      </c>
      <c r="U25" s="715">
        <f>H25</f>
        <v>100</v>
      </c>
      <c r="V25" s="714" t="s">
        <v>17</v>
      </c>
      <c r="W25" s="715">
        <f>J25</f>
        <v>100</v>
      </c>
      <c r="X25" s="1490"/>
      <c r="Y25" s="348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8"/>
      <c r="Q26" s="1487"/>
      <c r="R26" s="714"/>
      <c r="S26" s="715"/>
      <c r="T26" s="714"/>
      <c r="U26" s="715"/>
      <c r="V26" s="714"/>
      <c r="W26" s="715"/>
      <c r="X26" s="1490"/>
      <c r="Y26" s="3488"/>
      <c r="Z26" s="1491"/>
      <c r="AA26" s="1488">
        <v>1</v>
      </c>
      <c r="AB26" s="1488">
        <v>1</v>
      </c>
      <c r="AC26" s="1488">
        <v>1</v>
      </c>
    </row>
    <row r="27" spans="1:29" s="113" customFormat="1" ht="41.4">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8"/>
      <c r="Q27" s="1478" t="str">
        <f t="shared" si="8"/>
        <v>公共配套设施</v>
      </c>
      <c r="R27" s="710" t="s">
        <v>17</v>
      </c>
      <c r="S27" s="711">
        <f>F27</f>
        <v>100</v>
      </c>
      <c r="T27" s="710" t="s">
        <v>17</v>
      </c>
      <c r="U27" s="711">
        <f>H27</f>
        <v>100</v>
      </c>
      <c r="V27" s="710" t="s">
        <v>17</v>
      </c>
      <c r="W27" s="711">
        <f>J27</f>
        <v>100</v>
      </c>
      <c r="X27" s="712"/>
      <c r="Y27" s="348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8"/>
      <c r="Q28" s="1478"/>
      <c r="R28" s="710"/>
      <c r="S28" s="711"/>
      <c r="T28" s="710"/>
      <c r="U28" s="711"/>
      <c r="V28" s="710"/>
      <c r="W28" s="711"/>
      <c r="X28" s="712"/>
      <c r="Y28" s="3488"/>
      <c r="Z28" s="55"/>
      <c r="AA28" s="1488">
        <v>1</v>
      </c>
      <c r="AB28" s="1488">
        <v>1</v>
      </c>
      <c r="AC28" s="1488">
        <v>1</v>
      </c>
    </row>
    <row r="29" spans="1:29" s="113" customFormat="1" ht="41.4">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8"/>
      <c r="Q29" s="1478" t="str">
        <f t="shared" ref="Q29" si="9">B29</f>
        <v>基础设施水平</v>
      </c>
      <c r="R29" s="710" t="s">
        <v>17</v>
      </c>
      <c r="S29" s="711">
        <f>F29</f>
        <v>100</v>
      </c>
      <c r="T29" s="710" t="s">
        <v>17</v>
      </c>
      <c r="U29" s="711">
        <f>H29</f>
        <v>100</v>
      </c>
      <c r="V29" s="710" t="s">
        <v>17</v>
      </c>
      <c r="W29" s="711">
        <f>J29</f>
        <v>100</v>
      </c>
      <c r="X29" s="712"/>
      <c r="Y29" s="348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8"/>
      <c r="Q30" s="1478"/>
      <c r="R30" s="710"/>
      <c r="S30" s="711"/>
      <c r="T30" s="710"/>
      <c r="U30" s="711"/>
      <c r="V30" s="710"/>
      <c r="W30" s="711"/>
      <c r="X30" s="712"/>
      <c r="Y30" s="348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8"/>
      <c r="Z31" s="1491" t="str">
        <f t="shared" ref="Z31:Z45" si="13">Q31</f>
        <v>临街状况</v>
      </c>
      <c r="AA31" s="1488">
        <f t="shared" si="3"/>
        <v>1</v>
      </c>
      <c r="AB31" s="1488">
        <f t="shared" si="4"/>
        <v>1</v>
      </c>
      <c r="AC31" s="1488">
        <f t="shared" si="5"/>
        <v>1</v>
      </c>
    </row>
    <row r="32" spans="1:29" ht="28.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8"/>
      <c r="Q32" s="1487" t="str">
        <f t="shared" si="8"/>
        <v>毗邻道路的类型与等级</v>
      </c>
      <c r="R32" s="714" t="s">
        <v>17</v>
      </c>
      <c r="S32" s="715">
        <f t="shared" si="10"/>
        <v>100</v>
      </c>
      <c r="T32" s="714" t="s">
        <v>17</v>
      </c>
      <c r="U32" s="715">
        <f t="shared" si="11"/>
        <v>100</v>
      </c>
      <c r="V32" s="714" t="s">
        <v>17</v>
      </c>
      <c r="W32" s="715">
        <f t="shared" si="12"/>
        <v>100</v>
      </c>
      <c r="X32" s="1490"/>
      <c r="Y32" s="348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8"/>
      <c r="Q33" s="1487"/>
      <c r="R33" s="714"/>
      <c r="S33" s="715"/>
      <c r="T33" s="714"/>
      <c r="U33" s="715"/>
      <c r="V33" s="714"/>
      <c r="W33" s="715"/>
      <c r="X33" s="1490"/>
      <c r="Y33" s="348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8"/>
      <c r="Q34" s="1487" t="str">
        <f t="shared" si="8"/>
        <v>土地级别</v>
      </c>
      <c r="R34" s="714" t="s">
        <v>17</v>
      </c>
      <c r="S34" s="715">
        <f t="shared" si="10"/>
        <v>100</v>
      </c>
      <c r="T34" s="714" t="s">
        <v>17</v>
      </c>
      <c r="U34" s="715">
        <f t="shared" si="11"/>
        <v>100</v>
      </c>
      <c r="V34" s="714" t="s">
        <v>17</v>
      </c>
      <c r="W34" s="715">
        <f t="shared" si="12"/>
        <v>100</v>
      </c>
      <c r="X34" s="1490"/>
      <c r="Y34" s="348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8"/>
      <c r="Q35" s="1487">
        <f t="shared" si="8"/>
        <v>111</v>
      </c>
      <c r="R35" s="714" t="s">
        <v>17</v>
      </c>
      <c r="S35" s="715">
        <f t="shared" si="10"/>
        <v>100</v>
      </c>
      <c r="T35" s="714" t="s">
        <v>17</v>
      </c>
      <c r="U35" s="715">
        <f t="shared" si="11"/>
        <v>100</v>
      </c>
      <c r="V35" s="714" t="s">
        <v>17</v>
      </c>
      <c r="W35" s="715">
        <f t="shared" si="12"/>
        <v>100</v>
      </c>
      <c r="X35" s="1490"/>
      <c r="Y35" s="348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1" t="s">
        <v>2145</v>
      </c>
      <c r="Q36" s="1487">
        <f t="shared" si="8"/>
        <v>111</v>
      </c>
      <c r="R36" s="714" t="s">
        <v>17</v>
      </c>
      <c r="S36" s="715">
        <f t="shared" si="10"/>
        <v>100</v>
      </c>
      <c r="T36" s="714" t="s">
        <v>17</v>
      </c>
      <c r="U36" s="715">
        <f t="shared" si="11"/>
        <v>100</v>
      </c>
      <c r="V36" s="714" t="s">
        <v>17</v>
      </c>
      <c r="W36" s="715">
        <f t="shared" si="12"/>
        <v>100</v>
      </c>
      <c r="X36" s="1490"/>
      <c r="Y36" s="3492" t="s">
        <v>2145</v>
      </c>
      <c r="Z36" s="1491">
        <f t="shared" si="13"/>
        <v>111</v>
      </c>
      <c r="AA36" s="1488">
        <f t="shared" si="3"/>
        <v>1</v>
      </c>
      <c r="AB36" s="1488">
        <f t="shared" si="4"/>
        <v>1</v>
      </c>
      <c r="AC36" s="1488">
        <f t="shared" si="5"/>
        <v>1</v>
      </c>
    </row>
    <row r="37" spans="1:29" s="430" customFormat="1" ht="15.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2"/>
      <c r="Q37" s="1487">
        <f t="shared" si="8"/>
        <v>111</v>
      </c>
      <c r="R37" s="717" t="s">
        <v>17</v>
      </c>
      <c r="S37" s="718">
        <f t="shared" si="10"/>
        <v>100</v>
      </c>
      <c r="T37" s="717" t="s">
        <v>17</v>
      </c>
      <c r="U37" s="718">
        <f t="shared" si="11"/>
        <v>100</v>
      </c>
      <c r="V37" s="717" t="s">
        <v>17</v>
      </c>
      <c r="W37" s="718">
        <f t="shared" si="12"/>
        <v>100</v>
      </c>
      <c r="X37" s="719"/>
      <c r="Y37" s="3492"/>
      <c r="Z37" s="720">
        <f t="shared" si="13"/>
        <v>111</v>
      </c>
      <c r="AA37" s="1488">
        <f t="shared" si="3"/>
        <v>1</v>
      </c>
      <c r="AB37" s="1488">
        <f t="shared" si="4"/>
        <v>1</v>
      </c>
      <c r="AC37" s="1488">
        <f t="shared" si="5"/>
        <v>1</v>
      </c>
    </row>
    <row r="38" spans="1:29" ht="15.6">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2"/>
      <c r="Q38" s="1487" t="str">
        <f>B38</f>
        <v>宗地面积</v>
      </c>
      <c r="R38" s="714" t="s">
        <v>17</v>
      </c>
      <c r="S38" s="715" t="e">
        <f t="shared" si="10"/>
        <v>#N/A</v>
      </c>
      <c r="T38" s="714" t="s">
        <v>17</v>
      </c>
      <c r="U38" s="715" t="e">
        <f t="shared" si="11"/>
        <v>#N/A</v>
      </c>
      <c r="V38" s="714" t="s">
        <v>17</v>
      </c>
      <c r="W38" s="715" t="e">
        <f t="shared" si="12"/>
        <v>#N/A</v>
      </c>
      <c r="X38" s="1490"/>
      <c r="Y38" s="3492"/>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2"/>
      <c r="Q39" s="1487" t="str">
        <f t="shared" ref="Q39:Q45" si="14">B39</f>
        <v>宗地形状</v>
      </c>
      <c r="R39" s="714" t="s">
        <v>17</v>
      </c>
      <c r="S39" s="715">
        <f t="shared" si="10"/>
        <v>100</v>
      </c>
      <c r="T39" s="714" t="s">
        <v>17</v>
      </c>
      <c r="U39" s="715">
        <f t="shared" si="11"/>
        <v>100</v>
      </c>
      <c r="V39" s="714" t="s">
        <v>17</v>
      </c>
      <c r="W39" s="715">
        <f t="shared" si="12"/>
        <v>100</v>
      </c>
      <c r="X39" s="1490"/>
      <c r="Y39" s="3492"/>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2"/>
      <c r="Q40" s="1487" t="str">
        <f t="shared" si="14"/>
        <v>临街宽度及深度</v>
      </c>
      <c r="R40" s="714" t="s">
        <v>17</v>
      </c>
      <c r="S40" s="715">
        <f t="shared" si="10"/>
        <v>100</v>
      </c>
      <c r="T40" s="714" t="s">
        <v>17</v>
      </c>
      <c r="U40" s="715">
        <f t="shared" si="11"/>
        <v>100</v>
      </c>
      <c r="V40" s="714" t="s">
        <v>17</v>
      </c>
      <c r="W40" s="715">
        <f t="shared" si="12"/>
        <v>100</v>
      </c>
      <c r="X40" s="1490"/>
      <c r="Y40" s="3492"/>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2"/>
      <c r="Q41" s="1487" t="str">
        <f t="shared" si="14"/>
        <v>宗地开发程度</v>
      </c>
      <c r="R41" s="710" t="s">
        <v>17</v>
      </c>
      <c r="S41" s="711">
        <f t="shared" si="10"/>
        <v>100</v>
      </c>
      <c r="T41" s="710" t="s">
        <v>17</v>
      </c>
      <c r="U41" s="711">
        <f t="shared" si="11"/>
        <v>100</v>
      </c>
      <c r="V41" s="710" t="s">
        <v>17</v>
      </c>
      <c r="W41" s="711">
        <f t="shared" si="12"/>
        <v>100</v>
      </c>
      <c r="X41" s="712"/>
      <c r="Y41" s="3492"/>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2" t="s">
        <v>2145</v>
      </c>
      <c r="Q42" s="1487" t="str">
        <f t="shared" si="14"/>
        <v>工程地质条件</v>
      </c>
      <c r="R42" s="714" t="s">
        <v>17</v>
      </c>
      <c r="S42" s="715">
        <f t="shared" si="10"/>
        <v>100</v>
      </c>
      <c r="T42" s="714" t="s">
        <v>17</v>
      </c>
      <c r="U42" s="715">
        <f t="shared" si="11"/>
        <v>100</v>
      </c>
      <c r="V42" s="714" t="s">
        <v>17</v>
      </c>
      <c r="W42" s="715">
        <f t="shared" si="12"/>
        <v>100</v>
      </c>
      <c r="X42" s="1490"/>
      <c r="Y42" s="3492"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2"/>
      <c r="Q43" s="1487">
        <f t="shared" si="14"/>
        <v>111</v>
      </c>
      <c r="R43" s="714" t="s">
        <v>17</v>
      </c>
      <c r="S43" s="715">
        <f t="shared" si="10"/>
        <v>100</v>
      </c>
      <c r="T43" s="714" t="s">
        <v>17</v>
      </c>
      <c r="U43" s="715">
        <f t="shared" si="11"/>
        <v>100</v>
      </c>
      <c r="V43" s="714" t="s">
        <v>17</v>
      </c>
      <c r="W43" s="715">
        <f t="shared" si="12"/>
        <v>100</v>
      </c>
      <c r="X43" s="1490"/>
      <c r="Y43" s="349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2"/>
      <c r="Q44" s="1487">
        <f t="shared" si="14"/>
        <v>111</v>
      </c>
      <c r="R44" s="714" t="s">
        <v>17</v>
      </c>
      <c r="S44" s="715">
        <f t="shared" si="10"/>
        <v>100</v>
      </c>
      <c r="T44" s="714" t="s">
        <v>17</v>
      </c>
      <c r="U44" s="715">
        <f t="shared" si="11"/>
        <v>100</v>
      </c>
      <c r="V44" s="714" t="s">
        <v>17</v>
      </c>
      <c r="W44" s="715">
        <f t="shared" si="12"/>
        <v>100</v>
      </c>
      <c r="X44" s="1490"/>
      <c r="Y44" s="3492"/>
      <c r="Z44" s="1491">
        <f t="shared" si="13"/>
        <v>111</v>
      </c>
      <c r="AA44" s="1488">
        <f t="shared" si="3"/>
        <v>1</v>
      </c>
      <c r="AB44" s="1488">
        <f t="shared" si="4"/>
        <v>1</v>
      </c>
      <c r="AC44" s="1488">
        <f t="shared" si="5"/>
        <v>1</v>
      </c>
    </row>
    <row r="45" spans="1:29" s="430" customFormat="1" ht="15.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2"/>
      <c r="Q45" s="1487">
        <f t="shared" si="14"/>
        <v>111</v>
      </c>
      <c r="R45" s="717" t="s">
        <v>17</v>
      </c>
      <c r="S45" s="718">
        <f t="shared" si="10"/>
        <v>100</v>
      </c>
      <c r="T45" s="717" t="s">
        <v>17</v>
      </c>
      <c r="U45" s="718">
        <f t="shared" si="11"/>
        <v>100</v>
      </c>
      <c r="V45" s="717" t="s">
        <v>17</v>
      </c>
      <c r="W45" s="718">
        <f t="shared" si="12"/>
        <v>100</v>
      </c>
      <c r="X45" s="719"/>
      <c r="Y45" s="3492"/>
      <c r="Z45" s="720">
        <f t="shared" si="13"/>
        <v>111</v>
      </c>
      <c r="AA45" s="1488">
        <f t="shared" si="3"/>
        <v>1</v>
      </c>
      <c r="AB45" s="1488">
        <f t="shared" si="4"/>
        <v>1</v>
      </c>
      <c r="AC45" s="1488">
        <f t="shared" si="5"/>
        <v>1</v>
      </c>
    </row>
    <row r="46" spans="1:29" ht="14.4">
      <c r="A46" s="438" t="s">
        <v>2300</v>
      </c>
      <c r="B46" s="2119" t="s">
        <v>2336</v>
      </c>
      <c r="C46" s="638" t="s">
        <v>1</v>
      </c>
      <c r="D46" s="440"/>
      <c r="E46" s="441"/>
      <c r="F46" s="442"/>
      <c r="G46" s="443"/>
      <c r="H46" s="444"/>
      <c r="I46" s="441"/>
      <c r="J46" s="444"/>
      <c r="K46" s="723"/>
      <c r="L46" s="2903"/>
      <c r="M46" s="2904"/>
      <c r="N46" s="2895"/>
      <c r="O46" s="2904"/>
      <c r="P46" s="3485" t="str">
        <f>A46</f>
        <v>成交单价</v>
      </c>
      <c r="Q46" s="3485"/>
      <c r="R46" s="3480">
        <f>E46</f>
        <v>0</v>
      </c>
      <c r="S46" s="3480"/>
      <c r="T46" s="3480">
        <f>G46</f>
        <v>0</v>
      </c>
      <c r="U46" s="3480"/>
      <c r="V46" s="3480">
        <f>I46</f>
        <v>0</v>
      </c>
      <c r="W46" s="3480"/>
      <c r="X46" s="699"/>
      <c r="Y46" s="721"/>
      <c r="Z46" s="699"/>
      <c r="AA46" s="699"/>
      <c r="AB46" s="699"/>
      <c r="AC46" s="699"/>
    </row>
    <row r="47" spans="1:29" ht="1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5" t="str">
        <f>A47</f>
        <v>比较价值（元/平方米）</v>
      </c>
      <c r="Q47" s="3485"/>
      <c r="R47" s="3513" t="e">
        <f>ROUND(PRODUCT(R46,AA7:AA45),0)</f>
        <v>#DIV/0!</v>
      </c>
      <c r="S47" s="3513"/>
      <c r="T47" s="3513" t="e">
        <f>ROUND(PRODUCT(T46,AB7:AB45),0)</f>
        <v>#DIV/0!</v>
      </c>
      <c r="U47" s="3513"/>
      <c r="V47" s="3513" t="e">
        <f>ROUND(PRODUCT(V46,AC7:AC45),0)</f>
        <v>#DIV/0!</v>
      </c>
      <c r="W47" s="3513"/>
      <c r="X47" s="699"/>
      <c r="Y47" s="699"/>
      <c r="Z47" s="699"/>
      <c r="AA47" s="699"/>
      <c r="AB47" s="699"/>
      <c r="AC47" s="699"/>
    </row>
    <row r="48" spans="1:29" ht="15" thickBot="1">
      <c r="A48" s="449" t="s">
        <v>2337</v>
      </c>
      <c r="B48" s="450"/>
      <c r="C48" s="451" t="e">
        <f>R48</f>
        <v>#DIV/0!</v>
      </c>
      <c r="D48" s="451"/>
      <c r="E48" s="451"/>
      <c r="F48" s="451"/>
      <c r="G48" s="451"/>
      <c r="H48" s="451"/>
      <c r="I48" s="451"/>
      <c r="J48" s="451"/>
      <c r="K48" s="724"/>
      <c r="L48" s="2903"/>
      <c r="M48" s="2904"/>
      <c r="N48" s="2904"/>
      <c r="O48" s="2904"/>
      <c r="P48" s="3482" t="str">
        <f>A48</f>
        <v>估价对象XX用房的比较价值（楼面单价，元/平方米）</v>
      </c>
      <c r="Q48" s="3483"/>
      <c r="R48" s="3514" t="e">
        <f>ROUND(IF(D47="简单平均",AVERAGE(R47:W47),R47*F47+T47*H47+V47*J47),0)</f>
        <v>#DIV/0!</v>
      </c>
      <c r="S48" s="3514"/>
      <c r="T48" s="3514"/>
      <c r="U48" s="3514"/>
      <c r="V48" s="3514"/>
      <c r="W48" s="3514"/>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4"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8" t="s">
        <v>2344</v>
      </c>
      <c r="H55" s="3515"/>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11798.5</v>
      </c>
      <c r="F56" s="998" t="e">
        <f t="shared" ref="F56:F64" si="15">ROUND(B56*E56/10000,0)</f>
        <v>#DIV/0!</v>
      </c>
      <c r="G56" s="3467"/>
      <c r="H56" s="3485"/>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4"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2360</v>
      </c>
      <c r="B65" s="652" t="s">
        <v>28</v>
      </c>
      <c r="C65" s="652" t="s">
        <v>29</v>
      </c>
      <c r="D65" s="652" t="s">
        <v>816</v>
      </c>
      <c r="E65" s="652">
        <f>IF(B46="楼面地价",SUM(E56:E64),'数据-汇总表'!D3)</f>
        <v>11798.5</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2.2"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4.4">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4.4">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4"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ht="14.4">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4"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9.4"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4"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4"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4"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4"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4"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4"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4"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ht="14.4">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9.4"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9.4"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9.4"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4"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4"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4"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4"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4"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4"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ht="14.4">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4"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4"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4"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4"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4"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4"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4"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M30" sqref="M30"/>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4.4">
      <c r="A4" s="361" t="s">
        <v>2225</v>
      </c>
      <c r="B4" s="362"/>
      <c r="C4" s="3468" t="s">
        <v>2226</v>
      </c>
      <c r="D4" s="3469"/>
      <c r="E4" s="3470" t="s">
        <v>2227</v>
      </c>
      <c r="F4" s="3471"/>
      <c r="G4" s="3468" t="s">
        <v>2228</v>
      </c>
      <c r="H4" s="3469"/>
      <c r="I4" s="3468" t="s">
        <v>2229</v>
      </c>
      <c r="J4" s="3469"/>
      <c r="K4" s="567" t="s">
        <v>2230</v>
      </c>
      <c r="L4" s="2894"/>
      <c r="M4" s="2895"/>
      <c r="N4" s="2895"/>
      <c r="O4" s="2895"/>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c r="A5" s="364"/>
      <c r="B5" s="365"/>
      <c r="C5" s="3461" t="s">
        <v>2122</v>
      </c>
      <c r="D5" s="3462"/>
      <c r="E5" s="3459" t="s">
        <v>2123</v>
      </c>
      <c r="F5" s="3460"/>
      <c r="G5" s="3461" t="s">
        <v>2124</v>
      </c>
      <c r="H5" s="3462"/>
      <c r="I5" s="3461" t="s">
        <v>2125</v>
      </c>
      <c r="J5" s="3462"/>
      <c r="K5" s="567"/>
      <c r="L5" s="2894"/>
      <c r="M5" s="2895"/>
      <c r="N5" s="2895"/>
      <c r="O5" s="2895"/>
      <c r="P5" s="3474"/>
      <c r="Q5" s="3475"/>
      <c r="R5" s="3457"/>
      <c r="S5" s="3458"/>
      <c r="T5" s="3457"/>
      <c r="U5" s="3458"/>
      <c r="V5" s="3480"/>
      <c r="W5" s="3480"/>
      <c r="X5" s="1490"/>
      <c r="Y5" s="3457"/>
      <c r="Z5" s="3458"/>
      <c r="AA5" s="3451"/>
      <c r="AB5" s="3451"/>
      <c r="AC5" s="3451"/>
    </row>
    <row r="6" spans="1:29" ht="15" thickBot="1">
      <c r="A6" s="366"/>
      <c r="B6" s="367"/>
      <c r="C6" s="3516" t="s">
        <v>2376</v>
      </c>
      <c r="D6" s="3517"/>
      <c r="E6" s="3518" t="s">
        <v>2376</v>
      </c>
      <c r="F6" s="3519"/>
      <c r="G6" s="3516" t="s">
        <v>2376</v>
      </c>
      <c r="H6" s="3517"/>
      <c r="I6" s="3516" t="s">
        <v>2376</v>
      </c>
      <c r="J6" s="3517"/>
      <c r="K6" s="567" t="s">
        <v>2127</v>
      </c>
      <c r="L6" s="2894"/>
      <c r="M6" s="2895"/>
      <c r="N6" s="2895"/>
      <c r="O6" s="2895"/>
      <c r="P6" s="3476"/>
      <c r="Q6" s="3477"/>
      <c r="R6" s="3457"/>
      <c r="S6" s="3458"/>
      <c r="T6" s="3478"/>
      <c r="U6" s="3479"/>
      <c r="V6" s="3480"/>
      <c r="W6" s="3480"/>
      <c r="X6" s="1490"/>
      <c r="Y6" s="3478"/>
      <c r="Z6" s="3479"/>
      <c r="AA6" s="3452"/>
      <c r="AB6" s="3452"/>
      <c r="AC6" s="3452"/>
    </row>
    <row r="7" spans="1:29" s="113" customFormat="1" ht="15" thickBot="1">
      <c r="A7" s="368" t="s">
        <v>2128</v>
      </c>
      <c r="B7" s="369"/>
      <c r="C7" s="370">
        <f>'数据-取费表'!B2</f>
        <v>44889</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ht="14.4">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8.8">
      <c r="A10" s="380"/>
      <c r="B10" s="381" t="s">
        <v>2137</v>
      </c>
      <c r="C10" s="391"/>
      <c r="D10" s="132">
        <v>100</v>
      </c>
      <c r="E10" s="391"/>
      <c r="F10" s="132">
        <f>ROUND(100/'数据-取费表'!G16,0)</f>
        <v>138</v>
      </c>
      <c r="G10" s="391"/>
      <c r="H10" s="132">
        <f>ROUND(100/'数据-取费表'!G16,0)</f>
        <v>138</v>
      </c>
      <c r="I10" s="391"/>
      <c r="J10" s="132">
        <f>ROUND(100/'数据-取费表'!G16,0)</f>
        <v>138</v>
      </c>
      <c r="K10" s="628"/>
      <c r="L10" s="2898"/>
      <c r="M10" s="2899"/>
      <c r="N10" s="2899"/>
      <c r="O10" s="2952"/>
      <c r="P10" s="3485"/>
      <c r="Q10" s="1478" t="str">
        <f t="shared" si="6"/>
        <v>土地使用年限（年）</v>
      </c>
      <c r="R10" s="710" t="s">
        <v>17</v>
      </c>
      <c r="S10" s="711">
        <f t="shared" si="0"/>
        <v>138</v>
      </c>
      <c r="T10" s="710" t="s">
        <v>17</v>
      </c>
      <c r="U10" s="711">
        <f t="shared" si="1"/>
        <v>138</v>
      </c>
      <c r="V10" s="710" t="s">
        <v>17</v>
      </c>
      <c r="W10" s="711">
        <f t="shared" si="2"/>
        <v>138</v>
      </c>
      <c r="X10" s="712"/>
      <c r="Y10" s="3397"/>
      <c r="Z10" s="55" t="str">
        <f t="shared" si="7"/>
        <v>土地使用年限（年）</v>
      </c>
      <c r="AA10" s="713">
        <f t="shared" si="3"/>
        <v>0.72463768115942029</v>
      </c>
      <c r="AB10" s="713">
        <f t="shared" si="4"/>
        <v>0.72463768115942029</v>
      </c>
      <c r="AC10" s="713">
        <f t="shared" si="5"/>
        <v>0.72463768115942029</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69">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8"/>
      <c r="Q16" s="1487"/>
      <c r="R16" s="714"/>
      <c r="S16" s="715"/>
      <c r="T16" s="714"/>
      <c r="U16" s="715"/>
      <c r="V16" s="714"/>
      <c r="W16" s="715"/>
      <c r="X16" s="1490"/>
      <c r="Y16" s="3488"/>
      <c r="Z16" s="1491"/>
      <c r="AA16" s="1488">
        <v>1</v>
      </c>
      <c r="AB16" s="1488">
        <v>1</v>
      </c>
      <c r="AC16" s="1488">
        <v>1</v>
      </c>
    </row>
    <row r="17" spans="1:29" ht="96.6">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8"/>
      <c r="Q18" s="1487"/>
      <c r="R18" s="714"/>
      <c r="S18" s="715"/>
      <c r="T18" s="714"/>
      <c r="U18" s="715"/>
      <c r="V18" s="714"/>
      <c r="W18" s="715"/>
      <c r="X18" s="1490"/>
      <c r="Y18" s="3488"/>
      <c r="Z18" s="1491"/>
      <c r="AA18" s="1488">
        <v>1</v>
      </c>
      <c r="AB18" s="1488">
        <v>1</v>
      </c>
      <c r="AC18" s="1488">
        <v>1</v>
      </c>
    </row>
    <row r="19" spans="1:29" ht="28.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8"/>
      <c r="Q19" s="1487" t="str">
        <f t="shared" ref="Q19:Q33" si="8">B19</f>
        <v>区域土地利用方向</v>
      </c>
      <c r="R19" s="714" t="s">
        <v>17</v>
      </c>
      <c r="S19" s="715">
        <f>F19</f>
        <v>100</v>
      </c>
      <c r="T19" s="714" t="s">
        <v>17</v>
      </c>
      <c r="U19" s="715">
        <f>H19</f>
        <v>100</v>
      </c>
      <c r="V19" s="714" t="s">
        <v>17</v>
      </c>
      <c r="W19" s="715">
        <f>J19</f>
        <v>100</v>
      </c>
      <c r="X19" s="1490"/>
      <c r="Y19" s="348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8"/>
      <c r="Q20" s="1487"/>
      <c r="R20" s="714"/>
      <c r="S20" s="715"/>
      <c r="T20" s="714"/>
      <c r="U20" s="715"/>
      <c r="V20" s="714"/>
      <c r="W20" s="715"/>
      <c r="X20" s="1490"/>
      <c r="Y20" s="3488"/>
      <c r="Z20" s="1491"/>
      <c r="AA20" s="1488"/>
      <c r="AB20" s="1488"/>
      <c r="AC20" s="1488"/>
    </row>
    <row r="21" spans="1:29" ht="82.8">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8"/>
      <c r="Q21" s="1487" t="str">
        <f t="shared" si="8"/>
        <v>环境状况</v>
      </c>
      <c r="R21" s="714" t="s">
        <v>17</v>
      </c>
      <c r="S21" s="715">
        <f>F21</f>
        <v>100</v>
      </c>
      <c r="T21" s="714" t="s">
        <v>17</v>
      </c>
      <c r="U21" s="715">
        <f>H21</f>
        <v>100</v>
      </c>
      <c r="V21" s="714" t="s">
        <v>17</v>
      </c>
      <c r="W21" s="715">
        <f>J21</f>
        <v>100</v>
      </c>
      <c r="X21" s="1490"/>
      <c r="Y21" s="348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8"/>
      <c r="Q22" s="1487"/>
      <c r="R22" s="714"/>
      <c r="S22" s="715"/>
      <c r="T22" s="714"/>
      <c r="U22" s="715"/>
      <c r="V22" s="714"/>
      <c r="W22" s="715"/>
      <c r="X22" s="1490"/>
      <c r="Y22" s="3488"/>
      <c r="Z22" s="1491"/>
      <c r="AA22" s="1488">
        <v>1</v>
      </c>
      <c r="AB22" s="1488">
        <v>1</v>
      </c>
      <c r="AC22" s="1488">
        <v>1</v>
      </c>
    </row>
    <row r="23" spans="1:29" s="113" customFormat="1" ht="41.4">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8"/>
      <c r="Q23" s="1478" t="str">
        <f t="shared" si="8"/>
        <v>公共配套设施</v>
      </c>
      <c r="R23" s="710" t="s">
        <v>17</v>
      </c>
      <c r="S23" s="711">
        <f>F23</f>
        <v>100</v>
      </c>
      <c r="T23" s="710" t="s">
        <v>17</v>
      </c>
      <c r="U23" s="711">
        <f>H23</f>
        <v>100</v>
      </c>
      <c r="V23" s="710" t="s">
        <v>17</v>
      </c>
      <c r="W23" s="711">
        <f>J23</f>
        <v>100</v>
      </c>
      <c r="X23" s="712"/>
      <c r="Y23" s="348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8"/>
      <c r="Q24" s="1478"/>
      <c r="R24" s="710"/>
      <c r="S24" s="711"/>
      <c r="T24" s="710"/>
      <c r="U24" s="711"/>
      <c r="V24" s="710"/>
      <c r="W24" s="711"/>
      <c r="X24" s="712"/>
      <c r="Y24" s="3488"/>
      <c r="Z24" s="55"/>
      <c r="AA24" s="713">
        <v>1</v>
      </c>
      <c r="AB24" s="713">
        <v>1</v>
      </c>
      <c r="AC24" s="713">
        <v>1</v>
      </c>
    </row>
    <row r="25" spans="1:29" s="113" customFormat="1" ht="41.4">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8"/>
      <c r="Q25" s="1478" t="str">
        <f t="shared" ref="Q25" si="9">B25</f>
        <v>基础设施水平</v>
      </c>
      <c r="R25" s="710" t="s">
        <v>17</v>
      </c>
      <c r="S25" s="711">
        <f>F25</f>
        <v>100</v>
      </c>
      <c r="T25" s="710" t="s">
        <v>17</v>
      </c>
      <c r="U25" s="711">
        <f>H25</f>
        <v>100</v>
      </c>
      <c r="V25" s="710" t="s">
        <v>17</v>
      </c>
      <c r="W25" s="711">
        <f>J25</f>
        <v>100</v>
      </c>
      <c r="X25" s="712"/>
      <c r="Y25" s="348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8"/>
      <c r="Q26" s="1478"/>
      <c r="R26" s="710"/>
      <c r="S26" s="711"/>
      <c r="T26" s="710"/>
      <c r="U26" s="711"/>
      <c r="V26" s="710"/>
      <c r="W26" s="711"/>
      <c r="X26" s="712"/>
      <c r="Y26" s="348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8"/>
      <c r="Z27" s="1491" t="str">
        <f t="shared" ref="Z27:Z40" si="13">Q27</f>
        <v>临街状况</v>
      </c>
      <c r="AA27" s="1488">
        <f t="shared" si="3"/>
        <v>1</v>
      </c>
      <c r="AB27" s="1488">
        <f t="shared" si="4"/>
        <v>1</v>
      </c>
      <c r="AC27" s="1488">
        <f t="shared" si="5"/>
        <v>1</v>
      </c>
    </row>
    <row r="28" spans="1:29" ht="28.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8"/>
      <c r="Q28" s="1487" t="str">
        <f t="shared" si="8"/>
        <v>毗邻道路的类型与等级</v>
      </c>
      <c r="R28" s="714" t="s">
        <v>17</v>
      </c>
      <c r="S28" s="715">
        <f t="shared" si="10"/>
        <v>100</v>
      </c>
      <c r="T28" s="714" t="s">
        <v>17</v>
      </c>
      <c r="U28" s="715">
        <f t="shared" si="11"/>
        <v>100</v>
      </c>
      <c r="V28" s="714" t="s">
        <v>17</v>
      </c>
      <c r="W28" s="715">
        <f t="shared" si="12"/>
        <v>100</v>
      </c>
      <c r="X28" s="1490"/>
      <c r="Y28" s="348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8"/>
      <c r="Q29" s="1487"/>
      <c r="R29" s="714"/>
      <c r="S29" s="715"/>
      <c r="T29" s="714"/>
      <c r="U29" s="715"/>
      <c r="V29" s="714"/>
      <c r="W29" s="715"/>
      <c r="X29" s="1490"/>
      <c r="Y29" s="348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8"/>
      <c r="Q30" s="1487" t="str">
        <f t="shared" si="8"/>
        <v>土地级别</v>
      </c>
      <c r="R30" s="714" t="s">
        <v>17</v>
      </c>
      <c r="S30" s="715">
        <f t="shared" si="10"/>
        <v>100</v>
      </c>
      <c r="T30" s="714" t="s">
        <v>17</v>
      </c>
      <c r="U30" s="715">
        <f t="shared" si="11"/>
        <v>100</v>
      </c>
      <c r="V30" s="714" t="s">
        <v>17</v>
      </c>
      <c r="W30" s="715">
        <f t="shared" si="12"/>
        <v>100</v>
      </c>
      <c r="X30" s="1490"/>
      <c r="Y30" s="348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8"/>
      <c r="Q31" s="1487">
        <f t="shared" si="8"/>
        <v>111</v>
      </c>
      <c r="R31" s="714" t="s">
        <v>17</v>
      </c>
      <c r="S31" s="715">
        <f t="shared" si="10"/>
        <v>100</v>
      </c>
      <c r="T31" s="714" t="s">
        <v>17</v>
      </c>
      <c r="U31" s="715">
        <f t="shared" si="11"/>
        <v>100</v>
      </c>
      <c r="V31" s="714" t="s">
        <v>17</v>
      </c>
      <c r="W31" s="715">
        <f t="shared" si="12"/>
        <v>100</v>
      </c>
      <c r="X31" s="1490"/>
      <c r="Y31" s="348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1" t="s">
        <v>2145</v>
      </c>
      <c r="Q32" s="1487">
        <f t="shared" si="8"/>
        <v>111</v>
      </c>
      <c r="R32" s="714" t="s">
        <v>17</v>
      </c>
      <c r="S32" s="715">
        <f t="shared" si="10"/>
        <v>100</v>
      </c>
      <c r="T32" s="714" t="s">
        <v>17</v>
      </c>
      <c r="U32" s="715">
        <f t="shared" si="11"/>
        <v>100</v>
      </c>
      <c r="V32" s="714" t="s">
        <v>17</v>
      </c>
      <c r="W32" s="715">
        <f t="shared" si="12"/>
        <v>100</v>
      </c>
      <c r="X32" s="1490"/>
      <c r="Y32" s="3492" t="s">
        <v>2145</v>
      </c>
      <c r="Z32" s="1491">
        <f t="shared" si="13"/>
        <v>111</v>
      </c>
      <c r="AA32" s="1488">
        <f t="shared" si="3"/>
        <v>1</v>
      </c>
      <c r="AB32" s="1488">
        <f t="shared" si="4"/>
        <v>1</v>
      </c>
      <c r="AC32" s="1488">
        <f t="shared" si="5"/>
        <v>1</v>
      </c>
    </row>
    <row r="33" spans="1:31" s="430" customFormat="1" ht="15.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2"/>
      <c r="Q33" s="1487">
        <f t="shared" si="8"/>
        <v>111</v>
      </c>
      <c r="R33" s="717" t="s">
        <v>17</v>
      </c>
      <c r="S33" s="718">
        <f t="shared" si="10"/>
        <v>100</v>
      </c>
      <c r="T33" s="717" t="s">
        <v>17</v>
      </c>
      <c r="U33" s="718">
        <f t="shared" si="11"/>
        <v>100</v>
      </c>
      <c r="V33" s="717" t="s">
        <v>17</v>
      </c>
      <c r="W33" s="718">
        <f t="shared" si="12"/>
        <v>100</v>
      </c>
      <c r="X33" s="719"/>
      <c r="Y33" s="3492"/>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2"/>
      <c r="Q34" s="1487" t="str">
        <f>B34</f>
        <v>宗地面积</v>
      </c>
      <c r="R34" s="714" t="s">
        <v>17</v>
      </c>
      <c r="S34" s="715" t="e">
        <f t="shared" si="10"/>
        <v>#N/A</v>
      </c>
      <c r="T34" s="714" t="s">
        <v>17</v>
      </c>
      <c r="U34" s="715" t="e">
        <f t="shared" si="11"/>
        <v>#N/A</v>
      </c>
      <c r="V34" s="714" t="s">
        <v>17</v>
      </c>
      <c r="W34" s="715" t="e">
        <f t="shared" si="12"/>
        <v>#N/A</v>
      </c>
      <c r="X34" s="1490"/>
      <c r="Y34" s="3492"/>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2"/>
      <c r="Q35" s="1487" t="str">
        <f t="shared" ref="Q35:Q40" si="14">B35</f>
        <v>宗地形状</v>
      </c>
      <c r="R35" s="714" t="s">
        <v>17</v>
      </c>
      <c r="S35" s="715">
        <f t="shared" si="10"/>
        <v>100</v>
      </c>
      <c r="T35" s="714" t="s">
        <v>17</v>
      </c>
      <c r="U35" s="715">
        <f t="shared" si="11"/>
        <v>100</v>
      </c>
      <c r="V35" s="714" t="s">
        <v>17</v>
      </c>
      <c r="W35" s="715">
        <f t="shared" si="12"/>
        <v>100</v>
      </c>
      <c r="X35" s="1490"/>
      <c r="Y35" s="3492"/>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2"/>
      <c r="Q36" s="1487"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2" t="s">
        <v>2145</v>
      </c>
      <c r="Q37" s="1487" t="str">
        <f t="shared" si="14"/>
        <v>工程地质条件</v>
      </c>
      <c r="R37" s="714" t="s">
        <v>17</v>
      </c>
      <c r="S37" s="715">
        <f t="shared" si="10"/>
        <v>100</v>
      </c>
      <c r="T37" s="714" t="s">
        <v>17</v>
      </c>
      <c r="U37" s="715">
        <f t="shared" si="11"/>
        <v>100</v>
      </c>
      <c r="V37" s="714" t="s">
        <v>17</v>
      </c>
      <c r="W37" s="715">
        <f t="shared" si="12"/>
        <v>100</v>
      </c>
      <c r="X37" s="1490"/>
      <c r="Y37" s="3492"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2"/>
      <c r="Q38" s="1487">
        <f t="shared" si="14"/>
        <v>111</v>
      </c>
      <c r="R38" s="714" t="s">
        <v>17</v>
      </c>
      <c r="S38" s="715">
        <f t="shared" si="10"/>
        <v>100</v>
      </c>
      <c r="T38" s="714" t="s">
        <v>17</v>
      </c>
      <c r="U38" s="715">
        <f t="shared" si="11"/>
        <v>100</v>
      </c>
      <c r="V38" s="714" t="s">
        <v>17</v>
      </c>
      <c r="W38" s="715">
        <f t="shared" si="12"/>
        <v>100</v>
      </c>
      <c r="X38" s="1490"/>
      <c r="Y38" s="349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2"/>
      <c r="Q39" s="1487">
        <f t="shared" si="14"/>
        <v>111</v>
      </c>
      <c r="R39" s="714" t="s">
        <v>17</v>
      </c>
      <c r="S39" s="715">
        <f t="shared" si="10"/>
        <v>100</v>
      </c>
      <c r="T39" s="714" t="s">
        <v>17</v>
      </c>
      <c r="U39" s="715">
        <f t="shared" si="11"/>
        <v>100</v>
      </c>
      <c r="V39" s="714" t="s">
        <v>17</v>
      </c>
      <c r="W39" s="715">
        <f t="shared" si="12"/>
        <v>100</v>
      </c>
      <c r="X39" s="1490"/>
      <c r="Y39" s="3492"/>
      <c r="Z39" s="1491">
        <f t="shared" si="13"/>
        <v>111</v>
      </c>
      <c r="AA39" s="1488">
        <f t="shared" si="3"/>
        <v>1</v>
      </c>
      <c r="AB39" s="1488">
        <f t="shared" si="4"/>
        <v>1</v>
      </c>
      <c r="AC39" s="1488">
        <f t="shared" si="5"/>
        <v>1</v>
      </c>
    </row>
    <row r="40" spans="1:31" s="430" customFormat="1" ht="15.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2"/>
      <c r="Q40" s="1487">
        <f t="shared" si="14"/>
        <v>111</v>
      </c>
      <c r="R40" s="717" t="s">
        <v>17</v>
      </c>
      <c r="S40" s="718">
        <f t="shared" si="10"/>
        <v>100</v>
      </c>
      <c r="T40" s="717" t="s">
        <v>17</v>
      </c>
      <c r="U40" s="718">
        <f t="shared" si="11"/>
        <v>100</v>
      </c>
      <c r="V40" s="717" t="s">
        <v>17</v>
      </c>
      <c r="W40" s="718">
        <f t="shared" si="12"/>
        <v>100</v>
      </c>
      <c r="X40" s="719"/>
      <c r="Y40" s="3492"/>
      <c r="Z40" s="720">
        <f t="shared" si="13"/>
        <v>111</v>
      </c>
      <c r="AA40" s="1488">
        <f t="shared" si="3"/>
        <v>1</v>
      </c>
      <c r="AB40" s="1488">
        <f t="shared" si="4"/>
        <v>1</v>
      </c>
      <c r="AC40" s="1488">
        <f t="shared" si="5"/>
        <v>1</v>
      </c>
    </row>
    <row r="41" spans="1:31" ht="14.4">
      <c r="A41" s="438" t="s">
        <v>2300</v>
      </c>
      <c r="B41" s="2119" t="s">
        <v>2379</v>
      </c>
      <c r="C41" s="638" t="s">
        <v>1</v>
      </c>
      <c r="D41" s="440"/>
      <c r="E41" s="441"/>
      <c r="F41" s="442"/>
      <c r="G41" s="443"/>
      <c r="H41" s="444"/>
      <c r="I41" s="441"/>
      <c r="J41" s="444"/>
      <c r="K41" s="723"/>
      <c r="L41" s="2903"/>
      <c r="M41" s="2895"/>
      <c r="N41" s="2895"/>
      <c r="O41" s="2904"/>
      <c r="P41" s="3485" t="str">
        <f>A41</f>
        <v>成交单价</v>
      </c>
      <c r="Q41" s="3485"/>
      <c r="R41" s="3480">
        <f>E41</f>
        <v>0</v>
      </c>
      <c r="S41" s="3480"/>
      <c r="T41" s="3480">
        <f>G41</f>
        <v>0</v>
      </c>
      <c r="U41" s="3480"/>
      <c r="V41" s="3480">
        <f>I41</f>
        <v>0</v>
      </c>
      <c r="W41" s="3480"/>
      <c r="X41" s="699"/>
      <c r="Y41" s="721"/>
      <c r="Z41" s="699"/>
      <c r="AA41" s="699"/>
      <c r="AB41" s="699"/>
      <c r="AC41" s="699"/>
    </row>
    <row r="42" spans="1:31" ht="1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5" t="str">
        <f>A42</f>
        <v>比较价值（元/平方米）</v>
      </c>
      <c r="Q42" s="3485"/>
      <c r="R42" s="3513" t="e">
        <f>ROUND(PRODUCT(R41,AA7:AA40),0)</f>
        <v>#DIV/0!</v>
      </c>
      <c r="S42" s="3513"/>
      <c r="T42" s="3513" t="e">
        <f>ROUND(PRODUCT(T41,AB7:AB40),0)</f>
        <v>#DIV/0!</v>
      </c>
      <c r="U42" s="3513"/>
      <c r="V42" s="3513" t="e">
        <f>ROUND(PRODUCT(V41,AC7:AC40),0)</f>
        <v>#DIV/0!</v>
      </c>
      <c r="W42" s="3513"/>
      <c r="X42" s="699"/>
      <c r="Y42" s="699"/>
      <c r="Z42" s="699"/>
      <c r="AA42" s="699"/>
      <c r="AB42" s="699"/>
      <c r="AC42" s="699"/>
    </row>
    <row r="43" spans="1:31" ht="15" thickBot="1">
      <c r="A43" s="449" t="s">
        <v>2250</v>
      </c>
      <c r="B43" s="450"/>
      <c r="C43" s="451" t="e">
        <f>R43</f>
        <v>#DIV/0!</v>
      </c>
      <c r="D43" s="451"/>
      <c r="E43" s="451"/>
      <c r="F43" s="451"/>
      <c r="G43" s="451"/>
      <c r="H43" s="451"/>
      <c r="I43" s="451"/>
      <c r="J43" s="451"/>
      <c r="K43" s="724"/>
      <c r="L43" s="2903"/>
      <c r="M43" s="2895"/>
      <c r="N43" s="2895"/>
      <c r="O43" s="2904"/>
      <c r="P43" s="3482" t="str">
        <f>A43</f>
        <v>估价对象XX用房的比较价值（楼面单价，元/平方米）</v>
      </c>
      <c r="Q43" s="3483"/>
      <c r="R43" s="3514" t="e">
        <f>ROUND(IF(D42="简单平均",AVERAGE(R42:W42),R42*F42+T42*H42+V42*J42),0)</f>
        <v>#DIV/0!</v>
      </c>
      <c r="S43" s="3514"/>
      <c r="T43" s="3514"/>
      <c r="U43" s="3514"/>
      <c r="V43" s="3514"/>
      <c r="W43" s="3514"/>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4"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8">
      <c r="A50" s="640" t="s">
        <v>2338</v>
      </c>
      <c r="B50" s="641" t="s">
        <v>2339</v>
      </c>
      <c r="C50" s="2120" t="s">
        <v>2340</v>
      </c>
      <c r="D50" s="2121" t="s">
        <v>2341</v>
      </c>
      <c r="E50" s="642" t="s">
        <v>2342</v>
      </c>
      <c r="F50" s="643" t="s">
        <v>2343</v>
      </c>
      <c r="G50" s="3468" t="s">
        <v>2344</v>
      </c>
      <c r="H50" s="3515"/>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11798.5</v>
      </c>
      <c r="F51" s="647" t="e">
        <f t="shared" ref="F51:F60" si="15">ROUND(B51*E51/10000,0)</f>
        <v>#DIV/0!</v>
      </c>
      <c r="G51" s="3467"/>
      <c r="H51" s="3485"/>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4"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4" thickBot="1">
      <c r="A61" s="651" t="s">
        <v>2360</v>
      </c>
      <c r="B61" s="652" t="s">
        <v>28</v>
      </c>
      <c r="C61" s="652" t="s">
        <v>29</v>
      </c>
      <c r="D61" s="652" t="s">
        <v>816</v>
      </c>
      <c r="E61" s="652">
        <f>IF(B41="楼面地价",SUM(E51:E60),'数据-汇总表'!D3)</f>
        <v>41059.64</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2.2"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4.4">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4.4">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4"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ht="14.4">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4"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9.4"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4"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4"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4"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4"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4"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4"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4"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4"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ht="14.4">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4"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4"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9.4"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4"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9.4"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4"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4"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4"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4"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9.4"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4"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4"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4"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4"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4"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4"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4"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4"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ht="14.4">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4"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4"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4"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4"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4"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4"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4"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4"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4"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4"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201" customWidth="1"/>
    <col min="2" max="2" width="19.21875" style="2304" customWidth="1"/>
    <col min="3" max="4" width="12" style="2135"/>
    <col min="5" max="5" width="14.6640625" style="2135" customWidth="1"/>
    <col min="6" max="8" width="12" style="2135"/>
    <col min="9" max="9" width="12.21875" style="2135" bestFit="1" customWidth="1"/>
    <col min="10" max="10" width="12" style="2135"/>
    <col min="11" max="11" width="8.109375" style="2196" customWidth="1"/>
    <col min="12" max="12" width="12" style="2135"/>
    <col min="13" max="13" width="8.44140625" style="2135" customWidth="1"/>
    <col min="14" max="14" width="9.77734375" style="2135" customWidth="1"/>
    <col min="15" max="25" width="12" style="2135"/>
    <col min="26" max="26" width="9.33203125" style="2201" customWidth="1"/>
    <col min="27" max="32" width="9.33203125" style="1235" customWidth="1"/>
    <col min="33" max="36" width="9.33203125" style="2201" customWidth="1"/>
    <col min="37" max="38" width="9.33203125" style="2135" customWidth="1"/>
    <col min="39" max="16384" width="12" style="2135"/>
  </cols>
  <sheetData>
    <row r="1" spans="1:36" ht="31.2">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6">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6">
      <c r="A3" s="209" t="s">
        <v>2397</v>
      </c>
      <c r="B3" s="210" t="e">
        <f>ROUND(B2*10000/D1,0)</f>
        <v>#DIV/0!</v>
      </c>
      <c r="C3" s="2136" t="s">
        <v>2398</v>
      </c>
      <c r="D3" s="2137" t="s">
        <v>2399</v>
      </c>
      <c r="E3" s="2142"/>
      <c r="F3" s="2143" t="s">
        <v>2400</v>
      </c>
      <c r="G3" s="837">
        <f>IF(F3="宗地容积率",'数据-汇总表'!I4,IF(F3="估价对象容积率",'数据-汇总表'!I6,'数据-汇总表'!I7))</f>
        <v>0.28999999999999998</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6">
      <c r="A4" s="3539"/>
      <c r="B4" s="3540"/>
      <c r="C4" s="3540"/>
      <c r="D4" s="3541"/>
      <c r="E4" s="3541"/>
      <c r="F4" s="3541"/>
      <c r="G4" s="3541"/>
      <c r="H4" s="3541"/>
      <c r="I4" s="3541"/>
      <c r="J4" s="3542"/>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6"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6"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0"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0.28999999999999998</v>
      </c>
      <c r="AA7" s="1331"/>
      <c r="AB7" s="1331"/>
      <c r="AC7" s="1332"/>
      <c r="AD7" s="1333"/>
      <c r="AE7" s="1333"/>
      <c r="AF7" s="1333"/>
      <c r="AG7" s="1333"/>
      <c r="AH7" s="1333"/>
      <c r="AI7" s="1333"/>
      <c r="AJ7" s="1334"/>
    </row>
    <row r="8" spans="1:36" ht="15">
      <c r="A8" s="3543"/>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6" t="s">
        <v>2419</v>
      </c>
      <c r="X8" s="3537"/>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3"/>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8"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3"/>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6" thickBot="1">
      <c r="A11" s="3543"/>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8" t="s">
        <v>2443</v>
      </c>
      <c r="X11" s="1339" t="s">
        <v>2444</v>
      </c>
      <c r="Y11" s="1340">
        <f>$G$3</f>
        <v>0.28999999999999998</v>
      </c>
      <c r="Z11" s="1340">
        <f t="shared" ref="Z11:AJ11" si="3">$G$3</f>
        <v>0.28999999999999998</v>
      </c>
      <c r="AA11" s="1340">
        <f t="shared" si="3"/>
        <v>0.28999999999999998</v>
      </c>
      <c r="AB11" s="1340">
        <f t="shared" si="3"/>
        <v>0.28999999999999998</v>
      </c>
      <c r="AC11" s="1340">
        <f t="shared" si="3"/>
        <v>0.28999999999999998</v>
      </c>
      <c r="AD11" s="1340">
        <f t="shared" si="3"/>
        <v>0.28999999999999998</v>
      </c>
      <c r="AE11" s="1340">
        <f t="shared" si="3"/>
        <v>0.28999999999999998</v>
      </c>
      <c r="AF11" s="1340">
        <f t="shared" si="3"/>
        <v>0.28999999999999998</v>
      </c>
      <c r="AG11" s="1340">
        <f t="shared" si="3"/>
        <v>0.28999999999999998</v>
      </c>
      <c r="AH11" s="1340">
        <f t="shared" si="3"/>
        <v>0.28999999999999998</v>
      </c>
      <c r="AI11" s="1340">
        <f t="shared" si="3"/>
        <v>0.28999999999999998</v>
      </c>
      <c r="AJ11" s="1340">
        <f t="shared" si="3"/>
        <v>0.28999999999999998</v>
      </c>
    </row>
    <row r="12" spans="1:36" ht="25.8" thickBot="1">
      <c r="A12" s="3520"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8"/>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4"/>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8"/>
      <c r="X13" s="1341"/>
      <c r="Y13" s="1338">
        <f>(-0.163*(Y12^2)-0.59*Y12+7617)*(10^(-4))/Y11</f>
        <v>2.6265517241379315</v>
      </c>
      <c r="Z13" s="1338">
        <f t="shared" ref="Z13:AJ13" si="5">(-0.163*(Z12^2)-0.59*Z12+7617)*(10^(-4))/Z11</f>
        <v>2.6265517241379315</v>
      </c>
      <c r="AA13" s="1338">
        <f t="shared" si="5"/>
        <v>2.6265517241379315</v>
      </c>
      <c r="AB13" s="1338">
        <f t="shared" si="5"/>
        <v>2.6265517241379315</v>
      </c>
      <c r="AC13" s="1338">
        <f t="shared" si="5"/>
        <v>2.6265517241379315</v>
      </c>
      <c r="AD13" s="1338">
        <f t="shared" si="5"/>
        <v>2.6265517241379315</v>
      </c>
      <c r="AE13" s="1338">
        <f t="shared" si="5"/>
        <v>2.6265517241379315</v>
      </c>
      <c r="AF13" s="1338">
        <f t="shared" si="5"/>
        <v>2.6265517241379315</v>
      </c>
      <c r="AG13" s="1338">
        <f t="shared" si="5"/>
        <v>2.6265517241379315</v>
      </c>
      <c r="AH13" s="1338">
        <f t="shared" si="5"/>
        <v>2.6265517241379315</v>
      </c>
      <c r="AI13" s="1338">
        <f t="shared" si="5"/>
        <v>2.6265517241379315</v>
      </c>
      <c r="AJ13" s="1338">
        <f t="shared" si="5"/>
        <v>2.6265517241379315</v>
      </c>
    </row>
    <row r="14" spans="1:36" ht="15">
      <c r="A14" s="3544"/>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6" thickBot="1">
      <c r="A15" s="3545"/>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0" t="s">
        <v>2462</v>
      </c>
      <c r="B16" s="2160" t="s">
        <v>2463</v>
      </c>
      <c r="C16" s="2322" t="e">
        <f>ROUND(IF(F17="与级别开发程度一致",0,(G17-E17)/C17),0)</f>
        <v>#DIV/0!</v>
      </c>
      <c r="D16" s="3533" t="s">
        <v>2467</v>
      </c>
      <c r="E16" s="3534"/>
      <c r="F16" s="3533" t="s">
        <v>2464</v>
      </c>
      <c r="G16" s="3534"/>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8" thickBot="1">
      <c r="A17" s="3521"/>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9.4"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44889</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9.4"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4">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4">
      <c r="A22" s="2092" t="s">
        <v>2484</v>
      </c>
      <c r="B22" s="2219" t="s">
        <v>2485</v>
      </c>
      <c r="C22" s="1487" t="s">
        <v>2486</v>
      </c>
      <c r="D22" s="1487">
        <f>IF(E22=G22,F22,IF(G3&lt;=10,ROUND(F22+(H22-F22)*(G3-E22)/(G22-E22),4),"——"))</f>
        <v>0</v>
      </c>
      <c r="E22" s="837">
        <f>ROUNDDOWN(G3,1)</f>
        <v>0.2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0.30000000000000004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9.4"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4">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8"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3.8">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36">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0"/>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5"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3.8">
      <c r="A34" s="3531"/>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1"/>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8" thickBot="1">
      <c r="A36" s="3532"/>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2"/>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8"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4">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4">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5.2">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2.8">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66">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0.4">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36">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4">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4">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40.200000000000003"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4">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5.2">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2.8">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66">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0.4">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36">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4">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4">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40.200000000000003"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4">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5.2">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6">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66">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3.8">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4">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4">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36">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9.6">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36.6"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4">
      <c r="A79" s="2276" t="s">
        <v>2546</v>
      </c>
      <c r="B79" s="2277">
        <f>1+E81</f>
        <v>1</v>
      </c>
      <c r="C79" s="753"/>
      <c r="D79" s="753"/>
      <c r="E79" s="754"/>
      <c r="F79" s="2279"/>
      <c r="G79" s="6"/>
      <c r="H79" s="6"/>
      <c r="I79" s="6"/>
      <c r="J79" s="7"/>
      <c r="K79" s="7"/>
      <c r="L79" s="7"/>
      <c r="M79" s="7"/>
      <c r="N79" s="7"/>
      <c r="Z79" s="2135"/>
      <c r="AA79" s="2201"/>
      <c r="AG79" s="1235"/>
      <c r="AK79" s="2201"/>
    </row>
    <row r="80" spans="1:37" ht="25.2">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9.6">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66">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3.8">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4">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4">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36">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3.4"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2" t="s">
        <v>2550</v>
      </c>
      <c r="B90" s="3522"/>
      <c r="C90" s="3522"/>
      <c r="D90" s="3522"/>
      <c r="E90" s="3522"/>
      <c r="F90" s="3522"/>
      <c r="G90" s="3522"/>
      <c r="H90" s="3522"/>
      <c r="I90" s="3522"/>
      <c r="J90" s="3522"/>
      <c r="K90" s="2294"/>
      <c r="L90" s="2294"/>
      <c r="M90" s="2294"/>
      <c r="N90" s="2294"/>
    </row>
    <row r="91" spans="1:37">
      <c r="A91" s="3524" t="s">
        <v>2551</v>
      </c>
      <c r="B91" s="3524" t="s">
        <v>2552</v>
      </c>
      <c r="C91" s="2248" t="s">
        <v>2553</v>
      </c>
      <c r="D91" s="2249"/>
      <c r="E91" s="2249"/>
      <c r="F91" s="2249"/>
      <c r="G91" s="2249"/>
      <c r="H91" s="2249"/>
      <c r="I91" s="2249"/>
      <c r="J91" s="2295"/>
      <c r="K91" s="2296"/>
      <c r="L91" s="2296"/>
      <c r="M91" s="2296"/>
      <c r="N91" s="2296"/>
    </row>
    <row r="92" spans="1:37">
      <c r="A92" s="3524"/>
      <c r="B92" s="3524"/>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5"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6"/>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6"/>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6"/>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6"/>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6"/>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6"/>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7"/>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5" t="s">
        <v>2555</v>
      </c>
      <c r="B101" s="2301" t="s">
        <v>2556</v>
      </c>
      <c r="C101" s="2302">
        <f>$G$3</f>
        <v>0.28999999999999998</v>
      </c>
      <c r="D101" s="2302">
        <f t="shared" ref="D101:N101" si="31">$G$3</f>
        <v>0.28999999999999998</v>
      </c>
      <c r="E101" s="2302">
        <f t="shared" si="31"/>
        <v>0.28999999999999998</v>
      </c>
      <c r="F101" s="2302">
        <f t="shared" si="31"/>
        <v>0.28999999999999998</v>
      </c>
      <c r="G101" s="2302">
        <f t="shared" si="31"/>
        <v>0.28999999999999998</v>
      </c>
      <c r="H101" s="2302">
        <f t="shared" si="31"/>
        <v>0.28999999999999998</v>
      </c>
      <c r="I101" s="2302">
        <f t="shared" si="31"/>
        <v>0.28999999999999998</v>
      </c>
      <c r="J101" s="2302">
        <f t="shared" si="31"/>
        <v>0.28999999999999998</v>
      </c>
      <c r="K101" s="2302">
        <f t="shared" si="31"/>
        <v>0.28999999999999998</v>
      </c>
      <c r="L101" s="2302">
        <f t="shared" si="31"/>
        <v>0.28999999999999998</v>
      </c>
      <c r="M101" s="2302">
        <f t="shared" si="31"/>
        <v>0.28999999999999998</v>
      </c>
      <c r="N101" s="2302">
        <f t="shared" si="31"/>
        <v>0.28999999999999998</v>
      </c>
    </row>
    <row r="102" spans="1:14">
      <c r="A102" s="3526"/>
      <c r="B102" s="2297">
        <v>1</v>
      </c>
      <c r="C102" s="2298">
        <f>1.9362/C101</f>
        <v>6.6765517241379309</v>
      </c>
      <c r="D102" s="2298">
        <f>1.9362/D101</f>
        <v>6.6765517241379309</v>
      </c>
      <c r="E102" s="2298">
        <f>1.8629/E101</f>
        <v>6.4237931034482765</v>
      </c>
      <c r="F102" s="2298">
        <f>1.8629/F101</f>
        <v>6.4237931034482765</v>
      </c>
      <c r="G102" s="2298">
        <f>1.8629/G101</f>
        <v>6.4237931034482765</v>
      </c>
      <c r="H102" s="2298">
        <f>1.8629/H101</f>
        <v>6.4237931034482765</v>
      </c>
      <c r="I102" s="2298">
        <f>1.8629/I101</f>
        <v>6.4237931034482765</v>
      </c>
      <c r="J102" s="2298">
        <f>1.942/J101</f>
        <v>6.6965517241379313</v>
      </c>
      <c r="K102" s="2298">
        <f>1.942/K101</f>
        <v>6.6965517241379313</v>
      </c>
      <c r="L102" s="2298">
        <f>1.942/L101</f>
        <v>6.6965517241379313</v>
      </c>
      <c r="M102" s="2298">
        <f>1.942/M101</f>
        <v>6.6965517241379313</v>
      </c>
      <c r="N102" s="2298">
        <f>1.942/N101</f>
        <v>6.6965517241379313</v>
      </c>
    </row>
    <row r="103" spans="1:14">
      <c r="A103" s="3526"/>
      <c r="B103" s="2297">
        <v>2</v>
      </c>
      <c r="C103" s="2298">
        <f>1.4198/C101</f>
        <v>4.895862068965517</v>
      </c>
      <c r="D103" s="2298">
        <f>1.4198/D101</f>
        <v>4.895862068965517</v>
      </c>
      <c r="E103" s="2298">
        <f>1.3372/E101</f>
        <v>4.6110344827586207</v>
      </c>
      <c r="F103" s="2298">
        <f>1.3372/F101</f>
        <v>4.6110344827586207</v>
      </c>
      <c r="G103" s="2298">
        <f>1.3372/G101</f>
        <v>4.6110344827586207</v>
      </c>
      <c r="H103" s="2298">
        <f>1.3372/H101</f>
        <v>4.6110344827586207</v>
      </c>
      <c r="I103" s="2298">
        <f>1.3372/I101</f>
        <v>4.6110344827586207</v>
      </c>
      <c r="J103" s="2298">
        <f>1.2799/J101</f>
        <v>4.413448275862069</v>
      </c>
      <c r="K103" s="2298">
        <f>1.2799/K101</f>
        <v>4.413448275862069</v>
      </c>
      <c r="L103" s="2298">
        <f>1.2799/L101</f>
        <v>4.413448275862069</v>
      </c>
      <c r="M103" s="2298">
        <f>1.2799/M101</f>
        <v>4.413448275862069</v>
      </c>
      <c r="N103" s="2298">
        <f>1.2799/N101</f>
        <v>4.413448275862069</v>
      </c>
    </row>
    <row r="104" spans="1:14">
      <c r="A104" s="3526"/>
      <c r="B104" s="2297">
        <v>3</v>
      </c>
      <c r="C104" s="2298">
        <f>1.1594/C101</f>
        <v>3.9979310344827588</v>
      </c>
      <c r="D104" s="2298">
        <f>1.1594/D101</f>
        <v>3.9979310344827588</v>
      </c>
      <c r="E104" s="2298">
        <f>1.0788/E101</f>
        <v>3.72</v>
      </c>
      <c r="F104" s="2298">
        <f>1.0788/F101</f>
        <v>3.72</v>
      </c>
      <c r="G104" s="2298">
        <f>1.0788/G101</f>
        <v>3.72</v>
      </c>
      <c r="H104" s="2298">
        <f>1.0788/H101</f>
        <v>3.72</v>
      </c>
      <c r="I104" s="2298">
        <f>1.0788/I101</f>
        <v>3.72</v>
      </c>
      <c r="J104" s="2298">
        <f>1.0072/J101</f>
        <v>3.4731034482758627</v>
      </c>
      <c r="K104" s="2298">
        <f>1.0072/K101</f>
        <v>3.4731034482758627</v>
      </c>
      <c r="L104" s="2298">
        <f>1.0072/L101</f>
        <v>3.4731034482758627</v>
      </c>
      <c r="M104" s="2298">
        <f>1.0072/M101</f>
        <v>3.4731034482758627</v>
      </c>
      <c r="N104" s="2298">
        <f>1.0072/N101</f>
        <v>3.4731034482758627</v>
      </c>
    </row>
    <row r="105" spans="1:14">
      <c r="A105" s="3526"/>
      <c r="B105" s="2297">
        <v>4</v>
      </c>
      <c r="C105" s="2298">
        <f>0.9622/C101</f>
        <v>3.3179310344827591</v>
      </c>
      <c r="D105" s="2298">
        <f>0.9622/D101</f>
        <v>3.3179310344827591</v>
      </c>
      <c r="E105" s="2298">
        <f>0.8656/E101</f>
        <v>2.9848275862068969</v>
      </c>
      <c r="F105" s="2298">
        <f>0.8656/F101</f>
        <v>2.9848275862068969</v>
      </c>
      <c r="G105" s="2298">
        <f>0.8656/G101</f>
        <v>2.9848275862068969</v>
      </c>
      <c r="H105" s="2298">
        <f>0.8656/H101</f>
        <v>2.9848275862068969</v>
      </c>
      <c r="I105" s="2298">
        <f>0.8656/I101</f>
        <v>2.9848275862068969</v>
      </c>
      <c r="J105" s="2298">
        <f>0.7525/J101</f>
        <v>2.5948275862068964</v>
      </c>
      <c r="K105" s="2298">
        <f>0.7525/K101</f>
        <v>2.5948275862068964</v>
      </c>
      <c r="L105" s="2298">
        <f>0.7525/L101</f>
        <v>2.5948275862068964</v>
      </c>
      <c r="M105" s="2298">
        <f>0.7525/M101</f>
        <v>2.5948275862068964</v>
      </c>
      <c r="N105" s="2298">
        <f>0.7525/N101</f>
        <v>2.5948275862068964</v>
      </c>
    </row>
    <row r="106" spans="1:14">
      <c r="A106" s="3526"/>
      <c r="B106" s="2297">
        <v>5</v>
      </c>
      <c r="C106" s="2298">
        <f>0.8417/C101</f>
        <v>2.9024137931034484</v>
      </c>
      <c r="D106" s="2298">
        <f>0.8417/D101</f>
        <v>2.9024137931034484</v>
      </c>
      <c r="E106" s="2298">
        <f>0.7371/E101</f>
        <v>2.5417241379310345</v>
      </c>
      <c r="F106" s="2298">
        <f>0.7371/F101</f>
        <v>2.5417241379310345</v>
      </c>
      <c r="G106" s="2298">
        <f>0.7371/G101</f>
        <v>2.5417241379310345</v>
      </c>
      <c r="H106" s="2298">
        <f>0.7371/H101</f>
        <v>2.5417241379310345</v>
      </c>
      <c r="I106" s="2298">
        <f>0.7371/I101</f>
        <v>2.5417241379310345</v>
      </c>
      <c r="J106" s="2298">
        <f>0.5659/J101</f>
        <v>1.9513793103448276</v>
      </c>
      <c r="K106" s="2298">
        <f>0.5659/K101</f>
        <v>1.9513793103448276</v>
      </c>
      <c r="L106" s="2298">
        <f>0.5659/L101</f>
        <v>1.9513793103448276</v>
      </c>
      <c r="M106" s="2298">
        <f>0.5659/M101</f>
        <v>1.9513793103448276</v>
      </c>
      <c r="N106" s="2298">
        <f>0.5659/N101</f>
        <v>1.9513793103448276</v>
      </c>
    </row>
    <row r="107" spans="1:14">
      <c r="A107" s="3526"/>
      <c r="B107" s="2297">
        <v>6</v>
      </c>
      <c r="C107" s="2298">
        <f>0.7608/C101</f>
        <v>2.6234482758620694</v>
      </c>
      <c r="D107" s="2298">
        <f>0.7608/D101</f>
        <v>2.6234482758620694</v>
      </c>
      <c r="E107" s="2298">
        <f>0.6482/E101</f>
        <v>2.2351724137931037</v>
      </c>
      <c r="F107" s="2298">
        <f>0.6482/F101</f>
        <v>2.2351724137931037</v>
      </c>
      <c r="G107" s="2298">
        <f>0.6482/G101</f>
        <v>2.2351724137931037</v>
      </c>
      <c r="H107" s="2298">
        <f>0.6482/H101</f>
        <v>2.2351724137931037</v>
      </c>
      <c r="I107" s="2298">
        <f>0.6482/I101</f>
        <v>2.2351724137931037</v>
      </c>
      <c r="J107" s="2298">
        <f>0.4525/J101</f>
        <v>1.5603448275862071</v>
      </c>
      <c r="K107" s="2298">
        <f>0.4525/K101</f>
        <v>1.5603448275862071</v>
      </c>
      <c r="L107" s="2298">
        <f>0.4525/L101</f>
        <v>1.5603448275862071</v>
      </c>
      <c r="M107" s="2298">
        <f>0.4525/M101</f>
        <v>1.5603448275862071</v>
      </c>
      <c r="N107" s="2298">
        <f>0.4525/N101</f>
        <v>1.5603448275862071</v>
      </c>
    </row>
    <row r="108" spans="1:14">
      <c r="A108" s="3526"/>
      <c r="B108" s="3528"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7"/>
      <c r="B109" s="3529"/>
      <c r="C109" s="2300">
        <f>(-0.163*(C108^2)-0.59*C108+7617)*(10^(-4))/C101</f>
        <v>2.6265517241379315</v>
      </c>
      <c r="D109" s="2300">
        <f>(-0.163*(D108^2)-0.59*D108+7617)*(10^(-4))/D101</f>
        <v>2.6265517241379315</v>
      </c>
      <c r="E109" s="2300">
        <f>(-0.161*(E108^2)-7.509*E108+6533)*(10^(-4))/E101</f>
        <v>2.2527586206896553</v>
      </c>
      <c r="F109" s="2300">
        <f>(-0.161*(F108^2)-7.509*F108+6533)*(10^(-4))/F101</f>
        <v>2.2527586206896553</v>
      </c>
      <c r="G109" s="2300">
        <f>(-0.161*(G108^2)-7.509*G108+6533)*(10^(-4))/G101</f>
        <v>2.2527586206896553</v>
      </c>
      <c r="H109" s="2300">
        <f>(-0.161*(H108^2)-7.509*H108+6533)*(10^(-4))/H101</f>
        <v>2.2527586206896553</v>
      </c>
      <c r="I109" s="2300">
        <f>(-0.161*(I108^2)-7.509*I108+6533)*(10^(-4))/I101</f>
        <v>2.2527586206896553</v>
      </c>
      <c r="J109" s="2300">
        <f>(-0.214*(J108^2)-21.991*J108+4665)*(10^(-4))/J101</f>
        <v>1.6086206896551727</v>
      </c>
      <c r="K109" s="2300">
        <f>(-0.214*(K108^2)-21.991*K108+4665)*(10^(-4))/K101</f>
        <v>1.6086206896551727</v>
      </c>
      <c r="L109" s="2300">
        <f>(-0.214*(L108^2)-21.991*L108+4665)*(10^(-4))/L101</f>
        <v>1.6086206896551727</v>
      </c>
      <c r="M109" s="2300">
        <f>(-0.214*(M108^2)-21.991*M108+4665)*(10^(-4))/M101</f>
        <v>1.6086206896551727</v>
      </c>
      <c r="N109" s="2300">
        <f>(-0.214*(N108^2)-21.991*N108+4665)*(10^(-4))/N101</f>
        <v>1.6086206896551727</v>
      </c>
    </row>
    <row r="110" spans="1:14">
      <c r="A110" s="3523" t="s">
        <v>2558</v>
      </c>
      <c r="B110" s="3523"/>
      <c r="C110" s="3523"/>
      <c r="D110" s="3523"/>
      <c r="E110" s="3523"/>
      <c r="F110" s="3523"/>
      <c r="G110" s="3523"/>
      <c r="H110" s="3523"/>
      <c r="I110" s="3523"/>
      <c r="J110" s="3523"/>
      <c r="K110" s="2303"/>
      <c r="L110" s="2303"/>
      <c r="M110" s="2303"/>
      <c r="N110" s="2303"/>
    </row>
    <row r="112" spans="1:14" ht="13.8" thickBot="1"/>
    <row r="113" spans="1:13" ht="25.8" thickBot="1">
      <c r="A113" s="824" t="s">
        <v>2559</v>
      </c>
      <c r="B113" s="1178">
        <f>G3</f>
        <v>0.28999999999999998</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0.93079999999999996</v>
      </c>
      <c r="C115" s="831">
        <f>B115</f>
        <v>0.93079999999999996</v>
      </c>
      <c r="D115" s="831">
        <f>ROUND(0.8331-0.0109*B113,4)</f>
        <v>0.82989999999999997</v>
      </c>
      <c r="E115" s="831">
        <f>D115</f>
        <v>0.82989999999999997</v>
      </c>
      <c r="F115" s="831">
        <f>E115</f>
        <v>0.82989999999999997</v>
      </c>
      <c r="G115" s="831">
        <f>F115</f>
        <v>0.82989999999999997</v>
      </c>
      <c r="H115" s="831">
        <f>G115</f>
        <v>0.82989999999999997</v>
      </c>
      <c r="I115" s="831">
        <f>ROUND(0.689-0.0155*B113,4)</f>
        <v>0.6845</v>
      </c>
      <c r="J115" s="831">
        <f t="shared" ref="J115:M118" si="33">I115</f>
        <v>0.6845</v>
      </c>
      <c r="K115" s="831">
        <f t="shared" si="33"/>
        <v>0.6845</v>
      </c>
      <c r="L115" s="831">
        <f t="shared" si="33"/>
        <v>0.6845</v>
      </c>
      <c r="M115" s="832">
        <f t="shared" si="33"/>
        <v>0.6845</v>
      </c>
    </row>
    <row r="116" spans="1:13">
      <c r="A116" s="830" t="s">
        <v>2459</v>
      </c>
      <c r="B116" s="831">
        <f>ROUND(0.949-0.012*B113,4)</f>
        <v>0.94550000000000001</v>
      </c>
      <c r="C116" s="831">
        <f>B116</f>
        <v>0.94550000000000001</v>
      </c>
      <c r="D116" s="831">
        <f>ROUND(0.8567-0.013*B113,4)</f>
        <v>0.85289999999999999</v>
      </c>
      <c r="E116" s="831">
        <f t="shared" ref="E116:H117" si="34">D116</f>
        <v>0.85289999999999999</v>
      </c>
      <c r="F116" s="831">
        <f t="shared" si="34"/>
        <v>0.85289999999999999</v>
      </c>
      <c r="G116" s="831">
        <f t="shared" si="34"/>
        <v>0.85289999999999999</v>
      </c>
      <c r="H116" s="831">
        <f t="shared" si="34"/>
        <v>0.85289999999999999</v>
      </c>
      <c r="I116" s="831">
        <f>ROUND(0.7694-0.014*B113,4)</f>
        <v>0.76529999999999998</v>
      </c>
      <c r="J116" s="831">
        <f t="shared" si="33"/>
        <v>0.76529999999999998</v>
      </c>
      <c r="K116" s="831">
        <f t="shared" si="33"/>
        <v>0.76529999999999998</v>
      </c>
      <c r="L116" s="831">
        <f t="shared" si="33"/>
        <v>0.76529999999999998</v>
      </c>
      <c r="M116" s="832">
        <f t="shared" si="33"/>
        <v>0.76529999999999998</v>
      </c>
    </row>
    <row r="117" spans="1:13">
      <c r="A117" s="830" t="s">
        <v>2460</v>
      </c>
      <c r="B117" s="831">
        <f>ROUND(0.8808-0.006*B113,4)</f>
        <v>0.87909999999999999</v>
      </c>
      <c r="C117" s="831">
        <f>B117</f>
        <v>0.87909999999999999</v>
      </c>
      <c r="D117" s="831">
        <f>ROUND(0.8748-0.008*B113,4)</f>
        <v>0.87250000000000005</v>
      </c>
      <c r="E117" s="831">
        <f t="shared" si="34"/>
        <v>0.87250000000000005</v>
      </c>
      <c r="F117" s="831">
        <f t="shared" si="34"/>
        <v>0.87250000000000005</v>
      </c>
      <c r="G117" s="831">
        <f t="shared" si="34"/>
        <v>0.87250000000000005</v>
      </c>
      <c r="H117" s="831">
        <f t="shared" si="34"/>
        <v>0.87250000000000005</v>
      </c>
      <c r="I117" s="831">
        <f>ROUND(0.7412-0.0095*B113,4)</f>
        <v>0.73839999999999995</v>
      </c>
      <c r="J117" s="831">
        <f t="shared" si="33"/>
        <v>0.73839999999999995</v>
      </c>
      <c r="K117" s="831">
        <f t="shared" si="33"/>
        <v>0.73839999999999995</v>
      </c>
      <c r="L117" s="831">
        <f t="shared" si="33"/>
        <v>0.73839999999999995</v>
      </c>
      <c r="M117" s="832">
        <f t="shared" si="33"/>
        <v>0.73839999999999995</v>
      </c>
    </row>
    <row r="118" spans="1:13" ht="13.8" thickBot="1">
      <c r="A118" s="670" t="s">
        <v>2461</v>
      </c>
      <c r="B118" s="833">
        <f>ROUND(0.7275-0.01*B113,4)</f>
        <v>0.72460000000000002</v>
      </c>
      <c r="C118" s="833">
        <f>B118</f>
        <v>0.72460000000000002</v>
      </c>
      <c r="D118" s="833">
        <f>ROUND(0.7043-0.012*B113,4)</f>
        <v>0.70079999999999998</v>
      </c>
      <c r="E118" s="833">
        <f>D118</f>
        <v>0.70079999999999998</v>
      </c>
      <c r="F118" s="833">
        <f>E118</f>
        <v>0.70079999999999998</v>
      </c>
      <c r="G118" s="833">
        <f>ROUND(0.6299-0.0122*B113,4)</f>
        <v>0.62639999999999996</v>
      </c>
      <c r="H118" s="833">
        <f>G118</f>
        <v>0.62639999999999996</v>
      </c>
      <c r="I118" s="833">
        <f>ROUND(0.5667-0.0136*B113,4)</f>
        <v>0.56279999999999997</v>
      </c>
      <c r="J118" s="833">
        <f t="shared" si="33"/>
        <v>0.56279999999999997</v>
      </c>
      <c r="K118" s="833">
        <f t="shared" si="33"/>
        <v>0.56279999999999997</v>
      </c>
      <c r="L118" s="833">
        <f t="shared" si="33"/>
        <v>0.56279999999999997</v>
      </c>
      <c r="M118" s="834">
        <f t="shared" si="33"/>
        <v>0.56279999999999997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5"/>
    <col min="2" max="9" width="14.33203125" style="801"/>
    <col min="10" max="16384" width="14.33203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3" t="s">
        <v>2955</v>
      </c>
      <c r="B20" s="3546" t="s">
        <v>2956</v>
      </c>
      <c r="C20" s="3213" t="s">
        <v>2957</v>
      </c>
      <c r="D20" s="3214"/>
      <c r="E20" s="3215">
        <v>1</v>
      </c>
      <c r="F20" s="3216" t="s">
        <v>2958</v>
      </c>
      <c r="G20" s="807"/>
      <c r="H20" s="801"/>
      <c r="I20" s="801"/>
    </row>
    <row r="21" spans="1:13" s="808" customFormat="1" ht="19.5" customHeight="1">
      <c r="A21" s="3554"/>
      <c r="B21" s="3547"/>
      <c r="C21" s="805" t="s">
        <v>2959</v>
      </c>
      <c r="D21" s="806"/>
      <c r="E21" s="3217">
        <v>1</v>
      </c>
      <c r="F21" s="3216" t="s">
        <v>2960</v>
      </c>
      <c r="G21" s="807"/>
      <c r="H21" s="801"/>
      <c r="I21" s="801"/>
    </row>
    <row r="22" spans="1:13" s="808" customFormat="1" ht="19.5" customHeight="1">
      <c r="A22" s="3554"/>
      <c r="B22" s="3547"/>
      <c r="C22" s="805" t="s">
        <v>2961</v>
      </c>
      <c r="D22" s="806"/>
      <c r="E22" s="3217">
        <v>0.9</v>
      </c>
      <c r="F22" s="3216" t="s">
        <v>2962</v>
      </c>
      <c r="G22" s="807"/>
      <c r="H22" s="801"/>
      <c r="I22" s="801"/>
    </row>
    <row r="23" spans="1:13" s="808" customFormat="1" ht="19.5" customHeight="1">
      <c r="A23" s="3554"/>
      <c r="B23" s="3547"/>
      <c r="C23" s="805" t="s">
        <v>2963</v>
      </c>
      <c r="D23" s="806"/>
      <c r="E23" s="3217">
        <v>0.9</v>
      </c>
      <c r="F23" s="3216" t="s">
        <v>2964</v>
      </c>
      <c r="G23" s="807"/>
      <c r="H23" s="801"/>
      <c r="I23" s="801"/>
    </row>
    <row r="24" spans="1:13" s="808" customFormat="1" ht="19.5" customHeight="1">
      <c r="A24" s="3554"/>
      <c r="B24" s="3547"/>
      <c r="C24" s="805" t="s">
        <v>2965</v>
      </c>
      <c r="D24" s="806"/>
      <c r="E24" s="3217">
        <v>0.8</v>
      </c>
      <c r="F24" s="3216" t="s">
        <v>2966</v>
      </c>
      <c r="G24" s="807"/>
      <c r="H24" s="801"/>
      <c r="I24" s="801"/>
    </row>
    <row r="25" spans="1:13" s="808" customFormat="1" ht="19.5" customHeight="1" thickBot="1">
      <c r="A25" s="3555"/>
      <c r="B25" s="3548"/>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49" t="s">
        <v>2972</v>
      </c>
      <c r="B27" s="3546" t="s">
        <v>2972</v>
      </c>
      <c r="C27" s="3213" t="s">
        <v>2973</v>
      </c>
      <c r="D27" s="3214"/>
      <c r="E27" s="3215">
        <v>1</v>
      </c>
      <c r="F27" s="3216" t="s">
        <v>2974</v>
      </c>
      <c r="G27" s="807"/>
      <c r="H27" s="801"/>
      <c r="I27" s="801"/>
    </row>
    <row r="28" spans="1:13" s="808" customFormat="1" ht="19.5" customHeight="1">
      <c r="A28" s="3550"/>
      <c r="B28" s="3547"/>
      <c r="C28" s="805" t="s">
        <v>2975</v>
      </c>
      <c r="D28" s="806"/>
      <c r="E28" s="3217">
        <v>1</v>
      </c>
      <c r="F28" s="3216" t="s">
        <v>2976</v>
      </c>
      <c r="G28" s="807"/>
      <c r="H28" s="801"/>
      <c r="I28" s="801"/>
    </row>
    <row r="29" spans="1:13" s="808" customFormat="1" ht="19.5" customHeight="1">
      <c r="A29" s="3550"/>
      <c r="B29" s="3547"/>
      <c r="C29" s="805" t="s">
        <v>2977</v>
      </c>
      <c r="D29" s="806"/>
      <c r="E29" s="3217">
        <v>0.8</v>
      </c>
      <c r="F29" s="3216" t="s">
        <v>2978</v>
      </c>
      <c r="G29" s="807"/>
      <c r="H29" s="801"/>
      <c r="I29" s="801"/>
    </row>
    <row r="30" spans="1:13" s="808" customFormat="1" ht="19.5" customHeight="1">
      <c r="A30" s="3550"/>
      <c r="B30" s="3547"/>
      <c r="C30" s="805" t="s">
        <v>2979</v>
      </c>
      <c r="D30" s="806"/>
      <c r="E30" s="3217">
        <v>0.8</v>
      </c>
      <c r="F30" s="3216" t="s">
        <v>2980</v>
      </c>
      <c r="G30" s="807"/>
      <c r="H30" s="801"/>
      <c r="I30" s="801"/>
    </row>
    <row r="31" spans="1:13" s="808" customFormat="1" ht="19.5" customHeight="1">
      <c r="A31" s="3550"/>
      <c r="B31" s="3547"/>
      <c r="C31" s="805" t="s">
        <v>2981</v>
      </c>
      <c r="D31" s="806"/>
      <c r="E31" s="3217">
        <v>0.8</v>
      </c>
      <c r="F31" s="3216" t="s">
        <v>2982</v>
      </c>
      <c r="G31" s="807"/>
      <c r="H31" s="801"/>
      <c r="I31" s="801"/>
    </row>
    <row r="32" spans="1:13" s="808" customFormat="1" ht="19.5" customHeight="1">
      <c r="A32" s="3550"/>
      <c r="B32" s="3547"/>
      <c r="C32" s="805" t="s">
        <v>2983</v>
      </c>
      <c r="D32" s="806"/>
      <c r="E32" s="3217">
        <v>0.7</v>
      </c>
      <c r="F32" s="3216" t="s">
        <v>2984</v>
      </c>
      <c r="G32" s="807"/>
      <c r="H32" s="801"/>
      <c r="I32" s="801"/>
    </row>
    <row r="33" spans="1:9" s="808" customFormat="1" ht="19.5" customHeight="1">
      <c r="A33" s="3550"/>
      <c r="B33" s="3547"/>
      <c r="C33" s="805" t="s">
        <v>2985</v>
      </c>
      <c r="D33" s="806"/>
      <c r="E33" s="3217">
        <v>0.8</v>
      </c>
      <c r="F33" s="3216" t="s">
        <v>2986</v>
      </c>
      <c r="G33" s="807"/>
      <c r="H33" s="801"/>
      <c r="I33" s="801"/>
    </row>
    <row r="34" spans="1:9" s="808" customFormat="1" ht="19.5" customHeight="1">
      <c r="A34" s="3550"/>
      <c r="B34" s="3547"/>
      <c r="C34" s="805" t="s">
        <v>2987</v>
      </c>
      <c r="D34" s="806"/>
      <c r="E34" s="3217">
        <v>0.6</v>
      </c>
      <c r="F34" s="3216" t="s">
        <v>2988</v>
      </c>
      <c r="G34" s="807"/>
      <c r="H34" s="801"/>
      <c r="I34" s="801"/>
    </row>
    <row r="35" spans="1:9" s="808" customFormat="1" ht="19.5" customHeight="1">
      <c r="A35" s="3550"/>
      <c r="B35" s="3547"/>
      <c r="C35" s="805" t="s">
        <v>2989</v>
      </c>
      <c r="D35" s="806"/>
      <c r="E35" s="3217">
        <v>0.2</v>
      </c>
      <c r="F35" s="3216" t="s">
        <v>2990</v>
      </c>
      <c r="G35" s="807"/>
      <c r="H35" s="801"/>
      <c r="I35" s="801"/>
    </row>
    <row r="36" spans="1:9" s="808" customFormat="1" ht="19.5" customHeight="1">
      <c r="A36" s="3550"/>
      <c r="B36" s="3547"/>
      <c r="C36" s="805" t="s">
        <v>2991</v>
      </c>
      <c r="D36" s="806"/>
      <c r="E36" s="3217">
        <v>0.2</v>
      </c>
      <c r="F36" s="3216" t="s">
        <v>2992</v>
      </c>
      <c r="G36" s="807"/>
      <c r="H36" s="801"/>
      <c r="I36" s="801"/>
    </row>
    <row r="37" spans="1:9" s="808" customFormat="1" ht="19.5" customHeight="1">
      <c r="A37" s="3550"/>
      <c r="B37" s="3552" t="s">
        <v>2993</v>
      </c>
      <c r="C37" s="805" t="s">
        <v>2994</v>
      </c>
      <c r="D37" s="806"/>
      <c r="E37" s="3217">
        <v>0.6</v>
      </c>
      <c r="F37" s="3216" t="s">
        <v>2995</v>
      </c>
      <c r="G37" s="807"/>
      <c r="H37" s="801"/>
      <c r="I37" s="801"/>
    </row>
    <row r="38" spans="1:9" s="808" customFormat="1" ht="19.5" customHeight="1">
      <c r="A38" s="3550"/>
      <c r="B38" s="3547"/>
      <c r="C38" s="805" t="s">
        <v>2996</v>
      </c>
      <c r="D38" s="806"/>
      <c r="E38" s="3217">
        <v>0.6</v>
      </c>
      <c r="F38" s="3216" t="s">
        <v>2997</v>
      </c>
      <c r="G38" s="807"/>
      <c r="H38" s="801"/>
      <c r="I38" s="801"/>
    </row>
    <row r="39" spans="1:9" s="808" customFormat="1" ht="19.5" customHeight="1" thickBot="1">
      <c r="A39" s="3551"/>
      <c r="B39" s="3548"/>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3" t="s">
        <v>3003</v>
      </c>
      <c r="B41" s="3546" t="s">
        <v>3004</v>
      </c>
      <c r="C41" s="3213" t="s">
        <v>3005</v>
      </c>
      <c r="D41" s="3214"/>
      <c r="E41" s="3215">
        <v>1</v>
      </c>
      <c r="F41" s="3216" t="s">
        <v>3006</v>
      </c>
      <c r="G41" s="807"/>
      <c r="H41" s="801"/>
      <c r="I41" s="801"/>
    </row>
    <row r="42" spans="1:9" s="808" customFormat="1" ht="19.5" customHeight="1">
      <c r="A42" s="3554"/>
      <c r="B42" s="3547"/>
      <c r="C42" s="805" t="s">
        <v>3007</v>
      </c>
      <c r="D42" s="806"/>
      <c r="E42" s="3217">
        <v>1</v>
      </c>
      <c r="F42" s="3216" t="s">
        <v>3008</v>
      </c>
      <c r="G42" s="807"/>
      <c r="H42" s="801"/>
      <c r="I42" s="801"/>
    </row>
    <row r="43" spans="1:9" s="808" customFormat="1" ht="19.5" customHeight="1">
      <c r="A43" s="3554"/>
      <c r="B43" s="3556"/>
      <c r="C43" s="805" t="s">
        <v>3009</v>
      </c>
      <c r="D43" s="806"/>
      <c r="E43" s="3217">
        <v>1.5</v>
      </c>
      <c r="F43" s="3216" t="s">
        <v>3010</v>
      </c>
      <c r="G43" s="807"/>
      <c r="H43" s="801"/>
      <c r="I43" s="801"/>
    </row>
    <row r="44" spans="1:9" s="808" customFormat="1" ht="19.5" customHeight="1">
      <c r="A44" s="3554"/>
      <c r="B44" s="3226" t="s">
        <v>2972</v>
      </c>
      <c r="C44" s="805" t="s">
        <v>3011</v>
      </c>
      <c r="D44" s="806"/>
      <c r="E44" s="3217">
        <v>2</v>
      </c>
      <c r="F44" s="3216" t="s">
        <v>3012</v>
      </c>
      <c r="G44" s="807"/>
      <c r="H44" s="801"/>
      <c r="I44" s="801"/>
    </row>
    <row r="45" spans="1:9" s="808" customFormat="1" ht="19.5" customHeight="1">
      <c r="A45" s="3554"/>
      <c r="B45" s="3552" t="s">
        <v>3013</v>
      </c>
      <c r="C45" s="805" t="s">
        <v>3014</v>
      </c>
      <c r="D45" s="806"/>
      <c r="E45" s="3217">
        <v>1</v>
      </c>
      <c r="F45" s="3216" t="s">
        <v>3015</v>
      </c>
      <c r="G45" s="807"/>
      <c r="H45" s="801"/>
      <c r="I45" s="801"/>
    </row>
    <row r="46" spans="1:9" s="808" customFormat="1" ht="19.5" customHeight="1">
      <c r="A46" s="3554"/>
      <c r="B46" s="3547"/>
      <c r="C46" s="805" t="s">
        <v>3016</v>
      </c>
      <c r="D46" s="806"/>
      <c r="E46" s="3217">
        <v>1</v>
      </c>
      <c r="F46" s="3216" t="s">
        <v>3017</v>
      </c>
      <c r="G46" s="807"/>
      <c r="H46" s="801"/>
      <c r="I46" s="801"/>
    </row>
    <row r="47" spans="1:9" s="808" customFormat="1" ht="19.5" customHeight="1">
      <c r="A47" s="3554"/>
      <c r="B47" s="3547"/>
      <c r="C47" s="805" t="s">
        <v>3018</v>
      </c>
      <c r="D47" s="806"/>
      <c r="E47" s="3217">
        <v>1</v>
      </c>
      <c r="F47" s="3216" t="s">
        <v>3019</v>
      </c>
      <c r="G47" s="807"/>
      <c r="H47" s="801"/>
      <c r="I47" s="801"/>
    </row>
    <row r="48" spans="1:9" s="808" customFormat="1" ht="19.5" customHeight="1">
      <c r="A48" s="3554"/>
      <c r="B48" s="3547"/>
      <c r="C48" s="805" t="s">
        <v>3020</v>
      </c>
      <c r="D48" s="806"/>
      <c r="E48" s="3217">
        <v>1</v>
      </c>
      <c r="F48" s="3216" t="s">
        <v>3021</v>
      </c>
      <c r="G48" s="807"/>
      <c r="H48" s="801"/>
      <c r="I48" s="801"/>
    </row>
    <row r="49" spans="1:9" s="808" customFormat="1" ht="19.5" customHeight="1">
      <c r="A49" s="3554"/>
      <c r="B49" s="3547"/>
      <c r="C49" s="805" t="s">
        <v>3022</v>
      </c>
      <c r="D49" s="806"/>
      <c r="E49" s="3217">
        <v>1</v>
      </c>
      <c r="F49" s="3216" t="s">
        <v>3023</v>
      </c>
      <c r="G49" s="807"/>
      <c r="H49" s="801"/>
      <c r="I49" s="801"/>
    </row>
    <row r="50" spans="1:9" s="808" customFormat="1" ht="19.5" customHeight="1">
      <c r="A50" s="3554"/>
      <c r="B50" s="3547"/>
      <c r="C50" s="805" t="s">
        <v>3024</v>
      </c>
      <c r="D50" s="806"/>
      <c r="E50" s="3217">
        <v>1</v>
      </c>
      <c r="F50" s="3216" t="s">
        <v>3025</v>
      </c>
      <c r="G50" s="807"/>
      <c r="H50" s="801"/>
      <c r="I50" s="801"/>
    </row>
    <row r="51" spans="1:9" s="808" customFormat="1" ht="19.5" customHeight="1" thickBot="1">
      <c r="A51" s="3555"/>
      <c r="B51" s="3548"/>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4">
      <c r="A72" s="859"/>
      <c r="B72" s="859"/>
      <c r="C72" s="859" t="s">
        <v>3028</v>
      </c>
      <c r="D72" s="859"/>
      <c r="E72" s="816" t="s">
        <v>1</v>
      </c>
      <c r="F72" s="859" t="s">
        <v>1</v>
      </c>
    </row>
    <row r="73" spans="1:7" s="801" customFormat="1" ht="14.4">
      <c r="A73" s="3226">
        <v>1</v>
      </c>
      <c r="B73" s="3552" t="s">
        <v>3029</v>
      </c>
      <c r="C73" s="3206" t="s">
        <v>3030</v>
      </c>
      <c r="D73" s="3206" t="s">
        <v>3031</v>
      </c>
      <c r="E73" s="3227">
        <v>0.2</v>
      </c>
      <c r="F73" s="3226">
        <v>25</v>
      </c>
    </row>
    <row r="74" spans="1:7" s="801" customFormat="1" ht="24">
      <c r="A74" s="3226">
        <v>2</v>
      </c>
      <c r="B74" s="3547"/>
      <c r="C74" s="3206" t="s">
        <v>3032</v>
      </c>
      <c r="D74" s="3206" t="s">
        <v>3033</v>
      </c>
      <c r="E74" s="3227">
        <v>0.2</v>
      </c>
      <c r="F74" s="3226">
        <v>25</v>
      </c>
    </row>
    <row r="75" spans="1:7" s="801" customFormat="1" ht="24">
      <c r="A75" s="3226">
        <v>3</v>
      </c>
      <c r="B75" s="3547"/>
      <c r="C75" s="3206" t="s">
        <v>3034</v>
      </c>
      <c r="D75" s="3206" t="s">
        <v>3035</v>
      </c>
      <c r="E75" s="3227">
        <v>0.2</v>
      </c>
      <c r="F75" s="3226">
        <v>25</v>
      </c>
    </row>
    <row r="76" spans="1:7" s="801" customFormat="1" ht="14.4">
      <c r="A76" s="3226">
        <v>4</v>
      </c>
      <c r="B76" s="3547"/>
      <c r="C76" s="3206" t="s">
        <v>3036</v>
      </c>
      <c r="D76" s="3206" t="s">
        <v>3037</v>
      </c>
      <c r="E76" s="3227">
        <v>0.15</v>
      </c>
      <c r="F76" s="3226">
        <v>20</v>
      </c>
    </row>
    <row r="77" spans="1:7" s="801" customFormat="1" ht="24">
      <c r="A77" s="3226">
        <v>5</v>
      </c>
      <c r="B77" s="3547"/>
      <c r="C77" s="3206" t="s">
        <v>3038</v>
      </c>
      <c r="D77" s="3206" t="s">
        <v>3039</v>
      </c>
      <c r="E77" s="3227">
        <v>0.15</v>
      </c>
      <c r="F77" s="3226">
        <v>20</v>
      </c>
    </row>
    <row r="78" spans="1:7" s="801" customFormat="1" ht="24">
      <c r="A78" s="3226">
        <v>6</v>
      </c>
      <c r="B78" s="3547"/>
      <c r="C78" s="3206" t="s">
        <v>3040</v>
      </c>
      <c r="D78" s="3206" t="s">
        <v>3041</v>
      </c>
      <c r="E78" s="3227">
        <v>0.15</v>
      </c>
      <c r="F78" s="3226">
        <v>20</v>
      </c>
    </row>
    <row r="79" spans="1:7" s="801" customFormat="1" ht="24">
      <c r="A79" s="3226">
        <v>7</v>
      </c>
      <c r="B79" s="3547"/>
      <c r="C79" s="3206" t="s">
        <v>3042</v>
      </c>
      <c r="D79" s="3206" t="s">
        <v>3043</v>
      </c>
      <c r="E79" s="3227">
        <v>0.15</v>
      </c>
      <c r="F79" s="3226">
        <v>20</v>
      </c>
    </row>
    <row r="80" spans="1:7" s="801" customFormat="1" ht="24">
      <c r="A80" s="3226">
        <v>8</v>
      </c>
      <c r="B80" s="3547"/>
      <c r="C80" s="3206" t="s">
        <v>3044</v>
      </c>
      <c r="D80" s="3206" t="s">
        <v>3045</v>
      </c>
      <c r="E80" s="3227">
        <v>0.1</v>
      </c>
      <c r="F80" s="3226">
        <v>15</v>
      </c>
    </row>
    <row r="81" spans="1:6" s="801" customFormat="1" ht="24">
      <c r="A81" s="3226">
        <v>9</v>
      </c>
      <c r="B81" s="3547"/>
      <c r="C81" s="3206" t="s">
        <v>3046</v>
      </c>
      <c r="D81" s="3206" t="s">
        <v>3047</v>
      </c>
      <c r="E81" s="3227">
        <v>0.1</v>
      </c>
      <c r="F81" s="3226">
        <v>15</v>
      </c>
    </row>
    <row r="82" spans="1:6" s="801" customFormat="1" ht="24">
      <c r="A82" s="3226">
        <v>10</v>
      </c>
      <c r="B82" s="3547"/>
      <c r="C82" s="3206" t="s">
        <v>3048</v>
      </c>
      <c r="D82" s="3206" t="s">
        <v>3049</v>
      </c>
      <c r="E82" s="3227">
        <v>0.1</v>
      </c>
      <c r="F82" s="3226">
        <v>15</v>
      </c>
    </row>
    <row r="83" spans="1:6" s="801" customFormat="1" ht="24">
      <c r="A83" s="3226">
        <v>11</v>
      </c>
      <c r="B83" s="3547"/>
      <c r="C83" s="3206" t="s">
        <v>3050</v>
      </c>
      <c r="D83" s="3206" t="s">
        <v>3051</v>
      </c>
      <c r="E83" s="3227">
        <v>0.1</v>
      </c>
      <c r="F83" s="3226">
        <v>15</v>
      </c>
    </row>
    <row r="84" spans="1:6" s="801" customFormat="1" ht="24">
      <c r="A84" s="3226">
        <v>12</v>
      </c>
      <c r="B84" s="3547"/>
      <c r="C84" s="3206" t="s">
        <v>3052</v>
      </c>
      <c r="D84" s="3206" t="s">
        <v>3053</v>
      </c>
      <c r="E84" s="3227">
        <v>0.1</v>
      </c>
      <c r="F84" s="3226">
        <v>15</v>
      </c>
    </row>
    <row r="85" spans="1:6" s="801" customFormat="1" ht="24">
      <c r="A85" s="3226">
        <v>13</v>
      </c>
      <c r="B85" s="3547"/>
      <c r="C85" s="3206" t="s">
        <v>3054</v>
      </c>
      <c r="D85" s="3206" t="s">
        <v>3055</v>
      </c>
      <c r="E85" s="3227">
        <v>0.1</v>
      </c>
      <c r="F85" s="3226">
        <v>15</v>
      </c>
    </row>
    <row r="86" spans="1:6" s="801" customFormat="1" ht="24">
      <c r="A86" s="3226">
        <v>14</v>
      </c>
      <c r="B86" s="3547"/>
      <c r="C86" s="3206" t="s">
        <v>3056</v>
      </c>
      <c r="D86" s="3206" t="s">
        <v>3057</v>
      </c>
      <c r="E86" s="3227">
        <v>0.1</v>
      </c>
      <c r="F86" s="3226">
        <v>15</v>
      </c>
    </row>
    <row r="87" spans="1:6" s="801" customFormat="1" ht="24">
      <c r="A87" s="3226">
        <v>15</v>
      </c>
      <c r="B87" s="3547"/>
      <c r="C87" s="3206" t="s">
        <v>3058</v>
      </c>
      <c r="D87" s="3206" t="s">
        <v>3059</v>
      </c>
      <c r="E87" s="3227">
        <v>0.1</v>
      </c>
      <c r="F87" s="3226">
        <v>15</v>
      </c>
    </row>
    <row r="88" spans="1:6" s="801" customFormat="1" ht="24">
      <c r="A88" s="3226">
        <v>16</v>
      </c>
      <c r="B88" s="3547"/>
      <c r="C88" s="3206" t="s">
        <v>3060</v>
      </c>
      <c r="D88" s="3206" t="s">
        <v>3061</v>
      </c>
      <c r="E88" s="3227">
        <v>0.1</v>
      </c>
      <c r="F88" s="3226">
        <v>15</v>
      </c>
    </row>
    <row r="89" spans="1:6" s="801" customFormat="1" ht="24">
      <c r="A89" s="3226">
        <v>17</v>
      </c>
      <c r="B89" s="3556"/>
      <c r="C89" s="3206" t="s">
        <v>3062</v>
      </c>
      <c r="D89" s="3206" t="s">
        <v>3063</v>
      </c>
      <c r="E89" s="3227">
        <v>0.1</v>
      </c>
      <c r="F89" s="3226">
        <v>15</v>
      </c>
    </row>
    <row r="90" spans="1:6" s="801" customFormat="1" ht="14.4">
      <c r="A90" s="3226">
        <v>18</v>
      </c>
      <c r="B90" s="3552" t="s">
        <v>3064</v>
      </c>
      <c r="C90" s="3206" t="s">
        <v>3065</v>
      </c>
      <c r="D90" s="3206" t="s">
        <v>3066</v>
      </c>
      <c r="E90" s="3227">
        <v>0.2</v>
      </c>
      <c r="F90" s="3226">
        <v>25</v>
      </c>
    </row>
    <row r="91" spans="1:6" s="801" customFormat="1" ht="24">
      <c r="A91" s="3226">
        <v>19</v>
      </c>
      <c r="B91" s="3547"/>
      <c r="C91" s="3206" t="s">
        <v>3067</v>
      </c>
      <c r="D91" s="3206" t="s">
        <v>3068</v>
      </c>
      <c r="E91" s="3227">
        <v>0.2</v>
      </c>
      <c r="F91" s="3226">
        <v>25</v>
      </c>
    </row>
    <row r="92" spans="1:6" s="801" customFormat="1" ht="14.4">
      <c r="A92" s="3226">
        <v>20</v>
      </c>
      <c r="B92" s="3547"/>
      <c r="C92" s="3206" t="s">
        <v>3069</v>
      </c>
      <c r="D92" s="3206" t="s">
        <v>3070</v>
      </c>
      <c r="E92" s="3227">
        <v>0.15</v>
      </c>
      <c r="F92" s="3226">
        <v>20</v>
      </c>
    </row>
    <row r="93" spans="1:6" s="801" customFormat="1" ht="24">
      <c r="A93" s="3226">
        <v>21</v>
      </c>
      <c r="B93" s="3547"/>
      <c r="C93" s="3206" t="s">
        <v>3071</v>
      </c>
      <c r="D93" s="3206" t="s">
        <v>3072</v>
      </c>
      <c r="E93" s="3227">
        <v>0.15</v>
      </c>
      <c r="F93" s="3226">
        <v>20</v>
      </c>
    </row>
    <row r="94" spans="1:6" s="801" customFormat="1" ht="24">
      <c r="A94" s="3226">
        <v>22</v>
      </c>
      <c r="B94" s="3547"/>
      <c r="C94" s="3206" t="s">
        <v>3073</v>
      </c>
      <c r="D94" s="3206" t="s">
        <v>3074</v>
      </c>
      <c r="E94" s="3227">
        <v>0.15</v>
      </c>
      <c r="F94" s="3226">
        <v>20</v>
      </c>
    </row>
    <row r="95" spans="1:6" s="801" customFormat="1" ht="36">
      <c r="A95" s="3226">
        <v>23</v>
      </c>
      <c r="B95" s="3547"/>
      <c r="C95" s="3206" t="s">
        <v>3075</v>
      </c>
      <c r="D95" s="3206" t="s">
        <v>3076</v>
      </c>
      <c r="E95" s="3227">
        <v>0.15</v>
      </c>
      <c r="F95" s="3226">
        <v>20</v>
      </c>
    </row>
    <row r="96" spans="1:6" s="801" customFormat="1" ht="24">
      <c r="A96" s="3226">
        <v>24</v>
      </c>
      <c r="B96" s="3547"/>
      <c r="C96" s="3206" t="s">
        <v>3077</v>
      </c>
      <c r="D96" s="3206" t="s">
        <v>3078</v>
      </c>
      <c r="E96" s="3227">
        <v>0.1</v>
      </c>
      <c r="F96" s="3226">
        <v>15</v>
      </c>
    </row>
    <row r="97" spans="1:6" s="801" customFormat="1" ht="24">
      <c r="A97" s="3226">
        <v>25</v>
      </c>
      <c r="B97" s="3547"/>
      <c r="C97" s="3206" t="s">
        <v>3079</v>
      </c>
      <c r="D97" s="3206" t="s">
        <v>3080</v>
      </c>
      <c r="E97" s="3227">
        <v>0.1</v>
      </c>
      <c r="F97" s="3226">
        <v>15</v>
      </c>
    </row>
    <row r="98" spans="1:6" s="801" customFormat="1" ht="24">
      <c r="A98" s="3226">
        <v>26</v>
      </c>
      <c r="B98" s="3547"/>
      <c r="C98" s="3206" t="s">
        <v>3081</v>
      </c>
      <c r="D98" s="3206" t="s">
        <v>3082</v>
      </c>
      <c r="E98" s="3227">
        <v>0.1</v>
      </c>
      <c r="F98" s="3226">
        <v>15</v>
      </c>
    </row>
    <row r="99" spans="1:6" s="801" customFormat="1" ht="24">
      <c r="A99" s="3226">
        <v>27</v>
      </c>
      <c r="B99" s="3547"/>
      <c r="C99" s="3206" t="s">
        <v>3083</v>
      </c>
      <c r="D99" s="3206" t="s">
        <v>3084</v>
      </c>
      <c r="E99" s="3227">
        <v>0.1</v>
      </c>
      <c r="F99" s="3226">
        <v>15</v>
      </c>
    </row>
    <row r="100" spans="1:6" s="801" customFormat="1" ht="24">
      <c r="A100" s="3226">
        <v>28</v>
      </c>
      <c r="B100" s="3547"/>
      <c r="C100" s="3206" t="s">
        <v>3085</v>
      </c>
      <c r="D100" s="3206" t="s">
        <v>3086</v>
      </c>
      <c r="E100" s="3227">
        <v>0.1</v>
      </c>
      <c r="F100" s="3226">
        <v>15</v>
      </c>
    </row>
    <row r="101" spans="1:6" s="801" customFormat="1" ht="24">
      <c r="A101" s="3226">
        <v>29</v>
      </c>
      <c r="B101" s="3547"/>
      <c r="C101" s="3206" t="s">
        <v>3087</v>
      </c>
      <c r="D101" s="3206" t="s">
        <v>3088</v>
      </c>
      <c r="E101" s="3227">
        <v>0.1</v>
      </c>
      <c r="F101" s="3226">
        <v>15</v>
      </c>
    </row>
    <row r="102" spans="1:6" s="801" customFormat="1" ht="24">
      <c r="A102" s="3226">
        <v>30</v>
      </c>
      <c r="B102" s="3547"/>
      <c r="C102" s="3206" t="s">
        <v>3089</v>
      </c>
      <c r="D102" s="3206" t="s">
        <v>3090</v>
      </c>
      <c r="E102" s="3227">
        <v>0.1</v>
      </c>
      <c r="F102" s="3226">
        <v>15</v>
      </c>
    </row>
    <row r="103" spans="1:6" s="801" customFormat="1" ht="24">
      <c r="A103" s="3226">
        <v>31</v>
      </c>
      <c r="B103" s="3547"/>
      <c r="C103" s="3206" t="s">
        <v>3091</v>
      </c>
      <c r="D103" s="3206" t="s">
        <v>3092</v>
      </c>
      <c r="E103" s="3227">
        <v>0.1</v>
      </c>
      <c r="F103" s="3226">
        <v>15</v>
      </c>
    </row>
    <row r="104" spans="1:6" s="801" customFormat="1" ht="24">
      <c r="A104" s="3226">
        <v>32</v>
      </c>
      <c r="B104" s="3547"/>
      <c r="C104" s="3206" t="s">
        <v>3093</v>
      </c>
      <c r="D104" s="3206" t="s">
        <v>3094</v>
      </c>
      <c r="E104" s="3227">
        <v>0.1</v>
      </c>
      <c r="F104" s="3226">
        <v>15</v>
      </c>
    </row>
    <row r="105" spans="1:6" s="801" customFormat="1" ht="24">
      <c r="A105" s="3226">
        <v>33</v>
      </c>
      <c r="B105" s="3547"/>
      <c r="C105" s="3206" t="s">
        <v>3095</v>
      </c>
      <c r="D105" s="3206" t="s">
        <v>3096</v>
      </c>
      <c r="E105" s="3227">
        <v>0.1</v>
      </c>
      <c r="F105" s="3226">
        <v>15</v>
      </c>
    </row>
    <row r="106" spans="1:6" s="801" customFormat="1" ht="24">
      <c r="A106" s="3226">
        <v>34</v>
      </c>
      <c r="B106" s="3556"/>
      <c r="C106" s="3206" t="s">
        <v>3097</v>
      </c>
      <c r="D106" s="3206" t="s">
        <v>3098</v>
      </c>
      <c r="E106" s="3227">
        <v>0.1</v>
      </c>
      <c r="F106" s="3226">
        <v>15</v>
      </c>
    </row>
    <row r="107" spans="1:6" s="801" customFormat="1" ht="36">
      <c r="A107" s="3226">
        <v>35</v>
      </c>
      <c r="B107" s="3552" t="s">
        <v>3099</v>
      </c>
      <c r="C107" s="3226" t="s">
        <v>3100</v>
      </c>
      <c r="D107" s="3206" t="s">
        <v>3101</v>
      </c>
      <c r="E107" s="3227">
        <v>0.15</v>
      </c>
      <c r="F107" s="3226">
        <v>20</v>
      </c>
    </row>
    <row r="108" spans="1:6" s="801" customFormat="1" ht="24">
      <c r="A108" s="3226">
        <v>36</v>
      </c>
      <c r="B108" s="3547"/>
      <c r="C108" s="3226" t="s">
        <v>3102</v>
      </c>
      <c r="D108" s="3206" t="s">
        <v>3103</v>
      </c>
      <c r="E108" s="3227">
        <v>0.15</v>
      </c>
      <c r="F108" s="3226">
        <v>20</v>
      </c>
    </row>
    <row r="109" spans="1:6" s="801" customFormat="1" ht="24">
      <c r="A109" s="3226">
        <v>37</v>
      </c>
      <c r="B109" s="3547"/>
      <c r="C109" s="3226" t="s">
        <v>3104</v>
      </c>
      <c r="D109" s="3206" t="s">
        <v>3105</v>
      </c>
      <c r="E109" s="3227">
        <v>0.15</v>
      </c>
      <c r="F109" s="3226">
        <v>20</v>
      </c>
    </row>
    <row r="110" spans="1:6" s="801" customFormat="1" ht="24">
      <c r="A110" s="3226">
        <v>38</v>
      </c>
      <c r="B110" s="3547"/>
      <c r="C110" s="3226" t="s">
        <v>3106</v>
      </c>
      <c r="D110" s="3206" t="s">
        <v>3107</v>
      </c>
      <c r="E110" s="3227">
        <v>0.1</v>
      </c>
      <c r="F110" s="3226">
        <v>15</v>
      </c>
    </row>
    <row r="111" spans="1:6" s="801" customFormat="1" ht="24">
      <c r="A111" s="3226">
        <v>39</v>
      </c>
      <c r="B111" s="3547"/>
      <c r="C111" s="3226" t="s">
        <v>3108</v>
      </c>
      <c r="D111" s="3206" t="s">
        <v>3109</v>
      </c>
      <c r="E111" s="3227">
        <v>0.1</v>
      </c>
      <c r="F111" s="3226">
        <v>15</v>
      </c>
    </row>
    <row r="112" spans="1:6" s="801" customFormat="1" ht="24">
      <c r="A112" s="3226">
        <v>40</v>
      </c>
      <c r="B112" s="3556"/>
      <c r="C112" s="3226" t="s">
        <v>3110</v>
      </c>
      <c r="D112" s="3206" t="s">
        <v>3111</v>
      </c>
      <c r="E112" s="3227">
        <v>0.1</v>
      </c>
      <c r="F112" s="3226">
        <v>15</v>
      </c>
    </row>
    <row r="113" spans="1:6" s="801" customFormat="1" ht="24">
      <c r="A113" s="3226">
        <v>41</v>
      </c>
      <c r="B113" s="3557" t="s">
        <v>3112</v>
      </c>
      <c r="C113" s="3226" t="s">
        <v>3113</v>
      </c>
      <c r="D113" s="3206" t="s">
        <v>3114</v>
      </c>
      <c r="E113" s="3227">
        <v>0.1</v>
      </c>
      <c r="F113" s="3226">
        <v>15</v>
      </c>
    </row>
    <row r="114" spans="1:6" s="801" customFormat="1" ht="24">
      <c r="A114" s="3226">
        <v>42</v>
      </c>
      <c r="B114" s="3557"/>
      <c r="C114" s="3226" t="s">
        <v>3115</v>
      </c>
      <c r="D114" s="3206" t="s">
        <v>3116</v>
      </c>
      <c r="E114" s="3227">
        <v>0.1</v>
      </c>
      <c r="F114" s="3226">
        <v>15</v>
      </c>
    </row>
    <row r="115" spans="1:6" s="801" customFormat="1" ht="24">
      <c r="A115" s="3226">
        <v>43</v>
      </c>
      <c r="B115" s="3557"/>
      <c r="C115" s="3226" t="s">
        <v>3117</v>
      </c>
      <c r="D115" s="3206" t="s">
        <v>3118</v>
      </c>
      <c r="E115" s="3227">
        <v>0.1</v>
      </c>
      <c r="F115" s="3226">
        <v>15</v>
      </c>
    </row>
    <row r="116" spans="1:6" s="801" customFormat="1" ht="24">
      <c r="A116" s="3226">
        <v>44</v>
      </c>
      <c r="B116" s="3552" t="s">
        <v>3119</v>
      </c>
      <c r="C116" s="3226" t="s">
        <v>3120</v>
      </c>
      <c r="D116" s="3206" t="s">
        <v>3121</v>
      </c>
      <c r="E116" s="3227">
        <v>0.1</v>
      </c>
      <c r="F116" s="3226">
        <v>15</v>
      </c>
    </row>
    <row r="117" spans="1:6" s="801" customFormat="1" ht="24">
      <c r="A117" s="3226">
        <v>45</v>
      </c>
      <c r="B117" s="3556"/>
      <c r="C117" s="3206" t="s">
        <v>3122</v>
      </c>
      <c r="D117" s="3206" t="s">
        <v>3123</v>
      </c>
      <c r="E117" s="3227">
        <v>0.1</v>
      </c>
      <c r="F117" s="3226">
        <v>15</v>
      </c>
    </row>
    <row r="118" spans="1:6" s="801" customFormat="1" ht="24">
      <c r="A118" s="3226">
        <v>46</v>
      </c>
      <c r="B118" s="3552" t="s">
        <v>3124</v>
      </c>
      <c r="C118" s="3226" t="s">
        <v>3125</v>
      </c>
      <c r="D118" s="3206" t="s">
        <v>3126</v>
      </c>
      <c r="E118" s="3227">
        <v>0.1</v>
      </c>
      <c r="F118" s="3226">
        <v>15</v>
      </c>
    </row>
    <row r="119" spans="1:6" s="801" customFormat="1" ht="24">
      <c r="A119" s="3226">
        <v>47</v>
      </c>
      <c r="B119" s="3556"/>
      <c r="C119" s="3226" t="s">
        <v>3127</v>
      </c>
      <c r="D119" s="3206" t="s">
        <v>3128</v>
      </c>
      <c r="E119" s="3227">
        <v>0.1</v>
      </c>
      <c r="F119" s="3226">
        <v>15</v>
      </c>
    </row>
    <row r="120" spans="1:6" s="801" customFormat="1" ht="24">
      <c r="A120" s="3226">
        <v>48</v>
      </c>
      <c r="B120" s="3552" t="s">
        <v>3129</v>
      </c>
      <c r="C120" s="3226" t="s">
        <v>3130</v>
      </c>
      <c r="D120" s="3206" t="s">
        <v>3131</v>
      </c>
      <c r="E120" s="3227">
        <v>0.1</v>
      </c>
      <c r="F120" s="3226">
        <v>15</v>
      </c>
    </row>
    <row r="121" spans="1:6" s="801" customFormat="1" ht="24">
      <c r="A121" s="3226">
        <v>49</v>
      </c>
      <c r="B121" s="3556"/>
      <c r="C121" s="3226" t="s">
        <v>3132</v>
      </c>
      <c r="D121" s="3206" t="s">
        <v>3133</v>
      </c>
      <c r="E121" s="3227">
        <v>0.1</v>
      </c>
      <c r="F121" s="3226">
        <v>15</v>
      </c>
    </row>
    <row r="122" spans="1:6" s="801" customFormat="1" ht="24">
      <c r="A122" s="3226">
        <v>50</v>
      </c>
      <c r="B122" s="3557" t="s">
        <v>3134</v>
      </c>
      <c r="C122" s="3226" t="s">
        <v>3135</v>
      </c>
      <c r="D122" s="3206" t="s">
        <v>3136</v>
      </c>
      <c r="E122" s="3227">
        <v>0.1</v>
      </c>
      <c r="F122" s="3226">
        <v>15</v>
      </c>
    </row>
    <row r="123" spans="1:6" s="801" customFormat="1" ht="24">
      <c r="A123" s="3226">
        <v>51</v>
      </c>
      <c r="B123" s="3557"/>
      <c r="C123" s="3226" t="s">
        <v>3137</v>
      </c>
      <c r="D123" s="3206" t="s">
        <v>3138</v>
      </c>
      <c r="E123" s="3227">
        <v>0.1</v>
      </c>
      <c r="F123" s="3226">
        <v>15</v>
      </c>
    </row>
    <row r="124" spans="1:6" s="801" customFormat="1" ht="24">
      <c r="A124" s="3226">
        <v>52</v>
      </c>
      <c r="B124" s="3557" t="s">
        <v>3139</v>
      </c>
      <c r="C124" s="3226" t="s">
        <v>3140</v>
      </c>
      <c r="D124" s="3206" t="s">
        <v>3141</v>
      </c>
      <c r="E124" s="3227">
        <v>0.1</v>
      </c>
      <c r="F124" s="3226">
        <v>15</v>
      </c>
    </row>
    <row r="125" spans="1:6" s="801" customFormat="1" ht="24">
      <c r="A125" s="3226">
        <v>53</v>
      </c>
      <c r="B125" s="3557"/>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24">
      <c r="A127" s="3226">
        <v>55</v>
      </c>
      <c r="B127" s="3557" t="s">
        <v>3147</v>
      </c>
      <c r="C127" s="3226" t="s">
        <v>3148</v>
      </c>
      <c r="D127" s="3206" t="s">
        <v>3149</v>
      </c>
      <c r="E127" s="3227">
        <v>0.1</v>
      </c>
      <c r="F127" s="3226">
        <v>15</v>
      </c>
    </row>
    <row r="128" spans="1:6" ht="24">
      <c r="A128" s="3226">
        <v>56</v>
      </c>
      <c r="B128" s="3557"/>
      <c r="C128" s="3226" t="s">
        <v>3150</v>
      </c>
      <c r="D128" s="3206" t="s">
        <v>3151</v>
      </c>
      <c r="E128" s="3227">
        <v>0.1</v>
      </c>
      <c r="F128" s="3226">
        <v>15</v>
      </c>
    </row>
    <row r="129" spans="1:6" ht="24">
      <c r="A129" s="3226">
        <v>57</v>
      </c>
      <c r="B129" s="3557"/>
      <c r="C129" s="3226" t="s">
        <v>3152</v>
      </c>
      <c r="D129" s="3206" t="s">
        <v>3153</v>
      </c>
      <c r="E129" s="3227">
        <v>0.1</v>
      </c>
      <c r="F129" s="3226">
        <v>15</v>
      </c>
    </row>
    <row r="130" spans="1:6" ht="24">
      <c r="A130" s="3226">
        <v>58</v>
      </c>
      <c r="B130" s="3557" t="s">
        <v>3154</v>
      </c>
      <c r="C130" s="3226" t="s">
        <v>3155</v>
      </c>
      <c r="D130" s="3206" t="s">
        <v>3156</v>
      </c>
      <c r="E130" s="3227">
        <v>0.1</v>
      </c>
      <c r="F130" s="3226">
        <v>15</v>
      </c>
    </row>
    <row r="131" spans="1:6" ht="24">
      <c r="A131" s="3226">
        <v>59</v>
      </c>
      <c r="B131" s="3557"/>
      <c r="C131" s="3226" t="s">
        <v>3157</v>
      </c>
      <c r="D131" s="3206" t="s">
        <v>3158</v>
      </c>
      <c r="E131" s="3227">
        <v>0.1</v>
      </c>
      <c r="F131" s="3226">
        <v>15</v>
      </c>
    </row>
    <row r="132" spans="1:6" ht="24">
      <c r="A132" s="3226">
        <v>60</v>
      </c>
      <c r="B132" s="3552" t="s">
        <v>3159</v>
      </c>
      <c r="C132" s="3226" t="s">
        <v>3160</v>
      </c>
      <c r="D132" s="3206" t="s">
        <v>3161</v>
      </c>
      <c r="E132" s="3227">
        <v>0.1</v>
      </c>
      <c r="F132" s="3226">
        <v>15</v>
      </c>
    </row>
    <row r="133" spans="1:6" ht="24">
      <c r="A133" s="3226">
        <v>61</v>
      </c>
      <c r="B133" s="3556"/>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7" t="s">
        <v>3167</v>
      </c>
      <c r="C135" s="3226" t="s">
        <v>3168</v>
      </c>
      <c r="D135" s="3206" t="s">
        <v>3169</v>
      </c>
      <c r="E135" s="3227">
        <v>0.1</v>
      </c>
      <c r="F135" s="3226">
        <v>15</v>
      </c>
    </row>
    <row r="136" spans="1:6" ht="24">
      <c r="A136" s="3226">
        <v>64</v>
      </c>
      <c r="B136" s="3557"/>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4.4">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6"/>
    <col min="2" max="16384" width="9" style="819"/>
  </cols>
  <sheetData>
    <row r="1" spans="1:14" ht="15.6">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6">
      <c r="A103" s="817" t="s">
        <v>569</v>
      </c>
      <c r="B103" s="818"/>
      <c r="C103" s="818"/>
      <c r="D103" s="818"/>
      <c r="E103" s="818"/>
      <c r="F103" s="818"/>
      <c r="G103" s="818"/>
      <c r="H103" s="818"/>
      <c r="I103" s="818"/>
      <c r="J103" s="818"/>
      <c r="K103" s="818"/>
      <c r="L103" s="818"/>
      <c r="M103" s="818"/>
      <c r="N103" s="818"/>
    </row>
    <row r="104" spans="1:14" ht="15.6">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6">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6">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3" customWidth="1"/>
    <col min="2" max="2" width="12.44140625" style="1613" customWidth="1"/>
    <col min="3" max="3" width="12.109375" style="1613" customWidth="1"/>
    <col min="4" max="4" width="14.109375" style="1613" customWidth="1"/>
    <col min="5" max="5" width="12.44140625" style="1613" customWidth="1"/>
    <col min="6" max="16384" width="9" style="1613"/>
  </cols>
  <sheetData>
    <row r="1" spans="1:16" ht="21.6">
      <c r="A1" s="2004" t="s">
        <v>2581</v>
      </c>
      <c r="B1" s="2314"/>
      <c r="C1" s="2314"/>
      <c r="D1" s="2314"/>
      <c r="E1" s="2314"/>
      <c r="F1" s="2974"/>
      <c r="G1" s="2974"/>
      <c r="H1" s="2974"/>
      <c r="I1" s="2974"/>
      <c r="J1" s="2974"/>
      <c r="K1" s="2974"/>
      <c r="L1" s="2974"/>
      <c r="M1" s="2974"/>
      <c r="N1" s="2974"/>
      <c r="O1" s="2974"/>
      <c r="P1" s="2974"/>
    </row>
    <row r="2" spans="1:16" ht="15.6">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6">
      <c r="A3" s="2312" t="s">
        <v>2576</v>
      </c>
      <c r="B3" s="2778" t="e">
        <f ca="1">ROUND(B2*10000/E2,0)</f>
        <v>#DIV/0!</v>
      </c>
      <c r="C3" s="2312" t="s">
        <v>2582</v>
      </c>
      <c r="D3" s="2974"/>
      <c r="E3" s="2974"/>
      <c r="F3" s="2974"/>
      <c r="G3" s="2974"/>
      <c r="H3" s="2974"/>
      <c r="I3" s="2974"/>
      <c r="J3" s="2974"/>
      <c r="K3" s="2974"/>
      <c r="L3" s="2974"/>
      <c r="M3" s="2974"/>
      <c r="N3" s="2974"/>
      <c r="O3" s="2974"/>
      <c r="P3" s="2974"/>
    </row>
    <row r="4" spans="1:16" ht="15.6">
      <c r="A4" s="2975"/>
      <c r="B4" s="2974"/>
      <c r="C4" s="2974"/>
      <c r="D4" s="2974"/>
      <c r="E4" s="2974"/>
      <c r="F4" s="2974"/>
      <c r="G4" s="2974"/>
      <c r="H4" s="2974"/>
      <c r="I4" s="2974"/>
      <c r="J4" s="2974"/>
      <c r="K4" s="2974"/>
      <c r="L4" s="2974"/>
      <c r="M4" s="2974"/>
      <c r="N4" s="2974"/>
      <c r="O4" s="2974"/>
      <c r="P4" s="2974"/>
    </row>
    <row r="5" spans="1:16" ht="31.2">
      <c r="A5" s="2784" t="s">
        <v>2577</v>
      </c>
      <c r="B5" s="2786" t="s">
        <v>2578</v>
      </c>
      <c r="C5" s="2313"/>
      <c r="D5" s="2974"/>
      <c r="E5" s="2787" t="s">
        <v>2579</v>
      </c>
      <c r="F5" s="2974"/>
      <c r="G5" s="2974"/>
      <c r="H5" s="2974"/>
      <c r="I5" s="2974"/>
      <c r="J5" s="2974"/>
      <c r="K5" s="2974"/>
      <c r="L5" s="2974"/>
      <c r="M5" s="2974"/>
      <c r="N5" s="2974"/>
      <c r="O5" s="2974"/>
      <c r="P5" s="2974"/>
    </row>
    <row r="6" spans="1:16" ht="15.6">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6">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6">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6">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6">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6">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6">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6">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61"/>
    <col min="2" max="6" width="9" style="2361" customWidth="1"/>
    <col min="7" max="7" width="9" style="2399"/>
    <col min="8" max="8" width="9" style="2361"/>
    <col min="9" max="12" width="9" style="2361" customWidth="1"/>
    <col min="13" max="13" width="2.21875" style="2361" customWidth="1"/>
    <col min="14" max="14" width="9" style="2399" customWidth="1"/>
    <col min="15" max="17" width="9" style="2361" customWidth="1"/>
    <col min="18" max="18" width="2.33203125" style="2361" customWidth="1"/>
    <col min="19" max="19" width="7.109375" style="2399" customWidth="1"/>
    <col min="20" max="22" width="7.109375" style="2361" customWidth="1"/>
    <col min="23" max="23" width="24.21875" style="2361" customWidth="1"/>
    <col min="24" max="25" width="9" style="2361"/>
    <col min="26" max="27" width="11.6640625" style="2361" customWidth="1"/>
    <col min="28" max="28" width="9" style="2361"/>
    <col min="29" max="29" width="2" style="2361" customWidth="1"/>
    <col min="30" max="16384" width="9" style="2361"/>
  </cols>
  <sheetData>
    <row r="1" spans="1:34" s="2340" customFormat="1">
      <c r="B1" s="3563" t="s">
        <v>877</v>
      </c>
      <c r="C1" s="3563"/>
      <c r="D1" s="3563"/>
      <c r="E1" s="3563"/>
      <c r="F1" s="3563"/>
      <c r="G1" s="3559" t="s">
        <v>878</v>
      </c>
      <c r="H1" s="3559"/>
      <c r="I1" s="3559"/>
      <c r="J1" s="3559"/>
      <c r="K1" s="3559"/>
      <c r="L1" s="3559"/>
      <c r="N1" s="3559" t="s">
        <v>879</v>
      </c>
      <c r="O1" s="3559"/>
      <c r="P1" s="3559"/>
      <c r="Q1" s="3559"/>
      <c r="S1" s="3559" t="s">
        <v>880</v>
      </c>
      <c r="T1" s="3559"/>
      <c r="U1" s="3559"/>
      <c r="V1" s="3559"/>
      <c r="X1" s="3558" t="s">
        <v>881</v>
      </c>
      <c r="Y1" s="3559"/>
      <c r="Z1" s="3559"/>
      <c r="AA1" s="3559"/>
      <c r="AB1" s="3559"/>
      <c r="AD1" s="3558" t="s">
        <v>882</v>
      </c>
      <c r="AE1" s="3559"/>
      <c r="AF1" s="3559"/>
      <c r="AG1" s="3559"/>
      <c r="AH1" s="3559"/>
    </row>
    <row r="2" spans="1:34" s="2341" customFormat="1" ht="1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4">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8"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8"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8"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8" thickBot="1">
      <c r="A30" s="2374" t="s">
        <v>151</v>
      </c>
      <c r="B30" s="2389">
        <v>333</v>
      </c>
      <c r="C30" s="2389">
        <v>277</v>
      </c>
      <c r="D30" s="2389">
        <f t="shared" si="213"/>
        <v>277</v>
      </c>
      <c r="E30" s="2389">
        <v>459</v>
      </c>
      <c r="F30" s="2390">
        <v>249</v>
      </c>
      <c r="G30" s="356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8" thickBot="1">
      <c r="A34" s="2374" t="s">
        <v>147</v>
      </c>
      <c r="B34" s="2403">
        <v>318</v>
      </c>
      <c r="C34" s="2403">
        <v>268</v>
      </c>
      <c r="D34" s="2403">
        <f t="shared" si="213"/>
        <v>268</v>
      </c>
      <c r="E34" s="2403">
        <v>437</v>
      </c>
      <c r="F34" s="2404">
        <v>237</v>
      </c>
      <c r="G34" s="356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8"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8"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8" thickBot="1">
      <c r="A38" s="2374" t="s">
        <v>890</v>
      </c>
      <c r="B38" s="2389">
        <v>299</v>
      </c>
      <c r="C38" s="2389">
        <v>252</v>
      </c>
      <c r="D38" s="2389">
        <f t="shared" si="213"/>
        <v>252</v>
      </c>
      <c r="E38" s="2389">
        <v>409</v>
      </c>
      <c r="F38" s="2390">
        <v>227</v>
      </c>
      <c r="G38" s="356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8" thickBot="1">
      <c r="A42" s="2374" t="s">
        <v>894</v>
      </c>
      <c r="B42" s="2424">
        <v>278</v>
      </c>
      <c r="C42" s="2424">
        <v>234</v>
      </c>
      <c r="D42" s="2424">
        <f t="shared" si="213"/>
        <v>234</v>
      </c>
      <c r="E42" s="2424">
        <v>379</v>
      </c>
      <c r="F42" s="2425">
        <v>220</v>
      </c>
      <c r="G42" s="356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8" thickBot="1">
      <c r="A45" s="2374" t="s">
        <v>897</v>
      </c>
      <c r="B45" s="2375">
        <f>B44/(1+N44)</f>
        <v>275.19025476197027</v>
      </c>
      <c r="C45" s="2426">
        <v>232</v>
      </c>
      <c r="D45" s="2426">
        <f t="shared" si="213"/>
        <v>232</v>
      </c>
      <c r="E45" s="2375">
        <f t="shared" si="224"/>
        <v>375.65990977608692</v>
      </c>
      <c r="F45" s="2375">
        <f t="shared" si="224"/>
        <v>214.12518283971252</v>
      </c>
      <c r="G45" s="356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8" thickBot="1">
      <c r="A46" s="2374" t="s">
        <v>898</v>
      </c>
      <c r="B46" s="2389">
        <v>275</v>
      </c>
      <c r="C46" s="2389">
        <v>232</v>
      </c>
      <c r="D46" s="2389">
        <f t="shared" si="213"/>
        <v>232</v>
      </c>
      <c r="E46" s="2389">
        <v>376</v>
      </c>
      <c r="F46" s="2390">
        <v>213</v>
      </c>
      <c r="G46" s="356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8"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8" thickBot="1">
      <c r="A50" s="2374" t="s">
        <v>902</v>
      </c>
      <c r="B50" s="2389">
        <v>269</v>
      </c>
      <c r="C50" s="2389">
        <v>221</v>
      </c>
      <c r="D50" s="2389">
        <f t="shared" si="213"/>
        <v>221</v>
      </c>
      <c r="E50" s="2389">
        <v>373</v>
      </c>
      <c r="F50" s="2390">
        <v>196</v>
      </c>
      <c r="G50" s="356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8"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8" thickBot="1">
      <c r="A54" s="2374" t="s">
        <v>906</v>
      </c>
      <c r="B54" s="2389">
        <v>220</v>
      </c>
      <c r="C54" s="2389">
        <v>187</v>
      </c>
      <c r="D54" s="2389">
        <f t="shared" si="213"/>
        <v>187</v>
      </c>
      <c r="E54" s="2389">
        <v>301</v>
      </c>
      <c r="F54" s="2390">
        <v>168</v>
      </c>
      <c r="G54" s="356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8" thickBot="1">
      <c r="A58" s="2374" t="s">
        <v>910</v>
      </c>
      <c r="B58" s="2424">
        <v>214</v>
      </c>
      <c r="C58" s="2424">
        <v>188</v>
      </c>
      <c r="D58" s="2424">
        <f t="shared" si="213"/>
        <v>188</v>
      </c>
      <c r="E58" s="2424">
        <v>289</v>
      </c>
      <c r="F58" s="2425">
        <v>166</v>
      </c>
      <c r="G58" s="356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8"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8" thickBot="1">
      <c r="A62" s="2374" t="s">
        <v>914</v>
      </c>
      <c r="B62" s="2389">
        <v>188</v>
      </c>
      <c r="C62" s="2389">
        <v>165</v>
      </c>
      <c r="D62" s="2389">
        <f t="shared" si="213"/>
        <v>165</v>
      </c>
      <c r="E62" s="2389">
        <v>254</v>
      </c>
      <c r="F62" s="2390">
        <v>148</v>
      </c>
      <c r="G62" s="356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8" thickBot="1">
      <c r="A66" s="2374" t="s">
        <v>918</v>
      </c>
      <c r="B66" s="2403">
        <v>159</v>
      </c>
      <c r="C66" s="2403">
        <v>141</v>
      </c>
      <c r="D66" s="2403">
        <f t="shared" si="213"/>
        <v>141</v>
      </c>
      <c r="E66" s="2403">
        <v>195</v>
      </c>
      <c r="F66" s="2404">
        <v>122</v>
      </c>
      <c r="G66" s="356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8" thickBot="1">
      <c r="A70" s="2374" t="s">
        <v>922</v>
      </c>
      <c r="B70" s="2403">
        <v>138</v>
      </c>
      <c r="C70" s="2403">
        <v>131</v>
      </c>
      <c r="D70" s="2403">
        <f t="shared" si="213"/>
        <v>131</v>
      </c>
      <c r="E70" s="2403">
        <v>155</v>
      </c>
      <c r="F70" s="2404">
        <v>114</v>
      </c>
      <c r="G70" s="356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8" thickBot="1">
      <c r="A74" s="2374" t="s">
        <v>926</v>
      </c>
      <c r="B74" s="2424">
        <v>121</v>
      </c>
      <c r="C74" s="2424">
        <v>122</v>
      </c>
      <c r="D74" s="2424">
        <f t="shared" si="213"/>
        <v>122</v>
      </c>
      <c r="E74" s="2424">
        <v>124</v>
      </c>
      <c r="F74" s="2425">
        <v>107</v>
      </c>
      <c r="G74" s="356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8"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8" thickBot="1">
      <c r="A78" s="2374" t="s">
        <v>930</v>
      </c>
      <c r="B78" s="2444">
        <v>111</v>
      </c>
      <c r="C78" s="2444">
        <v>114</v>
      </c>
      <c r="D78" s="2444">
        <f t="shared" si="213"/>
        <v>114</v>
      </c>
      <c r="E78" s="2444">
        <v>108</v>
      </c>
      <c r="F78" s="2445">
        <v>104</v>
      </c>
      <c r="G78" s="356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1">
        <v>2003</v>
      </c>
      <c r="H80" s="2387">
        <v>2</v>
      </c>
      <c r="I80" s="2446"/>
      <c r="J80" s="2446"/>
      <c r="K80" s="2446"/>
      <c r="L80" s="2446"/>
      <c r="X80" s="2438"/>
      <c r="Y80" s="2438"/>
      <c r="Z80" s="2438"/>
    </row>
    <row r="81" spans="1:26" ht="13.8" thickBot="1">
      <c r="A81" s="2374" t="s">
        <v>933</v>
      </c>
      <c r="B81" s="2448">
        <f t="shared" si="249"/>
        <v>107.25</v>
      </c>
      <c r="C81" s="2448">
        <f t="shared" si="249"/>
        <v>108.75</v>
      </c>
      <c r="D81" s="2448">
        <f t="shared" si="213"/>
        <v>108.75</v>
      </c>
      <c r="E81" s="2448">
        <f t="shared" si="250"/>
        <v>105.75</v>
      </c>
      <c r="F81" s="2448">
        <f t="shared" si="250"/>
        <v>102.5</v>
      </c>
      <c r="G81" s="3562">
        <v>2003</v>
      </c>
      <c r="H81" s="2449">
        <v>1</v>
      </c>
      <c r="I81" s="2446"/>
      <c r="J81" s="2446"/>
      <c r="K81" s="2446"/>
      <c r="L81" s="2446"/>
      <c r="S81" s="2377"/>
      <c r="T81" s="2362"/>
      <c r="U81" s="2362"/>
      <c r="X81" s="2438"/>
      <c r="Y81" s="2438"/>
      <c r="Z81" s="2438"/>
    </row>
    <row r="82" spans="1:26" ht="13.8" thickBot="1">
      <c r="A82" s="2374" t="s">
        <v>934</v>
      </c>
      <c r="B82" s="2450">
        <v>106</v>
      </c>
      <c r="C82" s="2450">
        <v>107</v>
      </c>
      <c r="D82" s="2450">
        <f t="shared" si="213"/>
        <v>107</v>
      </c>
      <c r="E82" s="2450">
        <v>105</v>
      </c>
      <c r="F82" s="2451">
        <v>102</v>
      </c>
      <c r="G82" s="356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1">
        <v>2002</v>
      </c>
      <c r="H84" s="2387">
        <v>2</v>
      </c>
      <c r="I84" s="2446"/>
      <c r="J84" s="2446"/>
      <c r="K84" s="2446"/>
      <c r="L84" s="2446"/>
      <c r="X84" s="2438"/>
      <c r="Y84" s="2438"/>
      <c r="Z84" s="2438"/>
    </row>
    <row r="85" spans="1:26" s="2411" customFormat="1" ht="13.8" thickBot="1">
      <c r="A85" s="2407" t="s">
        <v>937</v>
      </c>
      <c r="B85" s="2414">
        <f t="shared" si="251"/>
        <v>103</v>
      </c>
      <c r="C85" s="2414">
        <f t="shared" si="251"/>
        <v>104</v>
      </c>
      <c r="D85" s="2414">
        <f t="shared" si="213"/>
        <v>104</v>
      </c>
      <c r="E85" s="2414">
        <f t="shared" si="252"/>
        <v>103.5</v>
      </c>
      <c r="F85" s="2414">
        <f t="shared" si="252"/>
        <v>100.5</v>
      </c>
      <c r="G85" s="3562">
        <v>2002</v>
      </c>
      <c r="H85" s="2452">
        <v>1</v>
      </c>
      <c r="I85" s="2453"/>
      <c r="J85" s="2453"/>
      <c r="K85" s="2453"/>
      <c r="L85" s="2453"/>
      <c r="N85" s="2454"/>
      <c r="S85" s="2454"/>
      <c r="X85" s="2455"/>
      <c r="Y85" s="2455"/>
      <c r="Z85" s="2455"/>
    </row>
    <row r="86" spans="1:26" ht="13.8"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8"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8"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2" t="s">
        <v>2584</v>
      </c>
      <c r="D1" s="3573"/>
      <c r="E1" s="3573"/>
      <c r="F1" s="3573"/>
      <c r="G1" s="3573"/>
      <c r="H1" s="3573"/>
      <c r="I1" s="3573"/>
      <c r="J1" s="3573"/>
      <c r="K1" s="3573"/>
      <c r="L1" s="3573"/>
      <c r="M1" s="3573"/>
      <c r="N1" s="3573"/>
      <c r="O1" s="3573"/>
      <c r="P1" s="3573"/>
      <c r="Q1" s="3573"/>
      <c r="R1" s="3573"/>
      <c r="S1" s="3574"/>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8"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2"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6">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9" t="s">
        <v>33</v>
      </c>
      <c r="D22" s="3570"/>
      <c r="E22" s="3570"/>
      <c r="F22" s="3570"/>
      <c r="G22" s="3570"/>
      <c r="H22" s="3570"/>
      <c r="I22" s="3570"/>
      <c r="J22" s="3570"/>
      <c r="K22" s="3570"/>
      <c r="L22" s="3570"/>
      <c r="M22" s="3570"/>
      <c r="N22" s="3570"/>
      <c r="O22" s="3570"/>
      <c r="P22" s="3570"/>
      <c r="Q22" s="3571"/>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8" customWidth="1"/>
    <col min="2" max="2" width="37.21875" style="1628" customWidth="1"/>
    <col min="3" max="3" width="11.33203125" style="1628" customWidth="1"/>
    <col min="4" max="4" width="31.77734375" style="1628" customWidth="1"/>
    <col min="5" max="5" width="0.44140625" style="1628" customWidth="1"/>
    <col min="6" max="7" width="13" style="1628" customWidth="1"/>
    <col min="8" max="16384" width="9" style="1628"/>
  </cols>
  <sheetData>
    <row r="1" spans="1:5" ht="17.399999999999999">
      <c r="A1" s="1626" t="s">
        <v>1345</v>
      </c>
      <c r="B1" s="1627"/>
      <c r="C1" s="1627"/>
      <c r="D1" s="1627"/>
      <c r="E1" s="1627"/>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7.399999999999999">
      <c r="A3" s="3238" t="str">
        <f>IF(项目基本情况!B9="房地产市场价值","估价结果一览表（市场价值不需“结果表-1”）","估价结果一览表")</f>
        <v>估价结果一览表</v>
      </c>
      <c r="B3" s="3238"/>
      <c r="C3" s="3238"/>
      <c r="D3" s="3238"/>
      <c r="E3" s="3238"/>
    </row>
    <row r="4" spans="1:5" ht="18" thickBot="1">
      <c r="A4" s="1629"/>
      <c r="B4" s="3236" t="s">
        <v>1354</v>
      </c>
      <c r="C4" s="3236"/>
      <c r="D4" s="3236"/>
      <c r="E4" s="1629"/>
    </row>
    <row r="5" spans="1:5" ht="16.2" thickTop="1">
      <c r="A5" s="1627"/>
      <c r="B5" s="3234" t="s">
        <v>1346</v>
      </c>
      <c r="C5" s="1630" t="s">
        <v>1347</v>
      </c>
      <c r="D5" s="940">
        <f ca="1">结果表!H101</f>
        <v>3219</v>
      </c>
      <c r="E5" s="1627"/>
    </row>
    <row r="6" spans="1:5" ht="15.6">
      <c r="A6" s="1627"/>
      <c r="B6" s="3234"/>
      <c r="C6" s="1630" t="s">
        <v>1348</v>
      </c>
      <c r="D6" s="940" t="str">
        <f ca="1">NUMBERSTRING(INT(D5*10000),2)&amp;"元整"</f>
        <v>叁仟贰佰壹拾玖万元整</v>
      </c>
      <c r="E6" s="1627"/>
    </row>
    <row r="7" spans="1:5" ht="15.6">
      <c r="A7" s="1627"/>
      <c r="B7" s="3239"/>
      <c r="C7" s="1631" t="s">
        <v>1349</v>
      </c>
      <c r="D7" s="941">
        <f ca="1">结果表!H102</f>
        <v>2728</v>
      </c>
      <c r="E7" s="1627"/>
    </row>
    <row r="8" spans="1:5" ht="15.6">
      <c r="A8" s="1627"/>
      <c r="B8" s="3240" t="str">
        <f>结果表!E103</f>
        <v>2.估价师知悉的法定优先受偿款</v>
      </c>
      <c r="C8" s="1632" t="s">
        <v>1350</v>
      </c>
      <c r="D8" s="941">
        <f>结果表!H103</f>
        <v>0</v>
      </c>
      <c r="E8" s="1627"/>
    </row>
    <row r="9" spans="1:5" ht="15.6">
      <c r="A9" s="1627"/>
      <c r="B9" s="3242"/>
      <c r="C9" s="1630" t="s">
        <v>1348</v>
      </c>
      <c r="D9" s="940" t="str">
        <f>NUMBERSTRING(INT(D8*10000),2)&amp;"元整"</f>
        <v>零元整</v>
      </c>
      <c r="E9" s="1627"/>
    </row>
    <row r="10" spans="1:5" ht="15.6">
      <c r="A10" s="1627"/>
      <c r="B10" s="1633" t="s">
        <v>1353</v>
      </c>
      <c r="C10" s="1634" t="s">
        <v>1351</v>
      </c>
      <c r="D10" s="942">
        <f>结果表!H104</f>
        <v>0</v>
      </c>
      <c r="E10" s="1627"/>
    </row>
    <row r="11" spans="1:5" ht="15.6">
      <c r="A11" s="1627"/>
      <c r="B11" s="1633" t="s">
        <v>1355</v>
      </c>
      <c r="C11" s="1634" t="s">
        <v>1356</v>
      </c>
      <c r="D11" s="942">
        <f>结果表!H105</f>
        <v>0</v>
      </c>
      <c r="E11" s="1627"/>
    </row>
    <row r="12" spans="1:5" ht="15.6">
      <c r="A12" s="1627"/>
      <c r="B12" s="1633" t="s">
        <v>1357</v>
      </c>
      <c r="C12" s="1634" t="s">
        <v>1356</v>
      </c>
      <c r="D12" s="942">
        <f>结果表!H106</f>
        <v>0</v>
      </c>
      <c r="E12" s="1627"/>
    </row>
    <row r="13" spans="1:5" ht="15.6">
      <c r="A13" s="1627"/>
      <c r="B13" s="3233" t="str">
        <f>结果表!E107</f>
        <v>3.房地产抵押价值</v>
      </c>
      <c r="C13" s="1635" t="s">
        <v>1347</v>
      </c>
      <c r="D13" s="943">
        <f ca="1">结果表!H107</f>
        <v>3219</v>
      </c>
      <c r="E13" s="1627"/>
    </row>
    <row r="14" spans="1:5" ht="15.6">
      <c r="A14" s="1627"/>
      <c r="B14" s="3234"/>
      <c r="C14" s="1630" t="s">
        <v>1348</v>
      </c>
      <c r="D14" s="940" t="str">
        <f ca="1">NUMBERSTRING(INT(D13*10000),2)&amp;"元整"</f>
        <v>叁仟贰佰壹拾玖万元整</v>
      </c>
      <c r="E14" s="1627"/>
    </row>
    <row r="15" spans="1:5" ht="15.6">
      <c r="A15" s="1627"/>
      <c r="B15" s="3239"/>
      <c r="C15" s="1631" t="s">
        <v>1358</v>
      </c>
      <c r="D15" s="949">
        <f ca="1">结果表!H108</f>
        <v>2728</v>
      </c>
      <c r="E15" s="1627"/>
    </row>
    <row r="16" spans="1:5" ht="15.6">
      <c r="A16" s="1627"/>
      <c r="B16" s="3240" t="str">
        <f>结果表!E109</f>
        <v>——</v>
      </c>
      <c r="C16" s="1635" t="s">
        <v>1359</v>
      </c>
      <c r="D16" s="1636" t="str">
        <f>结果表!H109</f>
        <v>——</v>
      </c>
      <c r="E16" s="1627"/>
    </row>
    <row r="17" spans="1:5" ht="15.6">
      <c r="A17" s="1627"/>
      <c r="B17" s="3241"/>
      <c r="C17" s="1630" t="s">
        <v>1360</v>
      </c>
      <c r="D17" s="940" t="e">
        <f>NUMBERSTRING(INT(D16*10000),2)&amp;"元整"</f>
        <v>#VALUE!</v>
      </c>
      <c r="E17" s="1627"/>
    </row>
    <row r="18" spans="1:5" ht="15.6">
      <c r="A18" s="1627"/>
      <c r="B18" s="3242"/>
      <c r="C18" s="1631" t="s">
        <v>1349</v>
      </c>
      <c r="D18" s="949" t="str">
        <f>结果表!H110</f>
        <v>——</v>
      </c>
      <c r="E18" s="1627"/>
    </row>
    <row r="19" spans="1:5" ht="15.6">
      <c r="A19" s="1627"/>
      <c r="B19" s="3233" t="str">
        <f>结果表!E111</f>
        <v>——</v>
      </c>
      <c r="C19" s="1635" t="s">
        <v>1347</v>
      </c>
      <c r="D19" s="941" t="str">
        <f>结果表!H111</f>
        <v>——</v>
      </c>
      <c r="E19" s="1627"/>
    </row>
    <row r="20" spans="1:5" ht="15.6">
      <c r="A20" s="1627"/>
      <c r="B20" s="3234"/>
      <c r="C20" s="1630" t="s">
        <v>1360</v>
      </c>
      <c r="D20" s="940" t="e">
        <f>NUMBERSTRING(INT(D19*10000),2)&amp;"元整"</f>
        <v>#VALUE!</v>
      </c>
      <c r="E20" s="1627"/>
    </row>
    <row r="21" spans="1:5" ht="16.2" thickBot="1">
      <c r="A21" s="1627"/>
      <c r="B21" s="3235"/>
      <c r="C21" s="1637" t="s">
        <v>1358</v>
      </c>
      <c r="D21" s="950" t="str">
        <f>结果表!H112</f>
        <v>——</v>
      </c>
      <c r="E21" s="1627"/>
    </row>
    <row r="22" spans="1:5" ht="14.4" thickTop="1">
      <c r="A22" s="1627"/>
      <c r="B22" s="1638" t="s">
        <v>1361</v>
      </c>
      <c r="C22" s="1627"/>
      <c r="D22" s="1627"/>
      <c r="E22" s="1627"/>
    </row>
    <row r="23" spans="1:5">
      <c r="A23" s="1627"/>
      <c r="B23" s="1627"/>
      <c r="C23" s="1627"/>
      <c r="D23" s="1627"/>
      <c r="E23" s="1627"/>
    </row>
    <row r="24" spans="1:5" ht="17.399999999999999">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27771</v>
      </c>
      <c r="C2" s="2" t="s">
        <v>133</v>
      </c>
      <c r="D2" s="205"/>
      <c r="E2" s="205"/>
      <c r="F2" s="205"/>
      <c r="G2" s="205"/>
    </row>
    <row r="3" spans="1:7" s="206" customFormat="1" ht="18" customHeight="1" thickBot="1">
      <c r="A3" s="209" t="s">
        <v>85</v>
      </c>
      <c r="B3" s="210">
        <f ca="1">ROUND(B2*10000/'数据-汇总表'!E3,0)</f>
        <v>23538</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100</v>
      </c>
      <c r="F9" s="227"/>
      <c r="G9" s="232"/>
    </row>
    <row r="10" spans="1:7" s="220" customFormat="1" ht="13.5" customHeight="1">
      <c r="A10" s="868" t="s">
        <v>620</v>
      </c>
      <c r="B10" s="230" t="s">
        <v>94</v>
      </c>
      <c r="C10" s="231">
        <f>ROUND(D10*E10/10000,0)</f>
        <v>177</v>
      </c>
      <c r="D10" s="935">
        <f>'数据-汇总表'!E6</f>
        <v>11798.5</v>
      </c>
      <c r="E10" s="231">
        <f>'数据-取费表'!B28</f>
        <v>150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236</v>
      </c>
      <c r="D19" s="939">
        <f>'数据-汇总表'!E3</f>
        <v>11798.5</v>
      </c>
      <c r="E19" s="217">
        <f>'数据-取费表'!B31</f>
        <v>200</v>
      </c>
      <c r="F19" s="237"/>
      <c r="G19" s="1" t="s">
        <v>861</v>
      </c>
    </row>
    <row r="20" spans="1:7" s="220" customFormat="1" ht="13.5" customHeight="1">
      <c r="A20" s="866" t="s">
        <v>844</v>
      </c>
      <c r="B20" s="216" t="s">
        <v>104</v>
      </c>
      <c r="C20" s="238">
        <f>ROUND((C5+C19)*F20,0)</f>
        <v>417</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874</v>
      </c>
      <c r="D22" s="241">
        <f ca="1">C26</f>
        <v>4.0000000000000002E-4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6.4">
      <c r="A27" s="866" t="s">
        <v>606</v>
      </c>
      <c r="B27" s="250" t="s">
        <v>112</v>
      </c>
      <c r="C27" s="251">
        <f>C28</f>
        <v>2126</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2126</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26224</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2086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1770</v>
      </c>
      <c r="D34" s="223"/>
      <c r="E34" s="226"/>
      <c r="F34" s="263">
        <f>IF('数据-取费表'!B24=0,1,'数据-取费表'!N16)</f>
        <v>1</v>
      </c>
      <c r="G34" s="225" t="s">
        <v>116</v>
      </c>
    </row>
    <row r="35" spans="1:7" ht="13.5" customHeight="1">
      <c r="A35" s="869" t="s">
        <v>615</v>
      </c>
      <c r="B35" s="221" t="s">
        <v>60</v>
      </c>
      <c r="C35" s="226">
        <f>ROUND(C34*F35,0)</f>
        <v>53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236</v>
      </c>
      <c r="D37" s="223">
        <f>'数据-汇总表'!E3</f>
        <v>11798.5</v>
      </c>
      <c r="E37" s="255">
        <f>'数据-取费表'!B35</f>
        <v>200</v>
      </c>
      <c r="F37" s="265"/>
      <c r="G37" s="267" t="s">
        <v>119</v>
      </c>
    </row>
    <row r="38" spans="1:7" ht="13.5" customHeight="1">
      <c r="A38" s="869" t="s">
        <v>618</v>
      </c>
      <c r="B38" s="221" t="s">
        <v>63</v>
      </c>
      <c r="C38" s="226">
        <f>ROUND(C34*F38,0)</f>
        <v>27</v>
      </c>
      <c r="D38" s="226"/>
      <c r="E38" s="226"/>
      <c r="F38" s="265">
        <f>'数据-取费表'!B36</f>
        <v>1.4999999999999999E-2</v>
      </c>
      <c r="G38" s="225" t="s">
        <v>117</v>
      </c>
    </row>
    <row r="39" spans="1:7" s="220" customFormat="1" ht="13.5" customHeight="1">
      <c r="A39" s="866" t="s">
        <v>602</v>
      </c>
      <c r="B39" s="216" t="s">
        <v>104</v>
      </c>
      <c r="C39" s="238">
        <f>ROUND(C33*F20,0)</f>
        <v>42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44</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43</v>
      </c>
      <c r="D42" s="244"/>
      <c r="E42" s="244"/>
      <c r="F42" s="245"/>
      <c r="G42" s="3421" t="s">
        <v>121</v>
      </c>
    </row>
    <row r="43" spans="1:7" ht="13.5" customHeight="1">
      <c r="A43" s="869" t="s">
        <v>611</v>
      </c>
      <c r="B43" s="221" t="s">
        <v>851</v>
      </c>
      <c r="C43" s="244">
        <f ca="1">ROUND(IF('数据-取费表'!B22&lt;=1,C39*F22*'数据-取费表'!B21/2,C39*(POWER((1+F22),'数据-取费表'!B21/2)-1)),0)</f>
        <v>1</v>
      </c>
      <c r="D43" s="244"/>
      <c r="E43" s="244"/>
      <c r="F43" s="245"/>
      <c r="G43" s="3422"/>
    </row>
    <row r="44" spans="1:7" ht="13.5" customHeight="1">
      <c r="A44" s="869" t="s">
        <v>612</v>
      </c>
      <c r="B44" s="221" t="s">
        <v>853</v>
      </c>
      <c r="C44" s="244">
        <f ca="1">ROUND(IF('数据-取费表'!B22&lt;=1,C40*F22*'数据-取费表'!B21/2,C40*(POWER((1+F22),'数据-取费表'!B21/2)-1)),4)</f>
        <v>4.0000000000000002E-4</v>
      </c>
      <c r="D44" s="244"/>
      <c r="E44" s="244"/>
      <c r="F44" s="245"/>
      <c r="G44" s="3423"/>
    </row>
    <row r="45" spans="1:7" s="220" customFormat="1" ht="13.5" customHeight="1">
      <c r="A45" s="866" t="s">
        <v>605</v>
      </c>
      <c r="B45" s="250" t="s">
        <v>112</v>
      </c>
      <c r="C45" s="251">
        <f>C46</f>
        <v>213</v>
      </c>
      <c r="D45" s="241">
        <f>C47</f>
        <v>2E-3</v>
      </c>
      <c r="E45" s="242" t="s">
        <v>129</v>
      </c>
      <c r="F45" s="252"/>
      <c r="G45" s="253" t="s">
        <v>859</v>
      </c>
    </row>
    <row r="46" spans="1:7" s="220" customFormat="1" ht="13.5" customHeight="1">
      <c r="A46" s="869" t="s">
        <v>613</v>
      </c>
      <c r="B46" s="254" t="s">
        <v>852</v>
      </c>
      <c r="C46" s="255">
        <f>ROUND((C33+C39)*F27,0)</f>
        <v>213</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2578</v>
      </c>
      <c r="D49" s="238"/>
      <c r="E49" s="238"/>
      <c r="F49" s="270"/>
      <c r="G49" s="240" t="s">
        <v>860</v>
      </c>
    </row>
    <row r="50" spans="1:7" s="264" customFormat="1" ht="24">
      <c r="A50" s="866" t="s">
        <v>608</v>
      </c>
      <c r="B50" s="216" t="s">
        <v>124</v>
      </c>
      <c r="C50" s="238"/>
      <c r="D50" s="238"/>
      <c r="E50" s="238"/>
      <c r="F50" s="270">
        <f>IF('数据-取费表'!B24=0,'数据-取费表'!N16,1)</f>
        <v>0.6</v>
      </c>
      <c r="G50" s="253" t="s">
        <v>125</v>
      </c>
    </row>
    <row r="51" spans="1:7" ht="16.5" customHeight="1">
      <c r="A51" s="866" t="s">
        <v>609</v>
      </c>
      <c r="B51" s="216" t="s">
        <v>132</v>
      </c>
      <c r="C51" s="238">
        <f ca="1">ROUND(C49*F50,0)</f>
        <v>1547</v>
      </c>
      <c r="D51" s="238"/>
      <c r="E51" s="238"/>
      <c r="F51" s="270"/>
      <c r="G51" s="240" t="s">
        <v>64</v>
      </c>
    </row>
    <row r="52" spans="1:7" s="214" customFormat="1" ht="16.8" thickBot="1">
      <c r="A52" s="271" t="s">
        <v>65</v>
      </c>
      <c r="B52" s="272"/>
      <c r="C52" s="273">
        <f ca="1">C31+C51</f>
        <v>27771</v>
      </c>
      <c r="D52" s="272"/>
      <c r="E52" s="272"/>
      <c r="F52" s="272"/>
      <c r="G52" s="274"/>
    </row>
    <row r="55" spans="1:7" ht="15">
      <c r="B55" s="276" t="s">
        <v>66</v>
      </c>
      <c r="C55" s="277"/>
    </row>
    <row r="56" spans="1:7">
      <c r="B56" s="279" t="s">
        <v>67</v>
      </c>
      <c r="C56" s="280">
        <f ca="1">ROUND(C51/C52,3)</f>
        <v>5.6000000000000001E-2</v>
      </c>
    </row>
    <row r="57" spans="1:7">
      <c r="B57" s="279" t="s">
        <v>68</v>
      </c>
      <c r="C57" s="281">
        <f ca="1">1-C56</f>
        <v>0.94399999999999995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75" t="s">
        <v>156</v>
      </c>
      <c r="B1" s="3575"/>
      <c r="C1" s="3575"/>
      <c r="D1" s="3575"/>
      <c r="E1" s="3575"/>
      <c r="F1" s="357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76" t="s">
        <v>169</v>
      </c>
      <c r="B2" s="3576"/>
      <c r="C2" s="3576"/>
      <c r="D2" s="3576"/>
      <c r="E2" s="3576"/>
      <c r="F2" s="357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75" t="s">
        <v>658</v>
      </c>
      <c r="B1" s="3575"/>
    </row>
    <row r="2" spans="1:6" ht="15" thickBot="1">
      <c r="A2" s="953"/>
      <c r="B2" s="953"/>
    </row>
    <row r="3" spans="1:6" ht="15" thickBot="1">
      <c r="A3" s="953"/>
      <c r="B3" s="953"/>
      <c r="C3" s="956" t="s">
        <v>661</v>
      </c>
      <c r="D3" s="956" t="s">
        <v>662</v>
      </c>
      <c r="E3" s="956" t="s">
        <v>663</v>
      </c>
      <c r="F3" s="956" t="s">
        <v>664</v>
      </c>
    </row>
    <row r="4" spans="1:6" ht="15" thickBot="1">
      <c r="A4" s="954" t="s">
        <v>659</v>
      </c>
      <c r="B4" s="955" t="s">
        <v>660</v>
      </c>
      <c r="C4" s="956"/>
      <c r="D4" s="956"/>
      <c r="E4" s="956"/>
      <c r="F4" s="956"/>
    </row>
    <row r="5" spans="1:6" ht="15" thickBot="1">
      <c r="A5" s="779" t="s">
        <v>665</v>
      </c>
      <c r="B5" s="780" t="s">
        <v>666</v>
      </c>
      <c r="C5" s="957">
        <v>8.8999999999999996E-2</v>
      </c>
      <c r="D5" s="957">
        <v>7.3999999999999996E-2</v>
      </c>
      <c r="E5" s="957">
        <v>7.4999999999999997E-2</v>
      </c>
      <c r="F5" s="958">
        <v>0.1</v>
      </c>
    </row>
    <row r="6" spans="1:6" ht="15" thickBot="1">
      <c r="A6" s="779" t="s">
        <v>211</v>
      </c>
      <c r="B6" s="773" t="s">
        <v>667</v>
      </c>
      <c r="C6" s="959">
        <v>0.1</v>
      </c>
      <c r="D6" s="959">
        <v>9.0999999999999998E-2</v>
      </c>
      <c r="E6" s="959">
        <v>9.0999999999999998E-2</v>
      </c>
      <c r="F6" s="960">
        <v>0.1</v>
      </c>
    </row>
    <row r="7" spans="1:6" ht="15" thickBot="1">
      <c r="A7" s="779" t="s">
        <v>211</v>
      </c>
      <c r="B7" s="783" t="s">
        <v>200</v>
      </c>
      <c r="C7" s="959">
        <v>8.5999999999999993E-2</v>
      </c>
      <c r="D7" s="959">
        <v>9.6000000000000002E-2</v>
      </c>
      <c r="E7" s="959">
        <v>7.5999999999999998E-2</v>
      </c>
      <c r="F7" s="960">
        <v>0.1</v>
      </c>
    </row>
    <row r="8" spans="1:6" ht="15" thickBot="1">
      <c r="A8" s="779" t="s">
        <v>211</v>
      </c>
      <c r="B8" s="773" t="s">
        <v>212</v>
      </c>
      <c r="C8" s="959">
        <v>9.9000000000000005E-2</v>
      </c>
      <c r="D8" s="959">
        <v>9.8000000000000004E-2</v>
      </c>
      <c r="E8" s="959">
        <v>9.8000000000000004E-2</v>
      </c>
      <c r="F8" s="960">
        <v>0.1</v>
      </c>
    </row>
    <row r="9" spans="1:6" ht="15" thickBot="1">
      <c r="A9" s="789" t="s">
        <v>211</v>
      </c>
      <c r="B9" s="784" t="s">
        <v>224</v>
      </c>
      <c r="C9" s="961">
        <v>0.05</v>
      </c>
      <c r="D9" s="969"/>
      <c r="E9" s="969"/>
      <c r="F9" s="970"/>
    </row>
    <row r="10" spans="1:6" ht="15" thickBot="1">
      <c r="A10" s="779" t="s">
        <v>268</v>
      </c>
      <c r="B10" s="780" t="s">
        <v>668</v>
      </c>
      <c r="C10" s="957">
        <v>8.8999999999999996E-2</v>
      </c>
      <c r="D10" s="957">
        <v>7.2999999999999995E-2</v>
      </c>
      <c r="E10" s="957">
        <v>8.2000000000000003E-2</v>
      </c>
      <c r="F10" s="958">
        <v>0.1</v>
      </c>
    </row>
    <row r="11" spans="1:6" ht="15" thickBot="1">
      <c r="A11" s="779" t="s">
        <v>268</v>
      </c>
      <c r="B11" s="783" t="s">
        <v>187</v>
      </c>
      <c r="C11" s="959">
        <v>8.8999999999999996E-2</v>
      </c>
      <c r="D11" s="959">
        <v>7.2999999999999995E-2</v>
      </c>
      <c r="E11" s="959">
        <v>8.2000000000000003E-2</v>
      </c>
      <c r="F11" s="960">
        <v>0.1</v>
      </c>
    </row>
    <row r="12" spans="1:6" ht="15" thickBot="1">
      <c r="A12" s="779" t="s">
        <v>268</v>
      </c>
      <c r="B12" s="783" t="s">
        <v>138</v>
      </c>
      <c r="C12" s="959">
        <v>6.0999999999999999E-2</v>
      </c>
      <c r="D12" s="959">
        <v>7.0999999999999994E-2</v>
      </c>
      <c r="E12" s="959">
        <v>9.6000000000000002E-2</v>
      </c>
      <c r="F12" s="960">
        <v>0.1</v>
      </c>
    </row>
    <row r="13" spans="1:6" ht="15" thickBot="1">
      <c r="A13" s="779" t="s">
        <v>268</v>
      </c>
      <c r="B13" s="783" t="s">
        <v>213</v>
      </c>
      <c r="C13" s="959">
        <v>6.9000000000000006E-2</v>
      </c>
      <c r="D13" s="959">
        <v>6.5000000000000002E-2</v>
      </c>
      <c r="E13" s="959">
        <v>6.6000000000000003E-2</v>
      </c>
      <c r="F13" s="960">
        <v>0.1</v>
      </c>
    </row>
    <row r="14" spans="1:6" ht="15" thickBot="1">
      <c r="A14" s="779" t="s">
        <v>268</v>
      </c>
      <c r="B14" s="783" t="s">
        <v>225</v>
      </c>
      <c r="C14" s="959">
        <v>0.1</v>
      </c>
      <c r="D14" s="959">
        <v>6.5000000000000002E-2</v>
      </c>
      <c r="E14" s="959">
        <v>7.0000000000000007E-2</v>
      </c>
      <c r="F14" s="960">
        <v>0.1</v>
      </c>
    </row>
    <row r="15" spans="1:6" ht="15" thickBot="1">
      <c r="A15" s="779" t="s">
        <v>268</v>
      </c>
      <c r="B15" s="783" t="s">
        <v>236</v>
      </c>
      <c r="C15" s="959">
        <v>9.8000000000000004E-2</v>
      </c>
      <c r="D15" s="959">
        <v>8.8999999999999996E-2</v>
      </c>
      <c r="E15" s="959">
        <v>8.8999999999999996E-2</v>
      </c>
      <c r="F15" s="960">
        <v>0.1</v>
      </c>
    </row>
    <row r="16" spans="1:6" ht="15" thickBot="1">
      <c r="A16" s="779" t="s">
        <v>268</v>
      </c>
      <c r="B16" s="783" t="s">
        <v>247</v>
      </c>
      <c r="C16" s="959">
        <v>7.0000000000000007E-2</v>
      </c>
      <c r="D16" s="959">
        <v>9.2999999999999999E-2</v>
      </c>
      <c r="E16" s="959">
        <v>9.6000000000000002E-2</v>
      </c>
      <c r="F16" s="960">
        <v>0.1</v>
      </c>
    </row>
    <row r="17" spans="1:6" ht="15" thickBot="1">
      <c r="A17" s="779" t="s">
        <v>268</v>
      </c>
      <c r="B17" s="783" t="s">
        <v>258</v>
      </c>
      <c r="C17" s="959">
        <v>9.5000000000000001E-2</v>
      </c>
      <c r="D17" s="959">
        <v>0.1</v>
      </c>
      <c r="E17" s="959">
        <v>0.1</v>
      </c>
      <c r="F17" s="971"/>
    </row>
    <row r="18" spans="1:6" ht="15" thickBot="1">
      <c r="A18" s="779" t="s">
        <v>268</v>
      </c>
      <c r="B18" s="783" t="s">
        <v>270</v>
      </c>
      <c r="C18" s="959">
        <v>7.3999999999999996E-2</v>
      </c>
      <c r="D18" s="959">
        <v>9.9000000000000005E-2</v>
      </c>
      <c r="E18" s="959">
        <v>0.1</v>
      </c>
      <c r="F18" s="971"/>
    </row>
    <row r="19" spans="1:6" ht="15" thickBot="1">
      <c r="A19" s="779" t="s">
        <v>268</v>
      </c>
      <c r="B19" s="783" t="s">
        <v>280</v>
      </c>
      <c r="C19" s="959">
        <v>9.9000000000000005E-2</v>
      </c>
      <c r="D19" s="959">
        <v>7.5999999999999998E-2</v>
      </c>
      <c r="E19" s="959">
        <v>8.6999999999999994E-2</v>
      </c>
      <c r="F19" s="971"/>
    </row>
    <row r="20" spans="1:6" ht="15" thickBot="1">
      <c r="A20" s="779" t="s">
        <v>268</v>
      </c>
      <c r="B20" s="783" t="s">
        <v>290</v>
      </c>
      <c r="C20" s="959">
        <v>9.8000000000000004E-2</v>
      </c>
      <c r="D20" s="959">
        <v>8.5000000000000006E-2</v>
      </c>
      <c r="E20" s="959">
        <v>8.2000000000000003E-2</v>
      </c>
      <c r="F20" s="971"/>
    </row>
    <row r="21" spans="1:6" ht="15" thickBot="1">
      <c r="A21" s="779" t="s">
        <v>268</v>
      </c>
      <c r="B21" s="783" t="s">
        <v>300</v>
      </c>
      <c r="C21" s="959">
        <v>6.6000000000000003E-2</v>
      </c>
      <c r="D21" s="959">
        <v>6.4000000000000001E-2</v>
      </c>
      <c r="E21" s="959">
        <v>6.5000000000000002E-2</v>
      </c>
      <c r="F21" s="971"/>
    </row>
    <row r="22" spans="1:6" ht="15" thickBot="1">
      <c r="A22" s="779" t="s">
        <v>268</v>
      </c>
      <c r="B22" s="783" t="s">
        <v>669</v>
      </c>
      <c r="C22" s="959">
        <v>0.08</v>
      </c>
      <c r="D22" s="959">
        <v>9.8000000000000004E-2</v>
      </c>
      <c r="E22" s="959">
        <v>9.8000000000000004E-2</v>
      </c>
      <c r="F22" s="971"/>
    </row>
    <row r="23" spans="1:6" ht="15" thickBot="1">
      <c r="A23" s="779" t="s">
        <v>268</v>
      </c>
      <c r="B23" s="783" t="s">
        <v>321</v>
      </c>
      <c r="C23" s="959">
        <v>9.9000000000000005E-2</v>
      </c>
      <c r="D23" s="959">
        <v>9.8000000000000004E-2</v>
      </c>
      <c r="E23" s="959">
        <v>9.0999999999999998E-2</v>
      </c>
      <c r="F23" s="971"/>
    </row>
    <row r="24" spans="1:6" ht="15" thickBot="1">
      <c r="A24" s="779" t="s">
        <v>268</v>
      </c>
      <c r="B24" s="783" t="s">
        <v>332</v>
      </c>
      <c r="C24" s="959">
        <v>8.8999999999999996E-2</v>
      </c>
      <c r="D24" s="959">
        <v>9.7000000000000003E-2</v>
      </c>
      <c r="E24" s="959">
        <v>7.0000000000000007E-2</v>
      </c>
      <c r="F24" s="971"/>
    </row>
    <row r="25" spans="1:6" ht="15" thickBot="1">
      <c r="A25" s="779" t="s">
        <v>268</v>
      </c>
      <c r="B25" s="783" t="s">
        <v>342</v>
      </c>
      <c r="C25" s="959">
        <v>8.8999999999999996E-2</v>
      </c>
      <c r="D25" s="959">
        <v>0.1</v>
      </c>
      <c r="E25" s="959">
        <v>8.1000000000000003E-2</v>
      </c>
      <c r="F25" s="971"/>
    </row>
    <row r="26" spans="1:6" ht="15" thickBot="1">
      <c r="A26" s="779" t="s">
        <v>268</v>
      </c>
      <c r="B26" s="783" t="s">
        <v>352</v>
      </c>
      <c r="C26" s="972"/>
      <c r="D26" s="959">
        <v>9.6000000000000002E-2</v>
      </c>
      <c r="E26" s="959">
        <v>9.2999999999999999E-2</v>
      </c>
      <c r="F26" s="971"/>
    </row>
    <row r="27" spans="1:6" ht="15" thickBot="1">
      <c r="A27" s="779" t="s">
        <v>268</v>
      </c>
      <c r="B27" s="783" t="s">
        <v>362</v>
      </c>
      <c r="C27" s="972"/>
      <c r="D27" s="959">
        <v>7.5999999999999998E-2</v>
      </c>
      <c r="E27" s="959">
        <v>9.1999999999999998E-2</v>
      </c>
      <c r="F27" s="971"/>
    </row>
    <row r="28" spans="1:6" ht="15" thickBot="1">
      <c r="A28" s="789" t="s">
        <v>268</v>
      </c>
      <c r="B28" s="784" t="s">
        <v>372</v>
      </c>
      <c r="C28" s="969"/>
      <c r="D28" s="961">
        <v>7.5999999999999998E-2</v>
      </c>
      <c r="E28" s="961">
        <v>9.1999999999999998E-2</v>
      </c>
      <c r="F28" s="970"/>
    </row>
    <row r="29" spans="1:6" ht="15" thickBot="1">
      <c r="A29" s="779" t="s">
        <v>441</v>
      </c>
      <c r="B29" s="780" t="s">
        <v>670</v>
      </c>
      <c r="C29" s="957">
        <v>6.4000000000000001E-2</v>
      </c>
      <c r="D29" s="957">
        <v>6.5000000000000002E-2</v>
      </c>
      <c r="E29" s="957">
        <v>6.9000000000000006E-2</v>
      </c>
      <c r="F29" s="958">
        <v>0.1</v>
      </c>
    </row>
    <row r="30" spans="1:6" ht="15" thickBot="1">
      <c r="A30" s="779" t="s">
        <v>441</v>
      </c>
      <c r="B30" s="783" t="s">
        <v>188</v>
      </c>
      <c r="C30" s="959">
        <v>6.4000000000000001E-2</v>
      </c>
      <c r="D30" s="959">
        <v>9.9000000000000005E-2</v>
      </c>
      <c r="E30" s="959">
        <v>0.1</v>
      </c>
      <c r="F30" s="960">
        <v>0.1</v>
      </c>
    </row>
    <row r="31" spans="1:6" ht="15" thickBot="1">
      <c r="A31" s="779" t="s">
        <v>441</v>
      </c>
      <c r="B31" s="783" t="s">
        <v>201</v>
      </c>
      <c r="C31" s="959">
        <v>0.1</v>
      </c>
      <c r="D31" s="959">
        <v>9.5000000000000001E-2</v>
      </c>
      <c r="E31" s="959">
        <v>8.8999999999999996E-2</v>
      </c>
      <c r="F31" s="960">
        <v>0.1</v>
      </c>
    </row>
    <row r="32" spans="1:6" ht="15" thickBot="1">
      <c r="A32" s="779" t="s">
        <v>441</v>
      </c>
      <c r="B32" s="783" t="s">
        <v>214</v>
      </c>
      <c r="C32" s="959">
        <v>0.05</v>
      </c>
      <c r="D32" s="959">
        <v>0.05</v>
      </c>
      <c r="E32" s="959">
        <v>8.7999999999999995E-2</v>
      </c>
      <c r="F32" s="960">
        <v>0.1</v>
      </c>
    </row>
    <row r="33" spans="1:6" ht="15" thickBot="1">
      <c r="A33" s="779" t="s">
        <v>441</v>
      </c>
      <c r="B33" s="783" t="s">
        <v>226</v>
      </c>
      <c r="C33" s="959">
        <v>7.4999999999999997E-2</v>
      </c>
      <c r="D33" s="959">
        <v>9.4E-2</v>
      </c>
      <c r="E33" s="959">
        <v>9.7000000000000003E-2</v>
      </c>
      <c r="F33" s="960">
        <v>0.1</v>
      </c>
    </row>
    <row r="34" spans="1:6" ht="15" thickBot="1">
      <c r="A34" s="779" t="s">
        <v>441</v>
      </c>
      <c r="B34" s="783" t="s">
        <v>237</v>
      </c>
      <c r="C34" s="959">
        <v>9.8000000000000004E-2</v>
      </c>
      <c r="D34" s="959">
        <v>8.5999999999999993E-2</v>
      </c>
      <c r="E34" s="959">
        <v>9.7000000000000003E-2</v>
      </c>
      <c r="F34" s="960">
        <v>0.1</v>
      </c>
    </row>
    <row r="35" spans="1:6" ht="15" thickBot="1">
      <c r="A35" s="779" t="s">
        <v>441</v>
      </c>
      <c r="B35" s="783" t="s">
        <v>248</v>
      </c>
      <c r="C35" s="959">
        <v>5.8999999999999997E-2</v>
      </c>
      <c r="D35" s="959">
        <v>6.5000000000000002E-2</v>
      </c>
      <c r="E35" s="959">
        <v>7.0000000000000007E-2</v>
      </c>
      <c r="F35" s="960">
        <v>0.1</v>
      </c>
    </row>
    <row r="36" spans="1:6" ht="15" thickBot="1">
      <c r="A36" s="779" t="s">
        <v>441</v>
      </c>
      <c r="B36" s="783" t="s">
        <v>259</v>
      </c>
      <c r="C36" s="959">
        <v>6.3E-2</v>
      </c>
      <c r="D36" s="959">
        <v>0.1</v>
      </c>
      <c r="E36" s="959">
        <v>0.1</v>
      </c>
      <c r="F36" s="960">
        <v>0.1</v>
      </c>
    </row>
    <row r="37" spans="1:6" ht="15" thickBot="1">
      <c r="A37" s="779" t="s">
        <v>441</v>
      </c>
      <c r="B37" s="783" t="s">
        <v>271</v>
      </c>
      <c r="C37" s="959">
        <v>7.3999999999999996E-2</v>
      </c>
      <c r="D37" s="959">
        <v>0.1</v>
      </c>
      <c r="E37" s="959">
        <v>0.1</v>
      </c>
      <c r="F37" s="960">
        <v>0.1</v>
      </c>
    </row>
    <row r="38" spans="1:6" ht="15" thickBot="1">
      <c r="A38" s="779" t="s">
        <v>441</v>
      </c>
      <c r="B38" s="783" t="s">
        <v>281</v>
      </c>
      <c r="C38" s="959">
        <v>0.1</v>
      </c>
      <c r="D38" s="959">
        <v>9.6000000000000002E-2</v>
      </c>
      <c r="E38" s="959">
        <v>9.6000000000000002E-2</v>
      </c>
      <c r="F38" s="971"/>
    </row>
    <row r="39" spans="1:6" ht="15" thickBot="1">
      <c r="A39" s="779" t="s">
        <v>441</v>
      </c>
      <c r="B39" s="783" t="s">
        <v>291</v>
      </c>
      <c r="C39" s="959">
        <v>0.1</v>
      </c>
      <c r="D39" s="959">
        <v>9.6000000000000002E-2</v>
      </c>
      <c r="E39" s="959">
        <v>9.6000000000000002E-2</v>
      </c>
      <c r="F39" s="971"/>
    </row>
    <row r="40" spans="1:6" ht="15" thickBot="1">
      <c r="A40" s="779" t="s">
        <v>441</v>
      </c>
      <c r="B40" s="783" t="s">
        <v>301</v>
      </c>
      <c r="C40" s="959">
        <v>9.6000000000000002E-2</v>
      </c>
      <c r="D40" s="959">
        <v>0.1</v>
      </c>
      <c r="E40" s="959">
        <v>9.9000000000000005E-2</v>
      </c>
      <c r="F40" s="971"/>
    </row>
    <row r="41" spans="1:6" ht="15" thickBot="1">
      <c r="A41" s="779" t="s">
        <v>441</v>
      </c>
      <c r="B41" s="783" t="s">
        <v>311</v>
      </c>
      <c r="C41" s="959">
        <v>9.6000000000000002E-2</v>
      </c>
      <c r="D41" s="959">
        <v>9.8000000000000004E-2</v>
      </c>
      <c r="E41" s="959">
        <v>9.8000000000000004E-2</v>
      </c>
      <c r="F41" s="971"/>
    </row>
    <row r="42" spans="1:6" ht="15" thickBot="1">
      <c r="A42" s="779" t="s">
        <v>441</v>
      </c>
      <c r="B42" s="783" t="s">
        <v>322</v>
      </c>
      <c r="C42" s="959">
        <v>0.1</v>
      </c>
      <c r="D42" s="959">
        <v>8.7999999999999995E-2</v>
      </c>
      <c r="E42" s="959">
        <v>0.1</v>
      </c>
      <c r="F42" s="971"/>
    </row>
    <row r="43" spans="1:6" ht="15" thickBot="1">
      <c r="A43" s="779" t="s">
        <v>441</v>
      </c>
      <c r="B43" s="783" t="s">
        <v>333</v>
      </c>
      <c r="C43" s="959">
        <v>9.8000000000000004E-2</v>
      </c>
      <c r="D43" s="959">
        <v>9.7000000000000003E-2</v>
      </c>
      <c r="E43" s="959">
        <v>9.6000000000000002E-2</v>
      </c>
      <c r="F43" s="971"/>
    </row>
    <row r="44" spans="1:6" ht="15" thickBot="1">
      <c r="A44" s="779" t="s">
        <v>441</v>
      </c>
      <c r="B44" s="783" t="s">
        <v>343</v>
      </c>
      <c r="C44" s="959">
        <v>8.5999999999999993E-2</v>
      </c>
      <c r="D44" s="959">
        <v>7.9000000000000001E-2</v>
      </c>
      <c r="E44" s="959">
        <v>7.0999999999999994E-2</v>
      </c>
      <c r="F44" s="971"/>
    </row>
    <row r="45" spans="1:6" ht="15" thickBot="1">
      <c r="A45" s="779" t="s">
        <v>441</v>
      </c>
      <c r="B45" s="783" t="s">
        <v>353</v>
      </c>
      <c r="C45" s="959">
        <v>9.8000000000000004E-2</v>
      </c>
      <c r="D45" s="959">
        <v>9.6000000000000002E-2</v>
      </c>
      <c r="E45" s="959">
        <v>9.6000000000000002E-2</v>
      </c>
      <c r="F45" s="971"/>
    </row>
    <row r="46" spans="1:6" ht="15" thickBot="1">
      <c r="A46" s="779" t="s">
        <v>441</v>
      </c>
      <c r="B46" s="783" t="s">
        <v>363</v>
      </c>
      <c r="C46" s="959">
        <v>8.5999999999999993E-2</v>
      </c>
      <c r="D46" s="959">
        <v>9.8000000000000004E-2</v>
      </c>
      <c r="E46" s="959">
        <v>8.7999999999999995E-2</v>
      </c>
      <c r="F46" s="971"/>
    </row>
    <row r="47" spans="1:6" ht="15" thickBot="1">
      <c r="A47" s="779" t="s">
        <v>441</v>
      </c>
      <c r="B47" s="783" t="s">
        <v>373</v>
      </c>
      <c r="C47" s="959">
        <v>9.6000000000000002E-2</v>
      </c>
      <c r="D47" s="972"/>
      <c r="E47" s="959">
        <v>6.9000000000000006E-2</v>
      </c>
      <c r="F47" s="971"/>
    </row>
    <row r="48" spans="1:6" ht="15" thickBot="1">
      <c r="A48" s="789" t="s">
        <v>441</v>
      </c>
      <c r="B48" s="784" t="s">
        <v>382</v>
      </c>
      <c r="C48" s="961">
        <v>9.8000000000000004E-2</v>
      </c>
      <c r="D48" s="969"/>
      <c r="E48" s="961">
        <v>9.5000000000000001E-2</v>
      </c>
      <c r="F48" s="970"/>
    </row>
    <row r="49" spans="1:6" ht="15" thickBot="1">
      <c r="A49" s="779" t="s">
        <v>137</v>
      </c>
      <c r="B49" s="780" t="s">
        <v>671</v>
      </c>
      <c r="C49" s="957">
        <v>9.7000000000000003E-2</v>
      </c>
      <c r="D49" s="957">
        <v>9.5000000000000001E-2</v>
      </c>
      <c r="E49" s="957">
        <v>9.7000000000000003E-2</v>
      </c>
      <c r="F49" s="958">
        <v>0.1</v>
      </c>
    </row>
    <row r="50" spans="1:6" ht="15" thickBot="1">
      <c r="A50" s="779" t="s">
        <v>137</v>
      </c>
      <c r="B50" s="773" t="s">
        <v>189</v>
      </c>
      <c r="C50" s="959">
        <v>7.4999999999999997E-2</v>
      </c>
      <c r="D50" s="959">
        <v>9.5000000000000001E-2</v>
      </c>
      <c r="E50" s="959">
        <v>0.1</v>
      </c>
      <c r="F50" s="960">
        <v>0.1</v>
      </c>
    </row>
    <row r="51" spans="1:6" ht="15" thickBot="1">
      <c r="A51" s="779" t="s">
        <v>137</v>
      </c>
      <c r="B51" s="773" t="s">
        <v>202</v>
      </c>
      <c r="C51" s="959">
        <v>9.8000000000000004E-2</v>
      </c>
      <c r="D51" s="959">
        <v>8.8999999999999996E-2</v>
      </c>
      <c r="E51" s="959">
        <v>0.1</v>
      </c>
      <c r="F51" s="960">
        <v>0.1</v>
      </c>
    </row>
    <row r="52" spans="1:6" ht="15" thickBot="1">
      <c r="A52" s="779" t="s">
        <v>137</v>
      </c>
      <c r="B52" s="773" t="s">
        <v>215</v>
      </c>
      <c r="C52" s="959">
        <v>9.8000000000000004E-2</v>
      </c>
      <c r="D52" s="959">
        <v>9.7000000000000003E-2</v>
      </c>
      <c r="E52" s="959">
        <v>8.1000000000000003E-2</v>
      </c>
      <c r="F52" s="960">
        <v>0.1</v>
      </c>
    </row>
    <row r="53" spans="1:6" ht="15" thickBot="1">
      <c r="A53" s="779" t="s">
        <v>137</v>
      </c>
      <c r="B53" s="773" t="s">
        <v>227</v>
      </c>
      <c r="C53" s="959">
        <v>9.7000000000000003E-2</v>
      </c>
      <c r="D53" s="959">
        <v>7.5999999999999998E-2</v>
      </c>
      <c r="E53" s="959">
        <v>7.0999999999999994E-2</v>
      </c>
      <c r="F53" s="960">
        <v>0.1</v>
      </c>
    </row>
    <row r="54" spans="1:6" ht="15" thickBot="1">
      <c r="A54" s="779" t="s">
        <v>137</v>
      </c>
      <c r="B54" s="773" t="s">
        <v>238</v>
      </c>
      <c r="C54" s="959">
        <v>7.5999999999999998E-2</v>
      </c>
      <c r="D54" s="959">
        <v>0.1</v>
      </c>
      <c r="E54" s="959">
        <v>9.9000000000000005E-2</v>
      </c>
      <c r="F54" s="960">
        <v>0.1</v>
      </c>
    </row>
    <row r="55" spans="1:6" ht="15" thickBot="1">
      <c r="A55" s="779" t="s">
        <v>137</v>
      </c>
      <c r="B55" s="773" t="s">
        <v>249</v>
      </c>
      <c r="C55" s="959">
        <v>0.1</v>
      </c>
      <c r="D55" s="959">
        <v>0.1</v>
      </c>
      <c r="E55" s="959">
        <v>9.6000000000000002E-2</v>
      </c>
      <c r="F55" s="960">
        <v>0.1</v>
      </c>
    </row>
    <row r="56" spans="1:6" ht="15" thickBot="1">
      <c r="A56" s="779" t="s">
        <v>137</v>
      </c>
      <c r="B56" s="773" t="s">
        <v>260</v>
      </c>
      <c r="C56" s="959">
        <v>0.1</v>
      </c>
      <c r="D56" s="959">
        <v>9.6000000000000002E-2</v>
      </c>
      <c r="E56" s="959">
        <v>5.1999999999999998E-2</v>
      </c>
      <c r="F56" s="960">
        <v>0.1</v>
      </c>
    </row>
    <row r="57" spans="1:6" ht="15" thickBot="1">
      <c r="A57" s="779" t="s">
        <v>137</v>
      </c>
      <c r="B57" s="773" t="s">
        <v>272</v>
      </c>
      <c r="C57" s="959">
        <v>9.7000000000000003E-2</v>
      </c>
      <c r="D57" s="959">
        <v>9.6000000000000002E-2</v>
      </c>
      <c r="E57" s="959">
        <v>9.6000000000000002E-2</v>
      </c>
      <c r="F57" s="960">
        <v>0.1</v>
      </c>
    </row>
    <row r="58" spans="1:6" ht="15" thickBot="1">
      <c r="A58" s="779" t="s">
        <v>137</v>
      </c>
      <c r="B58" s="773" t="s">
        <v>282</v>
      </c>
      <c r="C58" s="959">
        <v>9.6000000000000002E-2</v>
      </c>
      <c r="D58" s="959">
        <v>9.9000000000000005E-2</v>
      </c>
      <c r="E58" s="959">
        <v>9.6000000000000002E-2</v>
      </c>
      <c r="F58" s="960">
        <v>0.1</v>
      </c>
    </row>
    <row r="59" spans="1:6" ht="15" thickBot="1">
      <c r="A59" s="779" t="s">
        <v>137</v>
      </c>
      <c r="B59" s="773" t="s">
        <v>292</v>
      </c>
      <c r="C59" s="959">
        <v>7.1999999999999995E-2</v>
      </c>
      <c r="D59" s="959">
        <v>9.6000000000000002E-2</v>
      </c>
      <c r="E59" s="959">
        <v>7.0999999999999994E-2</v>
      </c>
      <c r="F59" s="960">
        <v>0.1</v>
      </c>
    </row>
    <row r="60" spans="1:6" ht="15" thickBot="1">
      <c r="A60" s="779" t="s">
        <v>137</v>
      </c>
      <c r="B60" s="773" t="s">
        <v>302</v>
      </c>
      <c r="C60" s="959">
        <v>9.6000000000000002E-2</v>
      </c>
      <c r="D60" s="959">
        <v>8.8999999999999996E-2</v>
      </c>
      <c r="E60" s="959">
        <v>9.6000000000000002E-2</v>
      </c>
      <c r="F60" s="960">
        <v>0.1</v>
      </c>
    </row>
    <row r="61" spans="1:6" ht="15" thickBot="1">
      <c r="A61" s="779" t="s">
        <v>137</v>
      </c>
      <c r="B61" s="773" t="s">
        <v>312</v>
      </c>
      <c r="C61" s="959">
        <v>8.8999999999999996E-2</v>
      </c>
      <c r="D61" s="959">
        <v>9.8000000000000004E-2</v>
      </c>
      <c r="E61" s="959">
        <v>8.7999999999999995E-2</v>
      </c>
      <c r="F61" s="971"/>
    </row>
    <row r="62" spans="1:6" ht="15" thickBot="1">
      <c r="A62" s="779" t="s">
        <v>137</v>
      </c>
      <c r="B62" s="773" t="s">
        <v>323</v>
      </c>
      <c r="C62" s="959">
        <v>9.8000000000000004E-2</v>
      </c>
      <c r="D62" s="959">
        <v>9.2999999999999999E-2</v>
      </c>
      <c r="E62" s="959">
        <v>9.7000000000000003E-2</v>
      </c>
      <c r="F62" s="971"/>
    </row>
    <row r="63" spans="1:6" ht="15" thickBot="1">
      <c r="A63" s="779" t="s">
        <v>137</v>
      </c>
      <c r="B63" s="773" t="s">
        <v>334</v>
      </c>
      <c r="C63" s="959">
        <v>9.6000000000000002E-2</v>
      </c>
      <c r="D63" s="959">
        <v>9.8000000000000004E-2</v>
      </c>
      <c r="E63" s="959">
        <v>0.09</v>
      </c>
      <c r="F63" s="971"/>
    </row>
    <row r="64" spans="1:6" ht="15" thickBot="1">
      <c r="A64" s="779" t="s">
        <v>137</v>
      </c>
      <c r="B64" s="773" t="s">
        <v>344</v>
      </c>
      <c r="C64" s="959">
        <v>9.9000000000000005E-2</v>
      </c>
      <c r="D64" s="959">
        <v>9.7000000000000003E-2</v>
      </c>
      <c r="E64" s="959">
        <v>9.9000000000000005E-2</v>
      </c>
      <c r="F64" s="971"/>
    </row>
    <row r="65" spans="1:6" ht="15" thickBot="1">
      <c r="A65" s="779" t="s">
        <v>137</v>
      </c>
      <c r="B65" s="773" t="s">
        <v>354</v>
      </c>
      <c r="C65" s="959">
        <v>9.8000000000000004E-2</v>
      </c>
      <c r="D65" s="959">
        <v>9.6000000000000002E-2</v>
      </c>
      <c r="E65" s="959">
        <v>9.6000000000000002E-2</v>
      </c>
      <c r="F65" s="971"/>
    </row>
    <row r="66" spans="1:6" ht="15" thickBot="1">
      <c r="A66" s="779" t="s">
        <v>137</v>
      </c>
      <c r="B66" s="773" t="s">
        <v>364</v>
      </c>
      <c r="C66" s="959">
        <v>9.6000000000000002E-2</v>
      </c>
      <c r="D66" s="959">
        <v>9.1999999999999998E-2</v>
      </c>
      <c r="E66" s="959">
        <v>9.6000000000000002E-2</v>
      </c>
      <c r="F66" s="971"/>
    </row>
    <row r="67" spans="1:6" ht="15" thickBot="1">
      <c r="A67" s="779" t="s">
        <v>137</v>
      </c>
      <c r="B67" s="773" t="s">
        <v>374</v>
      </c>
      <c r="C67" s="959">
        <v>9.4E-2</v>
      </c>
      <c r="D67" s="959">
        <v>0.1</v>
      </c>
      <c r="E67" s="959">
        <v>8.7999999999999995E-2</v>
      </c>
      <c r="F67" s="971"/>
    </row>
    <row r="68" spans="1:6" ht="15" thickBot="1">
      <c r="A68" s="779" t="s">
        <v>137</v>
      </c>
      <c r="B68" s="773" t="s">
        <v>383</v>
      </c>
      <c r="C68" s="959">
        <v>0.1</v>
      </c>
      <c r="D68" s="959">
        <v>8.7999999999999995E-2</v>
      </c>
      <c r="E68" s="959">
        <v>9.7000000000000003E-2</v>
      </c>
      <c r="F68" s="971"/>
    </row>
    <row r="69" spans="1:6" ht="15" thickBot="1">
      <c r="A69" s="779" t="s">
        <v>137</v>
      </c>
      <c r="B69" s="773" t="s">
        <v>392</v>
      </c>
      <c r="C69" s="959">
        <v>6.4000000000000001E-2</v>
      </c>
      <c r="D69" s="959">
        <v>0.1</v>
      </c>
      <c r="E69" s="959">
        <v>0.1</v>
      </c>
      <c r="F69" s="971"/>
    </row>
    <row r="70" spans="1:6" ht="15" thickBot="1">
      <c r="A70" s="779" t="s">
        <v>137</v>
      </c>
      <c r="B70" s="773" t="s">
        <v>400</v>
      </c>
      <c r="C70" s="959">
        <v>9.0999999999999998E-2</v>
      </c>
      <c r="D70" s="972"/>
      <c r="E70" s="972"/>
      <c r="F70" s="971"/>
    </row>
    <row r="71" spans="1:6" ht="15" thickBot="1">
      <c r="A71" s="779" t="s">
        <v>137</v>
      </c>
      <c r="B71" s="773" t="s">
        <v>407</v>
      </c>
      <c r="C71" s="959">
        <v>0.1</v>
      </c>
      <c r="D71" s="972"/>
      <c r="E71" s="972"/>
      <c r="F71" s="971"/>
    </row>
    <row r="72" spans="1:6" ht="24.6" thickBot="1">
      <c r="A72" s="779" t="s">
        <v>137</v>
      </c>
      <c r="B72" s="773" t="s">
        <v>672</v>
      </c>
      <c r="C72" s="972"/>
      <c r="D72" s="972"/>
      <c r="E72" s="972"/>
      <c r="F72" s="960">
        <v>0.05</v>
      </c>
    </row>
    <row r="73" spans="1:6" ht="24.6" thickBot="1">
      <c r="A73" s="779" t="s">
        <v>137</v>
      </c>
      <c r="B73" s="773" t="s">
        <v>673</v>
      </c>
      <c r="C73" s="972"/>
      <c r="D73" s="972"/>
      <c r="E73" s="972"/>
      <c r="F73" s="960">
        <v>0.05</v>
      </c>
    </row>
    <row r="74" spans="1:6" ht="24.6" thickBot="1">
      <c r="A74" s="779" t="s">
        <v>137</v>
      </c>
      <c r="B74" s="773" t="s">
        <v>674</v>
      </c>
      <c r="C74" s="972"/>
      <c r="D74" s="972"/>
      <c r="E74" s="972"/>
      <c r="F74" s="960">
        <v>0.05</v>
      </c>
    </row>
    <row r="75" spans="1:6" ht="24.6" thickBot="1">
      <c r="A75" s="789" t="s">
        <v>137</v>
      </c>
      <c r="B75" s="785" t="s">
        <v>675</v>
      </c>
      <c r="C75" s="969"/>
      <c r="D75" s="969"/>
      <c r="E75" s="969"/>
      <c r="F75" s="962">
        <v>0.05</v>
      </c>
    </row>
    <row r="76" spans="1:6" ht="15" thickBot="1">
      <c r="A76" s="779" t="s">
        <v>522</v>
      </c>
      <c r="B76" s="780" t="s">
        <v>676</v>
      </c>
      <c r="C76" s="957">
        <v>0.1</v>
      </c>
      <c r="D76" s="957">
        <v>0.1</v>
      </c>
      <c r="E76" s="957">
        <v>0.1</v>
      </c>
      <c r="F76" s="958">
        <v>0.1</v>
      </c>
    </row>
    <row r="77" spans="1:6" ht="15" thickBot="1">
      <c r="A77" s="779" t="s">
        <v>522</v>
      </c>
      <c r="B77" s="773" t="s">
        <v>190</v>
      </c>
      <c r="C77" s="959">
        <v>8.7999999999999995E-2</v>
      </c>
      <c r="D77" s="959">
        <v>8.6999999999999994E-2</v>
      </c>
      <c r="E77" s="959">
        <v>7.9000000000000001E-2</v>
      </c>
      <c r="F77" s="960">
        <v>0.1</v>
      </c>
    </row>
    <row r="78" spans="1:6" ht="15" thickBot="1">
      <c r="A78" s="779" t="s">
        <v>522</v>
      </c>
      <c r="B78" s="773" t="s">
        <v>203</v>
      </c>
      <c r="C78" s="959">
        <v>8.6999999999999994E-2</v>
      </c>
      <c r="D78" s="959">
        <v>8.4000000000000005E-2</v>
      </c>
      <c r="E78" s="959">
        <v>9.6000000000000002E-2</v>
      </c>
      <c r="F78" s="960">
        <v>0.1</v>
      </c>
    </row>
    <row r="79" spans="1:6" ht="15" thickBot="1">
      <c r="A79" s="779" t="s">
        <v>522</v>
      </c>
      <c r="B79" s="773" t="s">
        <v>216</v>
      </c>
      <c r="C79" s="959">
        <v>9.8000000000000004E-2</v>
      </c>
      <c r="D79" s="959">
        <v>9.8000000000000004E-2</v>
      </c>
      <c r="E79" s="959">
        <v>9.0999999999999998E-2</v>
      </c>
      <c r="F79" s="960">
        <v>0.1</v>
      </c>
    </row>
    <row r="80" spans="1:6" ht="15" thickBot="1">
      <c r="A80" s="779" t="s">
        <v>522</v>
      </c>
      <c r="B80" s="773" t="s">
        <v>228</v>
      </c>
      <c r="C80" s="959">
        <v>9.6000000000000002E-2</v>
      </c>
      <c r="D80" s="959">
        <v>9.6000000000000002E-2</v>
      </c>
      <c r="E80" s="959">
        <v>0.1</v>
      </c>
      <c r="F80" s="960">
        <v>0.1</v>
      </c>
    </row>
    <row r="81" spans="1:6" ht="15" thickBot="1">
      <c r="A81" s="779" t="s">
        <v>522</v>
      </c>
      <c r="B81" s="773" t="s">
        <v>239</v>
      </c>
      <c r="C81" s="959">
        <v>9.9000000000000005E-2</v>
      </c>
      <c r="D81" s="959">
        <v>9.9000000000000005E-2</v>
      </c>
      <c r="E81" s="959">
        <v>9.8000000000000004E-2</v>
      </c>
      <c r="F81" s="960">
        <v>0.1</v>
      </c>
    </row>
    <row r="82" spans="1:6" ht="15" thickBot="1">
      <c r="A82" s="779" t="s">
        <v>522</v>
      </c>
      <c r="B82" s="773" t="s">
        <v>250</v>
      </c>
      <c r="C82" s="959">
        <v>9.9000000000000005E-2</v>
      </c>
      <c r="D82" s="959">
        <v>9.9000000000000005E-2</v>
      </c>
      <c r="E82" s="959">
        <v>9.7000000000000003E-2</v>
      </c>
      <c r="F82" s="960">
        <v>0.1</v>
      </c>
    </row>
    <row r="83" spans="1:6" ht="15" thickBot="1">
      <c r="A83" s="779" t="s">
        <v>522</v>
      </c>
      <c r="B83" s="773" t="s">
        <v>261</v>
      </c>
      <c r="C83" s="959">
        <v>9.8000000000000004E-2</v>
      </c>
      <c r="D83" s="959">
        <v>9.8000000000000004E-2</v>
      </c>
      <c r="E83" s="959">
        <v>9.8000000000000004E-2</v>
      </c>
      <c r="F83" s="960">
        <v>0.1</v>
      </c>
    </row>
    <row r="84" spans="1:6" ht="15" thickBot="1">
      <c r="A84" s="779" t="s">
        <v>522</v>
      </c>
      <c r="B84" s="773" t="s">
        <v>273</v>
      </c>
      <c r="C84" s="959">
        <v>9.9000000000000005E-2</v>
      </c>
      <c r="D84" s="959">
        <v>9.9000000000000005E-2</v>
      </c>
      <c r="E84" s="959">
        <v>9.9000000000000005E-2</v>
      </c>
      <c r="F84" s="960">
        <v>0.1</v>
      </c>
    </row>
    <row r="85" spans="1:6" ht="15" thickBot="1">
      <c r="A85" s="779" t="s">
        <v>522</v>
      </c>
      <c r="B85" s="773" t="s">
        <v>283</v>
      </c>
      <c r="C85" s="959">
        <v>9.9000000000000005E-2</v>
      </c>
      <c r="D85" s="959">
        <v>9.9000000000000005E-2</v>
      </c>
      <c r="E85" s="959">
        <v>9.9000000000000005E-2</v>
      </c>
      <c r="F85" s="960">
        <v>0.1</v>
      </c>
    </row>
    <row r="86" spans="1:6" ht="15" thickBot="1">
      <c r="A86" s="779" t="s">
        <v>522</v>
      </c>
      <c r="B86" s="773" t="s">
        <v>293</v>
      </c>
      <c r="C86" s="959">
        <v>0.1</v>
      </c>
      <c r="D86" s="959">
        <v>0.1</v>
      </c>
      <c r="E86" s="959">
        <v>7.6999999999999999E-2</v>
      </c>
      <c r="F86" s="960">
        <v>0.1</v>
      </c>
    </row>
    <row r="87" spans="1:6" ht="15" thickBot="1">
      <c r="A87" s="779" t="s">
        <v>522</v>
      </c>
      <c r="B87" s="773" t="s">
        <v>303</v>
      </c>
      <c r="C87" s="959">
        <v>0.1</v>
      </c>
      <c r="D87" s="959">
        <v>0.1</v>
      </c>
      <c r="E87" s="959">
        <v>9.8000000000000004E-2</v>
      </c>
      <c r="F87" s="971"/>
    </row>
    <row r="88" spans="1:6" ht="15" thickBot="1">
      <c r="A88" s="779" t="s">
        <v>522</v>
      </c>
      <c r="B88" s="773" t="s">
        <v>313</v>
      </c>
      <c r="C88" s="959">
        <v>9.1999999999999998E-2</v>
      </c>
      <c r="D88" s="959">
        <v>8.5000000000000006E-2</v>
      </c>
      <c r="E88" s="959">
        <v>9.6000000000000002E-2</v>
      </c>
      <c r="F88" s="971"/>
    </row>
    <row r="89" spans="1:6" ht="15" thickBot="1">
      <c r="A89" s="779" t="s">
        <v>522</v>
      </c>
      <c r="B89" s="773" t="s">
        <v>324</v>
      </c>
      <c r="C89" s="959">
        <v>0.1</v>
      </c>
      <c r="D89" s="959">
        <v>0.1</v>
      </c>
      <c r="E89" s="959">
        <v>9.7000000000000003E-2</v>
      </c>
      <c r="F89" s="971"/>
    </row>
    <row r="90" spans="1:6" ht="15" thickBot="1">
      <c r="A90" s="779" t="s">
        <v>522</v>
      </c>
      <c r="B90" s="773" t="s">
        <v>335</v>
      </c>
      <c r="C90" s="959">
        <v>9.8000000000000004E-2</v>
      </c>
      <c r="D90" s="959">
        <v>9.8000000000000004E-2</v>
      </c>
      <c r="E90" s="959">
        <v>8.7999999999999995E-2</v>
      </c>
      <c r="F90" s="971"/>
    </row>
    <row r="91" spans="1:6" ht="15" thickBot="1">
      <c r="A91" s="779" t="s">
        <v>522</v>
      </c>
      <c r="B91" s="773" t="s">
        <v>345</v>
      </c>
      <c r="C91" s="959">
        <v>9.9000000000000005E-2</v>
      </c>
      <c r="D91" s="959">
        <v>9.9000000000000005E-2</v>
      </c>
      <c r="E91" s="959">
        <v>9.0999999999999998E-2</v>
      </c>
      <c r="F91" s="971"/>
    </row>
    <row r="92" spans="1:6" ht="15" thickBot="1">
      <c r="A92" s="779" t="s">
        <v>522</v>
      </c>
      <c r="B92" s="773" t="s">
        <v>355</v>
      </c>
      <c r="C92" s="959">
        <v>9.6000000000000002E-2</v>
      </c>
      <c r="D92" s="959">
        <v>9.6000000000000002E-2</v>
      </c>
      <c r="E92" s="959">
        <v>7.2999999999999995E-2</v>
      </c>
      <c r="F92" s="971"/>
    </row>
    <row r="93" spans="1:6" ht="15" thickBot="1">
      <c r="A93" s="779" t="s">
        <v>522</v>
      </c>
      <c r="B93" s="773" t="s">
        <v>365</v>
      </c>
      <c r="C93" s="959">
        <v>9.6000000000000002E-2</v>
      </c>
      <c r="D93" s="959">
        <v>9.6000000000000002E-2</v>
      </c>
      <c r="E93" s="959">
        <v>9.9000000000000005E-2</v>
      </c>
      <c r="F93" s="971"/>
    </row>
    <row r="94" spans="1:6" ht="15" thickBot="1">
      <c r="A94" s="779" t="s">
        <v>522</v>
      </c>
      <c r="B94" s="773" t="s">
        <v>375</v>
      </c>
      <c r="C94" s="959">
        <v>7.5999999999999998E-2</v>
      </c>
      <c r="D94" s="959">
        <v>7.3999999999999996E-2</v>
      </c>
      <c r="E94" s="959">
        <v>9.7000000000000003E-2</v>
      </c>
      <c r="F94" s="971"/>
    </row>
    <row r="95" spans="1:6" ht="15" thickBot="1">
      <c r="A95" s="779" t="s">
        <v>522</v>
      </c>
      <c r="B95" s="773" t="s">
        <v>384</v>
      </c>
      <c r="C95" s="959">
        <v>9.9000000000000005E-2</v>
      </c>
      <c r="D95" s="959">
        <v>9.4E-2</v>
      </c>
      <c r="E95" s="959">
        <v>9.6000000000000002E-2</v>
      </c>
      <c r="F95" s="971"/>
    </row>
    <row r="96" spans="1:6" ht="15" thickBot="1">
      <c r="A96" s="779" t="s">
        <v>522</v>
      </c>
      <c r="B96" s="773" t="s">
        <v>393</v>
      </c>
      <c r="C96" s="959">
        <v>9.9000000000000005E-2</v>
      </c>
      <c r="D96" s="959">
        <v>9.9000000000000005E-2</v>
      </c>
      <c r="E96" s="959">
        <v>9.9000000000000005E-2</v>
      </c>
      <c r="F96" s="971"/>
    </row>
    <row r="97" spans="1:6" ht="15" thickBot="1">
      <c r="A97" s="779" t="s">
        <v>522</v>
      </c>
      <c r="B97" s="773" t="s">
        <v>401</v>
      </c>
      <c r="C97" s="959">
        <v>9.8000000000000004E-2</v>
      </c>
      <c r="D97" s="959">
        <v>9.8000000000000004E-2</v>
      </c>
      <c r="E97" s="959">
        <v>9.7000000000000003E-2</v>
      </c>
      <c r="F97" s="971"/>
    </row>
    <row r="98" spans="1:6" ht="15" thickBot="1">
      <c r="A98" s="779" t="s">
        <v>522</v>
      </c>
      <c r="B98" s="773" t="s">
        <v>408</v>
      </c>
      <c r="C98" s="959">
        <v>0.1</v>
      </c>
      <c r="D98" s="959">
        <v>0.1</v>
      </c>
      <c r="E98" s="959">
        <v>9.7000000000000003E-2</v>
      </c>
      <c r="F98" s="971"/>
    </row>
    <row r="99" spans="1:6" ht="15" thickBot="1">
      <c r="A99" s="779" t="s">
        <v>522</v>
      </c>
      <c r="B99" s="773" t="s">
        <v>415</v>
      </c>
      <c r="C99" s="959">
        <v>0.1</v>
      </c>
      <c r="D99" s="959">
        <v>0.1</v>
      </c>
      <c r="E99" s="972"/>
      <c r="F99" s="971"/>
    </row>
    <row r="100" spans="1:6" ht="15" thickBot="1">
      <c r="A100" s="779" t="s">
        <v>522</v>
      </c>
      <c r="B100" s="773" t="s">
        <v>422</v>
      </c>
      <c r="C100" s="959">
        <v>0.09</v>
      </c>
      <c r="D100" s="959">
        <v>8.8999999999999996E-2</v>
      </c>
      <c r="E100" s="972"/>
      <c r="F100" s="971"/>
    </row>
    <row r="101" spans="1:6" ht="15" thickBot="1">
      <c r="A101" s="779" t="s">
        <v>522</v>
      </c>
      <c r="B101" s="773" t="s">
        <v>429</v>
      </c>
      <c r="C101" s="959">
        <v>9.8000000000000004E-2</v>
      </c>
      <c r="D101" s="959">
        <v>9.7000000000000003E-2</v>
      </c>
      <c r="E101" s="972"/>
      <c r="F101" s="971"/>
    </row>
    <row r="102" spans="1:6" ht="24.6" thickBot="1">
      <c r="A102" s="779" t="s">
        <v>522</v>
      </c>
      <c r="B102" s="773" t="s">
        <v>677</v>
      </c>
      <c r="C102" s="972"/>
      <c r="D102" s="972"/>
      <c r="E102" s="972"/>
      <c r="F102" s="960">
        <v>0.05</v>
      </c>
    </row>
    <row r="103" spans="1:6" ht="24.6" thickBot="1">
      <c r="A103" s="779" t="s">
        <v>522</v>
      </c>
      <c r="B103" s="773" t="s">
        <v>678</v>
      </c>
      <c r="C103" s="972"/>
      <c r="D103" s="972"/>
      <c r="E103" s="972"/>
      <c r="F103" s="960">
        <v>0.05</v>
      </c>
    </row>
    <row r="104" spans="1:6" ht="15" thickBot="1">
      <c r="A104" s="779" t="s">
        <v>522</v>
      </c>
      <c r="B104" s="773" t="s">
        <v>679</v>
      </c>
      <c r="C104" s="972"/>
      <c r="D104" s="972"/>
      <c r="E104" s="972"/>
      <c r="F104" s="960">
        <v>0.05</v>
      </c>
    </row>
    <row r="105" spans="1:6" ht="24.6" thickBot="1">
      <c r="A105" s="779" t="s">
        <v>522</v>
      </c>
      <c r="B105" s="773" t="s">
        <v>680</v>
      </c>
      <c r="C105" s="972"/>
      <c r="D105" s="972"/>
      <c r="E105" s="972"/>
      <c r="F105" s="960">
        <v>0.05</v>
      </c>
    </row>
    <row r="106" spans="1:6" ht="24.6" thickBot="1">
      <c r="A106" s="779" t="s">
        <v>522</v>
      </c>
      <c r="B106" s="773" t="s">
        <v>681</v>
      </c>
      <c r="C106" s="972"/>
      <c r="D106" s="972"/>
      <c r="E106" s="972"/>
      <c r="F106" s="960">
        <v>0.05</v>
      </c>
    </row>
    <row r="107" spans="1:6" ht="24.6" thickBot="1">
      <c r="A107" s="779" t="s">
        <v>522</v>
      </c>
      <c r="B107" s="773" t="s">
        <v>682</v>
      </c>
      <c r="C107" s="972"/>
      <c r="D107" s="972"/>
      <c r="E107" s="972"/>
      <c r="F107" s="960">
        <v>0.05</v>
      </c>
    </row>
    <row r="108" spans="1:6" ht="24.6" thickBot="1">
      <c r="A108" s="779" t="s">
        <v>522</v>
      </c>
      <c r="B108" s="773" t="s">
        <v>683</v>
      </c>
      <c r="C108" s="972"/>
      <c r="D108" s="972"/>
      <c r="E108" s="972"/>
      <c r="F108" s="960">
        <v>0.05</v>
      </c>
    </row>
    <row r="109" spans="1:6" ht="24.6" thickBot="1">
      <c r="A109" s="789" t="s">
        <v>522</v>
      </c>
      <c r="B109" s="785" t="s">
        <v>684</v>
      </c>
      <c r="C109" s="969"/>
      <c r="D109" s="969"/>
      <c r="E109" s="969"/>
      <c r="F109" s="962">
        <v>0.05</v>
      </c>
    </row>
    <row r="110" spans="1:6" ht="15" thickBot="1">
      <c r="A110" s="779" t="s">
        <v>56</v>
      </c>
      <c r="B110" s="780" t="s">
        <v>685</v>
      </c>
      <c r="C110" s="957">
        <v>0.129</v>
      </c>
      <c r="D110" s="957">
        <v>0.129</v>
      </c>
      <c r="E110" s="957">
        <v>0.126</v>
      </c>
      <c r="F110" s="958">
        <v>0.13</v>
      </c>
    </row>
    <row r="111" spans="1:6" ht="15" thickBot="1">
      <c r="A111" s="779" t="s">
        <v>56</v>
      </c>
      <c r="B111" s="773" t="s">
        <v>191</v>
      </c>
      <c r="C111" s="959">
        <v>0.11</v>
      </c>
      <c r="D111" s="959">
        <v>0.11</v>
      </c>
      <c r="E111" s="959">
        <v>9.9000000000000005E-2</v>
      </c>
      <c r="F111" s="960">
        <v>0.128</v>
      </c>
    </row>
    <row r="112" spans="1:6" ht="15" thickBot="1">
      <c r="A112" s="779" t="s">
        <v>56</v>
      </c>
      <c r="B112" s="773" t="s">
        <v>204</v>
      </c>
      <c r="C112" s="959">
        <v>0.125</v>
      </c>
      <c r="D112" s="959">
        <v>0.125</v>
      </c>
      <c r="E112" s="959">
        <v>0.12</v>
      </c>
      <c r="F112" s="960">
        <v>0.125</v>
      </c>
    </row>
    <row r="113" spans="1:6" ht="15" thickBot="1">
      <c r="A113" s="779" t="s">
        <v>56</v>
      </c>
      <c r="B113" s="773" t="s">
        <v>217</v>
      </c>
      <c r="C113" s="959">
        <v>0.13</v>
      </c>
      <c r="D113" s="959">
        <v>0.13</v>
      </c>
      <c r="E113" s="959">
        <v>0.13</v>
      </c>
      <c r="F113" s="960">
        <v>0.13</v>
      </c>
    </row>
    <row r="114" spans="1:6" ht="15" thickBot="1">
      <c r="A114" s="779" t="s">
        <v>56</v>
      </c>
      <c r="B114" s="773" t="s">
        <v>229</v>
      </c>
      <c r="C114" s="959">
        <v>0.123</v>
      </c>
      <c r="D114" s="959">
        <v>0.123</v>
      </c>
      <c r="E114" s="959">
        <v>0.12</v>
      </c>
      <c r="F114" s="960">
        <v>0.13</v>
      </c>
    </row>
    <row r="115" spans="1:6" ht="15" thickBot="1">
      <c r="A115" s="779" t="s">
        <v>56</v>
      </c>
      <c r="B115" s="773" t="s">
        <v>240</v>
      </c>
      <c r="C115" s="959">
        <v>0.125</v>
      </c>
      <c r="D115" s="959">
        <v>0.125</v>
      </c>
      <c r="E115" s="959">
        <v>0.11700000000000001</v>
      </c>
      <c r="F115" s="960">
        <v>0.13</v>
      </c>
    </row>
    <row r="116" spans="1:6" ht="15" thickBot="1">
      <c r="A116" s="779" t="s">
        <v>56</v>
      </c>
      <c r="B116" s="773" t="s">
        <v>251</v>
      </c>
      <c r="C116" s="959">
        <v>0.11700000000000001</v>
      </c>
      <c r="D116" s="959">
        <v>0.11700000000000001</v>
      </c>
      <c r="E116" s="959">
        <v>8.7999999999999995E-2</v>
      </c>
      <c r="F116" s="960">
        <v>0.13</v>
      </c>
    </row>
    <row r="117" spans="1:6" ht="15" thickBot="1">
      <c r="A117" s="779" t="s">
        <v>56</v>
      </c>
      <c r="B117" s="773" t="s">
        <v>262</v>
      </c>
      <c r="C117" s="959">
        <v>0.13</v>
      </c>
      <c r="D117" s="959">
        <v>0.13</v>
      </c>
      <c r="E117" s="959">
        <v>0.129</v>
      </c>
      <c r="F117" s="960">
        <v>0.13</v>
      </c>
    </row>
    <row r="118" spans="1:6" ht="15" thickBot="1">
      <c r="A118" s="779" t="s">
        <v>56</v>
      </c>
      <c r="B118" s="773" t="s">
        <v>274</v>
      </c>
      <c r="C118" s="959">
        <v>0.123</v>
      </c>
      <c r="D118" s="959">
        <v>0.123</v>
      </c>
      <c r="E118" s="959">
        <v>0.11600000000000001</v>
      </c>
      <c r="F118" s="960">
        <v>0.13</v>
      </c>
    </row>
    <row r="119" spans="1:6" ht="15" thickBot="1">
      <c r="A119" s="779" t="s">
        <v>56</v>
      </c>
      <c r="B119" s="773" t="s">
        <v>284</v>
      </c>
      <c r="C119" s="959">
        <v>0.127</v>
      </c>
      <c r="D119" s="959">
        <v>0.127</v>
      </c>
      <c r="E119" s="959">
        <v>0.124</v>
      </c>
      <c r="F119" s="960">
        <v>0.13</v>
      </c>
    </row>
    <row r="120" spans="1:6" ht="15" thickBot="1">
      <c r="A120" s="779" t="s">
        <v>56</v>
      </c>
      <c r="B120" s="773" t="s">
        <v>294</v>
      </c>
      <c r="C120" s="959">
        <v>0.125</v>
      </c>
      <c r="D120" s="959">
        <v>0.125</v>
      </c>
      <c r="E120" s="959">
        <v>0.122</v>
      </c>
      <c r="F120" s="960">
        <v>0.13</v>
      </c>
    </row>
    <row r="121" spans="1:6" ht="15" thickBot="1">
      <c r="A121" s="779" t="s">
        <v>56</v>
      </c>
      <c r="B121" s="773" t="s">
        <v>304</v>
      </c>
      <c r="C121" s="959">
        <v>0.13</v>
      </c>
      <c r="D121" s="959">
        <v>0.13</v>
      </c>
      <c r="E121" s="959">
        <v>0.13</v>
      </c>
      <c r="F121" s="960">
        <v>0.13</v>
      </c>
    </row>
    <row r="122" spans="1:6" ht="15" thickBot="1">
      <c r="A122" s="779" t="s">
        <v>56</v>
      </c>
      <c r="B122" s="773" t="s">
        <v>314</v>
      </c>
      <c r="C122" s="959">
        <v>0.13</v>
      </c>
      <c r="D122" s="959">
        <v>0.13</v>
      </c>
      <c r="E122" s="959">
        <v>0.125</v>
      </c>
      <c r="F122" s="960">
        <v>0.13</v>
      </c>
    </row>
    <row r="123" spans="1:6" ht="15" thickBot="1">
      <c r="A123" s="779" t="s">
        <v>56</v>
      </c>
      <c r="B123" s="773" t="s">
        <v>325</v>
      </c>
      <c r="C123" s="959">
        <v>0.129</v>
      </c>
      <c r="D123" s="959">
        <v>0.129</v>
      </c>
      <c r="E123" s="959">
        <v>0.123</v>
      </c>
      <c r="F123" s="960">
        <v>0.13</v>
      </c>
    </row>
    <row r="124" spans="1:6" ht="15" thickBot="1">
      <c r="A124" s="779" t="s">
        <v>56</v>
      </c>
      <c r="B124" s="773" t="s">
        <v>336</v>
      </c>
      <c r="C124" s="959">
        <v>0.10199999999999999</v>
      </c>
      <c r="D124" s="959">
        <v>0.10100000000000001</v>
      </c>
      <c r="E124" s="959">
        <v>0.08</v>
      </c>
      <c r="F124" s="971"/>
    </row>
    <row r="125" spans="1:6" ht="15" thickBot="1">
      <c r="A125" s="779" t="s">
        <v>56</v>
      </c>
      <c r="B125" s="773" t="s">
        <v>346</v>
      </c>
      <c r="C125" s="959">
        <v>0.13</v>
      </c>
      <c r="D125" s="959">
        <v>0.13</v>
      </c>
      <c r="E125" s="959">
        <v>0.129</v>
      </c>
      <c r="F125" s="971"/>
    </row>
    <row r="126" spans="1:6" ht="15" thickBot="1">
      <c r="A126" s="779" t="s">
        <v>56</v>
      </c>
      <c r="B126" s="773" t="s">
        <v>356</v>
      </c>
      <c r="C126" s="959">
        <v>0.13</v>
      </c>
      <c r="D126" s="959">
        <v>0.13</v>
      </c>
      <c r="E126" s="959">
        <v>0.126</v>
      </c>
      <c r="F126" s="971"/>
    </row>
    <row r="127" spans="1:6" ht="15" thickBot="1">
      <c r="A127" s="779" t="s">
        <v>56</v>
      </c>
      <c r="B127" s="773" t="s">
        <v>366</v>
      </c>
      <c r="C127" s="959">
        <v>0.125</v>
      </c>
      <c r="D127" s="959">
        <v>0.125</v>
      </c>
      <c r="E127" s="959">
        <v>0.121</v>
      </c>
      <c r="F127" s="971"/>
    </row>
    <row r="128" spans="1:6" ht="15" thickBot="1">
      <c r="A128" s="779" t="s">
        <v>56</v>
      </c>
      <c r="B128" s="773" t="s">
        <v>376</v>
      </c>
      <c r="C128" s="959">
        <v>0.12</v>
      </c>
      <c r="D128" s="959">
        <v>0.12</v>
      </c>
      <c r="E128" s="959">
        <v>0.105</v>
      </c>
      <c r="F128" s="971"/>
    </row>
    <row r="129" spans="1:6" ht="15" thickBot="1">
      <c r="A129" s="779" t="s">
        <v>56</v>
      </c>
      <c r="B129" s="773" t="s">
        <v>385</v>
      </c>
      <c r="C129" s="959">
        <v>0.13</v>
      </c>
      <c r="D129" s="959">
        <v>0.13</v>
      </c>
      <c r="E129" s="959">
        <v>0.126</v>
      </c>
      <c r="F129" s="971"/>
    </row>
    <row r="130" spans="1:6" ht="15" thickBot="1">
      <c r="A130" s="779" t="s">
        <v>56</v>
      </c>
      <c r="B130" s="773" t="s">
        <v>394</v>
      </c>
      <c r="C130" s="959">
        <v>0.125</v>
      </c>
      <c r="D130" s="959">
        <v>0.125</v>
      </c>
      <c r="E130" s="959">
        <v>0.122</v>
      </c>
      <c r="F130" s="971"/>
    </row>
    <row r="131" spans="1:6" ht="15" thickBot="1">
      <c r="A131" s="779" t="s">
        <v>56</v>
      </c>
      <c r="B131" s="773" t="s">
        <v>402</v>
      </c>
      <c r="C131" s="959">
        <v>0.127</v>
      </c>
      <c r="D131" s="959">
        <v>0.126</v>
      </c>
      <c r="E131" s="959">
        <v>0.123</v>
      </c>
      <c r="F131" s="971"/>
    </row>
    <row r="132" spans="1:6" ht="15" thickBot="1">
      <c r="A132" s="779" t="s">
        <v>56</v>
      </c>
      <c r="B132" s="773" t="s">
        <v>409</v>
      </c>
      <c r="C132" s="959">
        <v>9.0999999999999998E-2</v>
      </c>
      <c r="D132" s="959">
        <v>0.121</v>
      </c>
      <c r="E132" s="959">
        <v>9.9000000000000005E-2</v>
      </c>
      <c r="F132" s="971"/>
    </row>
    <row r="133" spans="1:6" ht="15" thickBot="1">
      <c r="A133" s="779" t="s">
        <v>56</v>
      </c>
      <c r="B133" s="773" t="s">
        <v>416</v>
      </c>
      <c r="C133" s="959">
        <v>0.13</v>
      </c>
      <c r="D133" s="959">
        <v>0.13</v>
      </c>
      <c r="E133" s="959">
        <v>0.129</v>
      </c>
      <c r="F133" s="971"/>
    </row>
    <row r="134" spans="1:6" ht="15" thickBot="1">
      <c r="A134" s="779" t="s">
        <v>56</v>
      </c>
      <c r="B134" s="773" t="s">
        <v>686</v>
      </c>
      <c r="C134" s="959">
        <v>6.8000000000000005E-2</v>
      </c>
      <c r="D134" s="959">
        <v>6.5000000000000002E-2</v>
      </c>
      <c r="E134" s="959">
        <v>6.5000000000000002E-2</v>
      </c>
      <c r="F134" s="960">
        <v>0.13</v>
      </c>
    </row>
    <row r="135" spans="1:6" ht="15" thickBot="1">
      <c r="A135" s="779" t="s">
        <v>56</v>
      </c>
      <c r="B135" s="773" t="s">
        <v>430</v>
      </c>
      <c r="C135" s="959">
        <v>0.123</v>
      </c>
      <c r="D135" s="959">
        <v>0.123</v>
      </c>
      <c r="E135" s="959">
        <v>0.11</v>
      </c>
      <c r="F135" s="971"/>
    </row>
    <row r="136" spans="1:6" ht="15" thickBot="1">
      <c r="A136" s="779" t="s">
        <v>56</v>
      </c>
      <c r="B136" s="773" t="s">
        <v>437</v>
      </c>
      <c r="C136" s="959">
        <v>0.13</v>
      </c>
      <c r="D136" s="959">
        <v>0.13</v>
      </c>
      <c r="E136" s="959">
        <v>0.125</v>
      </c>
      <c r="F136" s="971"/>
    </row>
    <row r="137" spans="1:6" ht="15" thickBot="1">
      <c r="A137" s="779" t="s">
        <v>56</v>
      </c>
      <c r="B137" s="773" t="s">
        <v>444</v>
      </c>
      <c r="C137" s="959">
        <v>0.121</v>
      </c>
      <c r="D137" s="959">
        <v>0.122</v>
      </c>
      <c r="E137" s="959">
        <v>0.115</v>
      </c>
      <c r="F137" s="971"/>
    </row>
    <row r="138" spans="1:6" ht="15" thickBot="1">
      <c r="A138" s="779" t="s">
        <v>56</v>
      </c>
      <c r="B138" s="773" t="s">
        <v>687</v>
      </c>
      <c r="C138" s="959">
        <v>0.105</v>
      </c>
      <c r="D138" s="959">
        <v>0.125</v>
      </c>
      <c r="E138" s="959">
        <v>0.112</v>
      </c>
      <c r="F138" s="971"/>
    </row>
    <row r="139" spans="1:6" ht="15" thickBot="1">
      <c r="A139" s="779" t="s">
        <v>56</v>
      </c>
      <c r="B139" s="773" t="s">
        <v>688</v>
      </c>
      <c r="C139" s="959">
        <v>0.127</v>
      </c>
      <c r="D139" s="959">
        <v>0.127</v>
      </c>
      <c r="E139" s="959">
        <v>0.122</v>
      </c>
      <c r="F139" s="960">
        <v>0.13</v>
      </c>
    </row>
    <row r="140" spans="1:6" ht="15" thickBot="1">
      <c r="A140" s="779" t="s">
        <v>56</v>
      </c>
      <c r="B140" s="773" t="s">
        <v>689</v>
      </c>
      <c r="C140" s="959">
        <v>0.125</v>
      </c>
      <c r="D140" s="959">
        <v>0.125</v>
      </c>
      <c r="E140" s="959">
        <v>0.11899999999999999</v>
      </c>
      <c r="F140" s="960">
        <v>0.13</v>
      </c>
    </row>
    <row r="141" spans="1:6" ht="15" thickBot="1">
      <c r="A141" s="779" t="s">
        <v>56</v>
      </c>
      <c r="B141" s="773" t="s">
        <v>463</v>
      </c>
      <c r="C141" s="959">
        <v>0.125</v>
      </c>
      <c r="D141" s="959">
        <v>0.125</v>
      </c>
      <c r="E141" s="959">
        <v>0.11700000000000001</v>
      </c>
      <c r="F141" s="971"/>
    </row>
    <row r="142" spans="1:6" ht="15" thickBot="1">
      <c r="A142" s="779" t="s">
        <v>56</v>
      </c>
      <c r="B142" s="773" t="s">
        <v>468</v>
      </c>
      <c r="C142" s="959">
        <v>0.125</v>
      </c>
      <c r="D142" s="959">
        <v>0.125</v>
      </c>
      <c r="E142" s="959">
        <v>0.115</v>
      </c>
      <c r="F142" s="971"/>
    </row>
    <row r="143" spans="1:6" ht="15" thickBot="1">
      <c r="A143" s="779" t="s">
        <v>56</v>
      </c>
      <c r="B143" s="773" t="s">
        <v>473</v>
      </c>
      <c r="C143" s="959">
        <v>0.121</v>
      </c>
      <c r="D143" s="959">
        <v>0.121</v>
      </c>
      <c r="E143" s="959">
        <v>0.108</v>
      </c>
      <c r="F143" s="971"/>
    </row>
    <row r="144" spans="1:6" ht="15" thickBot="1">
      <c r="A144" s="779" t="s">
        <v>56</v>
      </c>
      <c r="B144" s="963" t="s">
        <v>690</v>
      </c>
      <c r="C144" s="964">
        <v>0.126</v>
      </c>
      <c r="D144" s="964">
        <v>0.126</v>
      </c>
      <c r="E144" s="964">
        <v>0.121</v>
      </c>
      <c r="F144" s="971"/>
    </row>
    <row r="145" spans="1:6" ht="15" thickBot="1">
      <c r="A145" s="789" t="s">
        <v>56</v>
      </c>
      <c r="B145" s="965" t="s">
        <v>691</v>
      </c>
      <c r="C145" s="973"/>
      <c r="D145" s="973"/>
      <c r="E145" s="973"/>
      <c r="F145" s="966">
        <v>0.05</v>
      </c>
    </row>
    <row r="146" spans="1:6" ht="24.6" thickBot="1">
      <c r="A146" s="967" t="s">
        <v>56</v>
      </c>
      <c r="B146" s="783" t="s">
        <v>692</v>
      </c>
      <c r="C146" s="972"/>
      <c r="D146" s="972"/>
      <c r="E146" s="972"/>
      <c r="F146" s="968">
        <v>0.05</v>
      </c>
    </row>
    <row r="147" spans="1:6" ht="24.6" thickBot="1">
      <c r="A147" s="779" t="s">
        <v>56</v>
      </c>
      <c r="B147" s="773" t="s">
        <v>693</v>
      </c>
      <c r="C147" s="972"/>
      <c r="D147" s="972"/>
      <c r="E147" s="972"/>
      <c r="F147" s="960">
        <v>0.05</v>
      </c>
    </row>
    <row r="148" spans="1:6" ht="24.6" thickBot="1">
      <c r="A148" s="779" t="s">
        <v>56</v>
      </c>
      <c r="B148" s="773" t="s">
        <v>694</v>
      </c>
      <c r="C148" s="972"/>
      <c r="D148" s="972"/>
      <c r="E148" s="972"/>
      <c r="F148" s="960">
        <v>0.05</v>
      </c>
    </row>
    <row r="149" spans="1:6" ht="24.6" thickBot="1">
      <c r="A149" s="779" t="s">
        <v>56</v>
      </c>
      <c r="B149" s="773" t="s">
        <v>695</v>
      </c>
      <c r="C149" s="972"/>
      <c r="D149" s="972"/>
      <c r="E149" s="972"/>
      <c r="F149" s="960">
        <v>0.05</v>
      </c>
    </row>
    <row r="150" spans="1:6" ht="24.6" thickBot="1">
      <c r="A150" s="779" t="s">
        <v>56</v>
      </c>
      <c r="B150" s="773" t="s">
        <v>696</v>
      </c>
      <c r="C150" s="972"/>
      <c r="D150" s="972"/>
      <c r="E150" s="972"/>
      <c r="F150" s="960">
        <v>0.05</v>
      </c>
    </row>
    <row r="151" spans="1:6" ht="24.6" thickBot="1">
      <c r="A151" s="779" t="s">
        <v>56</v>
      </c>
      <c r="B151" s="773" t="s">
        <v>697</v>
      </c>
      <c r="C151" s="972"/>
      <c r="D151" s="972"/>
      <c r="E151" s="972"/>
      <c r="F151" s="960">
        <v>0.05</v>
      </c>
    </row>
    <row r="152" spans="1:6" ht="24.6" thickBot="1">
      <c r="A152" s="779" t="s">
        <v>56</v>
      </c>
      <c r="B152" s="773" t="s">
        <v>506</v>
      </c>
      <c r="C152" s="972"/>
      <c r="D152" s="972"/>
      <c r="E152" s="972"/>
      <c r="F152" s="960">
        <v>0.05</v>
      </c>
    </row>
    <row r="153" spans="1:6" ht="15" thickBot="1">
      <c r="A153" s="779" t="s">
        <v>56</v>
      </c>
      <c r="B153" s="773" t="s">
        <v>698</v>
      </c>
      <c r="C153" s="972"/>
      <c r="D153" s="972"/>
      <c r="E153" s="972"/>
      <c r="F153" s="960">
        <v>0.05</v>
      </c>
    </row>
    <row r="154" spans="1:6" ht="15" thickBot="1">
      <c r="A154" s="779" t="s">
        <v>56</v>
      </c>
      <c r="B154" s="773" t="s">
        <v>699</v>
      </c>
      <c r="C154" s="972"/>
      <c r="D154" s="972"/>
      <c r="E154" s="972"/>
      <c r="F154" s="960">
        <v>0.05</v>
      </c>
    </row>
    <row r="155" spans="1:6" ht="24.6" thickBot="1">
      <c r="A155" s="779" t="s">
        <v>56</v>
      </c>
      <c r="B155" s="773" t="s">
        <v>700</v>
      </c>
      <c r="C155" s="972"/>
      <c r="D155" s="972"/>
      <c r="E155" s="972"/>
      <c r="F155" s="960">
        <v>0.05</v>
      </c>
    </row>
    <row r="156" spans="1:6" ht="24.6" thickBot="1">
      <c r="A156" s="779" t="s">
        <v>56</v>
      </c>
      <c r="B156" s="773" t="s">
        <v>701</v>
      </c>
      <c r="C156" s="972"/>
      <c r="D156" s="972"/>
      <c r="E156" s="972"/>
      <c r="F156" s="960">
        <v>0.05</v>
      </c>
    </row>
    <row r="157" spans="1:6" ht="24.6" thickBot="1">
      <c r="A157" s="789" t="s">
        <v>56</v>
      </c>
      <c r="B157" s="785" t="s">
        <v>702</v>
      </c>
      <c r="C157" s="969"/>
      <c r="D157" s="969"/>
      <c r="E157" s="969"/>
      <c r="F157" s="962">
        <v>0.05</v>
      </c>
    </row>
    <row r="158" spans="1:6" ht="15" thickBot="1">
      <c r="A158" s="779" t="s">
        <v>525</v>
      </c>
      <c r="B158" s="780" t="s">
        <v>703</v>
      </c>
      <c r="C158" s="957">
        <v>0.13</v>
      </c>
      <c r="D158" s="957">
        <v>0.13</v>
      </c>
      <c r="E158" s="957">
        <v>0.13</v>
      </c>
      <c r="F158" s="958">
        <v>0.13</v>
      </c>
    </row>
    <row r="159" spans="1:6" ht="15" thickBot="1">
      <c r="A159" s="779" t="s">
        <v>525</v>
      </c>
      <c r="B159" s="773" t="s">
        <v>192</v>
      </c>
      <c r="C159" s="959">
        <v>0.13</v>
      </c>
      <c r="D159" s="959">
        <v>0.13</v>
      </c>
      <c r="E159" s="959">
        <v>0.13</v>
      </c>
      <c r="F159" s="960">
        <v>0.13</v>
      </c>
    </row>
    <row r="160" spans="1:6" ht="15" thickBot="1">
      <c r="A160" s="779" t="s">
        <v>525</v>
      </c>
      <c r="B160" s="773" t="s">
        <v>205</v>
      </c>
      <c r="C160" s="959">
        <v>0.13</v>
      </c>
      <c r="D160" s="959">
        <v>0.13</v>
      </c>
      <c r="E160" s="959">
        <v>0.129</v>
      </c>
      <c r="F160" s="960">
        <v>0.13</v>
      </c>
    </row>
    <row r="161" spans="1:6" ht="15" thickBot="1">
      <c r="A161" s="779" t="s">
        <v>525</v>
      </c>
      <c r="B161" s="773" t="s">
        <v>218</v>
      </c>
      <c r="C161" s="959">
        <v>0.128</v>
      </c>
      <c r="D161" s="959">
        <v>0.128</v>
      </c>
      <c r="E161" s="959">
        <v>0.125</v>
      </c>
      <c r="F161" s="960">
        <v>0.13</v>
      </c>
    </row>
    <row r="162" spans="1:6" ht="15" thickBot="1">
      <c r="A162" s="779" t="s">
        <v>525</v>
      </c>
      <c r="B162" s="773" t="s">
        <v>230</v>
      </c>
      <c r="C162" s="959">
        <v>0.122</v>
      </c>
      <c r="D162" s="959">
        <v>0.122</v>
      </c>
      <c r="E162" s="959">
        <v>0.126</v>
      </c>
      <c r="F162" s="960">
        <v>0.122</v>
      </c>
    </row>
    <row r="163" spans="1:6" ht="15" thickBot="1">
      <c r="A163" s="779" t="s">
        <v>525</v>
      </c>
      <c r="B163" s="773" t="s">
        <v>241</v>
      </c>
      <c r="C163" s="959">
        <v>0.13</v>
      </c>
      <c r="D163" s="959">
        <v>0.13</v>
      </c>
      <c r="E163" s="959">
        <v>0.125</v>
      </c>
      <c r="F163" s="960">
        <v>0.13</v>
      </c>
    </row>
    <row r="164" spans="1:6" ht="15" thickBot="1">
      <c r="A164" s="779" t="s">
        <v>525</v>
      </c>
      <c r="B164" s="773" t="s">
        <v>252</v>
      </c>
      <c r="C164" s="959">
        <v>0.13</v>
      </c>
      <c r="D164" s="959">
        <v>0.13</v>
      </c>
      <c r="E164" s="959">
        <v>0.13</v>
      </c>
      <c r="F164" s="960">
        <v>0.13</v>
      </c>
    </row>
    <row r="165" spans="1:6" ht="15" thickBot="1">
      <c r="A165" s="779" t="s">
        <v>525</v>
      </c>
      <c r="B165" s="773" t="s">
        <v>263</v>
      </c>
      <c r="C165" s="959">
        <v>0.13</v>
      </c>
      <c r="D165" s="959">
        <v>0.13</v>
      </c>
      <c r="E165" s="959">
        <v>0.124</v>
      </c>
      <c r="F165" s="960">
        <v>0.13</v>
      </c>
    </row>
    <row r="166" spans="1:6" ht="15" thickBot="1">
      <c r="A166" s="779" t="s">
        <v>525</v>
      </c>
      <c r="B166" s="773" t="s">
        <v>275</v>
      </c>
      <c r="C166" s="959">
        <v>0.13</v>
      </c>
      <c r="D166" s="959">
        <v>0.13</v>
      </c>
      <c r="E166" s="959">
        <v>0.13</v>
      </c>
      <c r="F166" s="960">
        <v>0.13</v>
      </c>
    </row>
    <row r="167" spans="1:6" ht="15" thickBot="1">
      <c r="A167" s="779" t="s">
        <v>525</v>
      </c>
      <c r="B167" s="773" t="s">
        <v>285</v>
      </c>
      <c r="C167" s="959">
        <v>0.125</v>
      </c>
      <c r="D167" s="959">
        <v>0.125</v>
      </c>
      <c r="E167" s="959">
        <v>0.121</v>
      </c>
      <c r="F167" s="971"/>
    </row>
    <row r="168" spans="1:6" ht="15" thickBot="1">
      <c r="A168" s="779" t="s">
        <v>525</v>
      </c>
      <c r="B168" s="773" t="s">
        <v>295</v>
      </c>
      <c r="C168" s="959">
        <v>0.13</v>
      </c>
      <c r="D168" s="959">
        <v>0.13</v>
      </c>
      <c r="E168" s="959">
        <v>0.126</v>
      </c>
      <c r="F168" s="971"/>
    </row>
    <row r="169" spans="1:6" ht="15" thickBot="1">
      <c r="A169" s="779" t="s">
        <v>525</v>
      </c>
      <c r="B169" s="773" t="s">
        <v>305</v>
      </c>
      <c r="C169" s="959">
        <v>0.128</v>
      </c>
      <c r="D169" s="959">
        <v>0.129</v>
      </c>
      <c r="E169" s="959">
        <v>0.13</v>
      </c>
      <c r="F169" s="971"/>
    </row>
    <row r="170" spans="1:6" ht="15" thickBot="1">
      <c r="A170" s="779" t="s">
        <v>525</v>
      </c>
      <c r="B170" s="773" t="s">
        <v>315</v>
      </c>
      <c r="C170" s="959">
        <v>0.14099999999999999</v>
      </c>
      <c r="D170" s="959">
        <v>0.13</v>
      </c>
      <c r="E170" s="959">
        <v>0.125</v>
      </c>
      <c r="F170" s="971"/>
    </row>
    <row r="171" spans="1:6" ht="15" thickBot="1">
      <c r="A171" s="779" t="s">
        <v>525</v>
      </c>
      <c r="B171" s="773" t="s">
        <v>704</v>
      </c>
      <c r="C171" s="959">
        <v>0.127</v>
      </c>
      <c r="D171" s="959">
        <v>0.126</v>
      </c>
      <c r="E171" s="959">
        <v>0.126</v>
      </c>
      <c r="F171" s="960">
        <v>0.11799999999999999</v>
      </c>
    </row>
    <row r="172" spans="1:6" ht="15" thickBot="1">
      <c r="A172" s="779" t="s">
        <v>525</v>
      </c>
      <c r="B172" s="773" t="s">
        <v>705</v>
      </c>
      <c r="C172" s="959">
        <v>0.13</v>
      </c>
      <c r="D172" s="959">
        <v>0.13</v>
      </c>
      <c r="E172" s="959">
        <v>0.13</v>
      </c>
      <c r="F172" s="971"/>
    </row>
    <row r="173" spans="1:6" ht="15" thickBot="1">
      <c r="A173" s="779" t="s">
        <v>525</v>
      </c>
      <c r="B173" s="773" t="s">
        <v>347</v>
      </c>
      <c r="C173" s="959">
        <v>0.13</v>
      </c>
      <c r="D173" s="959">
        <v>0.13</v>
      </c>
      <c r="E173" s="959">
        <v>0.13</v>
      </c>
      <c r="F173" s="971"/>
    </row>
    <row r="174" spans="1:6" ht="15" thickBot="1">
      <c r="A174" s="779" t="s">
        <v>525</v>
      </c>
      <c r="B174" s="773" t="s">
        <v>706</v>
      </c>
      <c r="C174" s="959">
        <v>0.13</v>
      </c>
      <c r="D174" s="959">
        <v>0.13</v>
      </c>
      <c r="E174" s="959">
        <v>0.13</v>
      </c>
      <c r="F174" s="960">
        <v>0.13</v>
      </c>
    </row>
    <row r="175" spans="1:6" ht="15" thickBot="1">
      <c r="A175" s="779" t="s">
        <v>525</v>
      </c>
      <c r="B175" s="773" t="s">
        <v>707</v>
      </c>
      <c r="C175" s="959">
        <v>0.13</v>
      </c>
      <c r="D175" s="959">
        <v>0.13</v>
      </c>
      <c r="E175" s="959">
        <v>0.13</v>
      </c>
      <c r="F175" s="960">
        <v>0.13</v>
      </c>
    </row>
    <row r="176" spans="1:6" ht="15" thickBot="1">
      <c r="A176" s="779" t="s">
        <v>525</v>
      </c>
      <c r="B176" s="773" t="s">
        <v>377</v>
      </c>
      <c r="C176" s="959">
        <v>0.13</v>
      </c>
      <c r="D176" s="959">
        <v>0.13</v>
      </c>
      <c r="E176" s="959">
        <v>0.13</v>
      </c>
      <c r="F176" s="960">
        <v>0.13</v>
      </c>
    </row>
    <row r="177" spans="1:6" ht="15" thickBot="1">
      <c r="A177" s="779" t="s">
        <v>525</v>
      </c>
      <c r="B177" s="773" t="s">
        <v>708</v>
      </c>
      <c r="C177" s="959">
        <v>0.13</v>
      </c>
      <c r="D177" s="959">
        <v>0.13</v>
      </c>
      <c r="E177" s="959">
        <v>0.13</v>
      </c>
      <c r="F177" s="960">
        <v>0.13</v>
      </c>
    </row>
    <row r="178" spans="1:6" ht="15" thickBot="1">
      <c r="A178" s="779" t="s">
        <v>525</v>
      </c>
      <c r="B178" s="773" t="s">
        <v>395</v>
      </c>
      <c r="C178" s="959">
        <v>0.13</v>
      </c>
      <c r="D178" s="959">
        <v>0.13</v>
      </c>
      <c r="E178" s="959">
        <v>0.13</v>
      </c>
      <c r="F178" s="960">
        <v>0.127</v>
      </c>
    </row>
    <row r="179" spans="1:6" ht="15" thickBot="1">
      <c r="A179" s="779" t="s">
        <v>525</v>
      </c>
      <c r="B179" s="773" t="s">
        <v>403</v>
      </c>
      <c r="C179" s="959">
        <v>0.13</v>
      </c>
      <c r="D179" s="959">
        <v>0.13</v>
      </c>
      <c r="E179" s="959">
        <v>0.13</v>
      </c>
      <c r="F179" s="971"/>
    </row>
    <row r="180" spans="1:6" ht="15" thickBot="1">
      <c r="A180" s="779" t="s">
        <v>525</v>
      </c>
      <c r="B180" s="773" t="s">
        <v>709</v>
      </c>
      <c r="C180" s="959">
        <v>0.13</v>
      </c>
      <c r="D180" s="959">
        <v>0.13</v>
      </c>
      <c r="E180" s="959">
        <v>0.125</v>
      </c>
      <c r="F180" s="960">
        <v>0.13</v>
      </c>
    </row>
    <row r="181" spans="1:6" ht="15" thickBot="1">
      <c r="A181" s="779" t="s">
        <v>525</v>
      </c>
      <c r="B181" s="773" t="s">
        <v>417</v>
      </c>
      <c r="C181" s="959">
        <v>0.122</v>
      </c>
      <c r="D181" s="959">
        <v>0.123</v>
      </c>
      <c r="E181" s="959">
        <v>0.126</v>
      </c>
      <c r="F181" s="960">
        <v>0.121</v>
      </c>
    </row>
    <row r="182" spans="1:6" ht="15" thickBot="1">
      <c r="A182" s="779" t="s">
        <v>525</v>
      </c>
      <c r="B182" s="773" t="s">
        <v>424</v>
      </c>
      <c r="C182" s="959">
        <v>0.125</v>
      </c>
      <c r="D182" s="959">
        <v>0.125</v>
      </c>
      <c r="E182" s="959">
        <v>0.11700000000000001</v>
      </c>
      <c r="F182" s="960">
        <v>0.13</v>
      </c>
    </row>
    <row r="183" spans="1:6" ht="15" thickBot="1">
      <c r="A183" s="779" t="s">
        <v>525</v>
      </c>
      <c r="B183" s="773" t="s">
        <v>431</v>
      </c>
      <c r="C183" s="959">
        <v>0.127</v>
      </c>
      <c r="D183" s="959">
        <v>0.127</v>
      </c>
      <c r="E183" s="959">
        <v>0.128</v>
      </c>
      <c r="F183" s="971"/>
    </row>
    <row r="184" spans="1:6" ht="15" thickBot="1">
      <c r="A184" s="779" t="s">
        <v>525</v>
      </c>
      <c r="B184" s="773" t="s">
        <v>438</v>
      </c>
      <c r="C184" s="959">
        <v>0.125</v>
      </c>
      <c r="D184" s="959">
        <v>0.125</v>
      </c>
      <c r="E184" s="959">
        <v>0.127</v>
      </c>
      <c r="F184" s="971"/>
    </row>
    <row r="185" spans="1:6" ht="15" thickBot="1">
      <c r="A185" s="779" t="s">
        <v>525</v>
      </c>
      <c r="B185" s="773" t="s">
        <v>710</v>
      </c>
      <c r="C185" s="959">
        <v>0.127</v>
      </c>
      <c r="D185" s="959">
        <v>0.127</v>
      </c>
      <c r="E185" s="959">
        <v>0.128</v>
      </c>
      <c r="F185" s="960">
        <v>0.13</v>
      </c>
    </row>
    <row r="186" spans="1:6" ht="24.6" thickBot="1">
      <c r="A186" s="779" t="s">
        <v>525</v>
      </c>
      <c r="B186" s="773" t="s">
        <v>711</v>
      </c>
      <c r="C186" s="972"/>
      <c r="D186" s="972"/>
      <c r="E186" s="972"/>
      <c r="F186" s="960">
        <v>0.05</v>
      </c>
    </row>
    <row r="187" spans="1:6" ht="15" thickBot="1">
      <c r="A187" s="779" t="s">
        <v>525</v>
      </c>
      <c r="B187" s="773" t="s">
        <v>712</v>
      </c>
      <c r="C187" s="972"/>
      <c r="D187" s="972"/>
      <c r="E187" s="972"/>
      <c r="F187" s="960">
        <v>0.05</v>
      </c>
    </row>
    <row r="188" spans="1:6" ht="24.6" thickBot="1">
      <c r="A188" s="779" t="s">
        <v>525</v>
      </c>
      <c r="B188" s="773" t="s">
        <v>713</v>
      </c>
      <c r="C188" s="972"/>
      <c r="D188" s="972"/>
      <c r="E188" s="972"/>
      <c r="F188" s="960">
        <v>0.05</v>
      </c>
    </row>
    <row r="189" spans="1:6" ht="24.6" thickBot="1">
      <c r="A189" s="779" t="s">
        <v>525</v>
      </c>
      <c r="B189" s="773" t="s">
        <v>714</v>
      </c>
      <c r="C189" s="972"/>
      <c r="D189" s="972"/>
      <c r="E189" s="972"/>
      <c r="F189" s="960">
        <v>0.05</v>
      </c>
    </row>
    <row r="190" spans="1:6" ht="24.6" thickBot="1">
      <c r="A190" s="779" t="s">
        <v>525</v>
      </c>
      <c r="B190" s="773" t="s">
        <v>715</v>
      </c>
      <c r="C190" s="972"/>
      <c r="D190" s="972"/>
      <c r="E190" s="972"/>
      <c r="F190" s="960">
        <v>0.05</v>
      </c>
    </row>
    <row r="191" spans="1:6" ht="24.6" thickBot="1">
      <c r="A191" s="779" t="s">
        <v>525</v>
      </c>
      <c r="B191" s="773" t="s">
        <v>716</v>
      </c>
      <c r="C191" s="972"/>
      <c r="D191" s="972"/>
      <c r="E191" s="972"/>
      <c r="F191" s="960">
        <v>0.05</v>
      </c>
    </row>
    <row r="192" spans="1:6" ht="24.6" thickBot="1">
      <c r="A192" s="779" t="s">
        <v>525</v>
      </c>
      <c r="B192" s="773" t="s">
        <v>717</v>
      </c>
      <c r="C192" s="972"/>
      <c r="D192" s="972"/>
      <c r="E192" s="972"/>
      <c r="F192" s="960">
        <v>0.05</v>
      </c>
    </row>
    <row r="193" spans="1:6" ht="24.6" thickBot="1">
      <c r="A193" s="779" t="s">
        <v>525</v>
      </c>
      <c r="B193" s="773" t="s">
        <v>718</v>
      </c>
      <c r="C193" s="972"/>
      <c r="D193" s="972"/>
      <c r="E193" s="972"/>
      <c r="F193" s="960">
        <v>0.05</v>
      </c>
    </row>
    <row r="194" spans="1:6" ht="24.6" thickBot="1">
      <c r="A194" s="779" t="s">
        <v>525</v>
      </c>
      <c r="B194" s="773" t="s">
        <v>719</v>
      </c>
      <c r="C194" s="972"/>
      <c r="D194" s="972"/>
      <c r="E194" s="972"/>
      <c r="F194" s="960">
        <v>0.05</v>
      </c>
    </row>
    <row r="195" spans="1:6" ht="15" thickBot="1">
      <c r="A195" s="779" t="s">
        <v>525</v>
      </c>
      <c r="B195" s="773" t="s">
        <v>720</v>
      </c>
      <c r="C195" s="972"/>
      <c r="D195" s="972"/>
      <c r="E195" s="972"/>
      <c r="F195" s="960">
        <v>0.05</v>
      </c>
    </row>
    <row r="196" spans="1:6" ht="24.6" thickBot="1">
      <c r="A196" s="779" t="s">
        <v>525</v>
      </c>
      <c r="B196" s="773" t="s">
        <v>721</v>
      </c>
      <c r="C196" s="972"/>
      <c r="D196" s="972"/>
      <c r="E196" s="972"/>
      <c r="F196" s="960">
        <v>0.05</v>
      </c>
    </row>
    <row r="197" spans="1:6" ht="24.6" thickBot="1">
      <c r="A197" s="779" t="s">
        <v>525</v>
      </c>
      <c r="B197" s="773" t="s">
        <v>722</v>
      </c>
      <c r="C197" s="972"/>
      <c r="D197" s="972"/>
      <c r="E197" s="972"/>
      <c r="F197" s="960">
        <v>0.05</v>
      </c>
    </row>
    <row r="198" spans="1:6" ht="24.6" thickBot="1">
      <c r="A198" s="779" t="s">
        <v>525</v>
      </c>
      <c r="B198" s="773" t="s">
        <v>723</v>
      </c>
      <c r="C198" s="972"/>
      <c r="D198" s="972"/>
      <c r="E198" s="972"/>
      <c r="F198" s="960">
        <v>0.05</v>
      </c>
    </row>
    <row r="199" spans="1:6" ht="24.6" thickBot="1">
      <c r="A199" s="779" t="s">
        <v>525</v>
      </c>
      <c r="B199" s="773" t="s">
        <v>724</v>
      </c>
      <c r="C199" s="972"/>
      <c r="D199" s="972"/>
      <c r="E199" s="972"/>
      <c r="F199" s="960">
        <v>0.05</v>
      </c>
    </row>
    <row r="200" spans="1:6" ht="24.6" thickBot="1">
      <c r="A200" s="779" t="s">
        <v>525</v>
      </c>
      <c r="B200" s="773" t="s">
        <v>725</v>
      </c>
      <c r="C200" s="972"/>
      <c r="D200" s="972"/>
      <c r="E200" s="972"/>
      <c r="F200" s="960">
        <v>0.05</v>
      </c>
    </row>
    <row r="201" spans="1:6" ht="24.6" thickBot="1">
      <c r="A201" s="779" t="s">
        <v>525</v>
      </c>
      <c r="B201" s="773" t="s">
        <v>726</v>
      </c>
      <c r="C201" s="972"/>
      <c r="D201" s="972"/>
      <c r="E201" s="972"/>
      <c r="F201" s="960">
        <v>0.05</v>
      </c>
    </row>
    <row r="202" spans="1:6" ht="24.6" thickBot="1">
      <c r="A202" s="779" t="s">
        <v>525</v>
      </c>
      <c r="B202" s="773" t="s">
        <v>727</v>
      </c>
      <c r="C202" s="972"/>
      <c r="D202" s="972"/>
      <c r="E202" s="972"/>
      <c r="F202" s="960">
        <v>0.05</v>
      </c>
    </row>
    <row r="203" spans="1:6" ht="24.6" thickBot="1">
      <c r="A203" s="779" t="s">
        <v>525</v>
      </c>
      <c r="B203" s="773" t="s">
        <v>728</v>
      </c>
      <c r="C203" s="972"/>
      <c r="D203" s="972"/>
      <c r="E203" s="972"/>
      <c r="F203" s="960">
        <v>0.05</v>
      </c>
    </row>
    <row r="204" spans="1:6" ht="15" thickBot="1">
      <c r="A204" s="779" t="s">
        <v>525</v>
      </c>
      <c r="B204" s="773" t="s">
        <v>729</v>
      </c>
      <c r="C204" s="972"/>
      <c r="D204" s="972"/>
      <c r="E204" s="972"/>
      <c r="F204" s="960">
        <v>0.05</v>
      </c>
    </row>
    <row r="205" spans="1:6" ht="15" thickBot="1">
      <c r="A205" s="789" t="s">
        <v>525</v>
      </c>
      <c r="B205" s="785" t="s">
        <v>730</v>
      </c>
      <c r="C205" s="969"/>
      <c r="D205" s="969"/>
      <c r="E205" s="969"/>
      <c r="F205" s="962">
        <v>0.05</v>
      </c>
    </row>
    <row r="206" spans="1:6" ht="15" thickBot="1">
      <c r="A206" s="779" t="s">
        <v>527</v>
      </c>
      <c r="B206" s="780" t="s">
        <v>731</v>
      </c>
      <c r="C206" s="957">
        <v>0.15</v>
      </c>
      <c r="D206" s="957">
        <v>0.15</v>
      </c>
      <c r="E206" s="957">
        <v>0.15</v>
      </c>
      <c r="F206" s="958">
        <v>0.15</v>
      </c>
    </row>
    <row r="207" spans="1:6" ht="15" thickBot="1">
      <c r="A207" s="779" t="s">
        <v>527</v>
      </c>
      <c r="B207" s="773" t="s">
        <v>193</v>
      </c>
      <c r="C207" s="959">
        <v>0.15</v>
      </c>
      <c r="D207" s="959">
        <v>0.15</v>
      </c>
      <c r="E207" s="959">
        <v>0.15</v>
      </c>
      <c r="F207" s="960">
        <v>0.14399999999999999</v>
      </c>
    </row>
    <row r="208" spans="1:6" ht="15" thickBot="1">
      <c r="A208" s="779" t="s">
        <v>527</v>
      </c>
      <c r="B208" s="773" t="s">
        <v>206</v>
      </c>
      <c r="C208" s="959">
        <v>0.15</v>
      </c>
      <c r="D208" s="959">
        <v>0.15</v>
      </c>
      <c r="E208" s="959">
        <v>0.15</v>
      </c>
      <c r="F208" s="960">
        <v>0.15</v>
      </c>
    </row>
    <row r="209" spans="1:6" ht="15" thickBot="1">
      <c r="A209" s="779" t="s">
        <v>527</v>
      </c>
      <c r="B209" s="773" t="s">
        <v>219</v>
      </c>
      <c r="C209" s="959">
        <v>0.13700000000000001</v>
      </c>
      <c r="D209" s="959">
        <v>0.13700000000000001</v>
      </c>
      <c r="E209" s="959">
        <v>0.14000000000000001</v>
      </c>
      <c r="F209" s="960">
        <v>0.11700000000000001</v>
      </c>
    </row>
    <row r="210" spans="1:6" ht="15" thickBot="1">
      <c r="A210" s="779" t="s">
        <v>527</v>
      </c>
      <c r="B210" s="773" t="s">
        <v>732</v>
      </c>
      <c r="C210" s="959">
        <v>0.15</v>
      </c>
      <c r="D210" s="959">
        <v>0.15</v>
      </c>
      <c r="E210" s="959">
        <v>0.15</v>
      </c>
      <c r="F210" s="960">
        <v>0.13800000000000001</v>
      </c>
    </row>
    <row r="211" spans="1:6" ht="15" thickBot="1">
      <c r="A211" s="779" t="s">
        <v>527</v>
      </c>
      <c r="B211" s="773" t="s">
        <v>733</v>
      </c>
      <c r="C211" s="959">
        <v>0.13700000000000001</v>
      </c>
      <c r="D211" s="959">
        <v>0.13500000000000001</v>
      </c>
      <c r="E211" s="959">
        <v>0.13600000000000001</v>
      </c>
      <c r="F211" s="960">
        <v>0.1</v>
      </c>
    </row>
    <row r="212" spans="1:6" ht="15" thickBot="1">
      <c r="A212" s="779" t="s">
        <v>527</v>
      </c>
      <c r="B212" s="773" t="s">
        <v>734</v>
      </c>
      <c r="C212" s="959">
        <v>0.15</v>
      </c>
      <c r="D212" s="959">
        <v>0.15</v>
      </c>
      <c r="E212" s="959">
        <v>0.14799999999999999</v>
      </c>
      <c r="F212" s="960">
        <v>0.13600000000000001</v>
      </c>
    </row>
    <row r="213" spans="1:6" ht="15" thickBot="1">
      <c r="A213" s="779" t="s">
        <v>527</v>
      </c>
      <c r="B213" s="773" t="s">
        <v>264</v>
      </c>
      <c r="C213" s="959">
        <v>0.15</v>
      </c>
      <c r="D213" s="959">
        <v>0.15</v>
      </c>
      <c r="E213" s="959">
        <v>0.15</v>
      </c>
      <c r="F213" s="960">
        <v>0.13800000000000001</v>
      </c>
    </row>
    <row r="214" spans="1:6" ht="15" thickBot="1">
      <c r="A214" s="779" t="s">
        <v>527</v>
      </c>
      <c r="B214" s="773" t="s">
        <v>276</v>
      </c>
      <c r="C214" s="959">
        <v>9.0999999999999998E-2</v>
      </c>
      <c r="D214" s="959">
        <v>0.09</v>
      </c>
      <c r="E214" s="959">
        <v>9.1999999999999998E-2</v>
      </c>
      <c r="F214" s="971"/>
    </row>
    <row r="215" spans="1:6" ht="15" thickBot="1">
      <c r="A215" s="779" t="s">
        <v>527</v>
      </c>
      <c r="B215" s="773" t="s">
        <v>735</v>
      </c>
      <c r="C215" s="959">
        <v>0.15</v>
      </c>
      <c r="D215" s="959">
        <v>0.15</v>
      </c>
      <c r="E215" s="959">
        <v>0.15</v>
      </c>
      <c r="F215" s="960">
        <v>0.15</v>
      </c>
    </row>
    <row r="216" spans="1:6" ht="15" thickBot="1">
      <c r="A216" s="779" t="s">
        <v>527</v>
      </c>
      <c r="B216" s="773" t="s">
        <v>296</v>
      </c>
      <c r="C216" s="959">
        <v>0.14699999999999999</v>
      </c>
      <c r="D216" s="959">
        <v>0.14699999999999999</v>
      </c>
      <c r="E216" s="959">
        <v>0.15</v>
      </c>
      <c r="F216" s="960">
        <v>0.14000000000000001</v>
      </c>
    </row>
    <row r="217" spans="1:6" ht="15" thickBot="1">
      <c r="A217" s="779" t="s">
        <v>527</v>
      </c>
      <c r="B217" s="773" t="s">
        <v>306</v>
      </c>
      <c r="C217" s="959">
        <v>0.15</v>
      </c>
      <c r="D217" s="959">
        <v>0.15</v>
      </c>
      <c r="E217" s="959">
        <v>0.15</v>
      </c>
      <c r="F217" s="960">
        <v>0.15</v>
      </c>
    </row>
    <row r="218" spans="1:6" ht="15" thickBot="1">
      <c r="A218" s="779" t="s">
        <v>527</v>
      </c>
      <c r="B218" s="773" t="s">
        <v>736</v>
      </c>
      <c r="C218" s="959">
        <v>0.15</v>
      </c>
      <c r="D218" s="959">
        <v>0.15</v>
      </c>
      <c r="E218" s="959">
        <v>0.15</v>
      </c>
      <c r="F218" s="960">
        <v>0.15</v>
      </c>
    </row>
    <row r="219" spans="1:6" ht="15" thickBot="1">
      <c r="A219" s="779" t="s">
        <v>527</v>
      </c>
      <c r="B219" s="773" t="s">
        <v>327</v>
      </c>
      <c r="C219" s="959">
        <v>0.15</v>
      </c>
      <c r="D219" s="959">
        <v>0.15</v>
      </c>
      <c r="E219" s="959">
        <v>0.15</v>
      </c>
      <c r="F219" s="960">
        <v>0.14799999999999999</v>
      </c>
    </row>
    <row r="220" spans="1:6" ht="15" thickBot="1">
      <c r="A220" s="779" t="s">
        <v>527</v>
      </c>
      <c r="B220" s="773" t="s">
        <v>737</v>
      </c>
      <c r="C220" s="959">
        <v>0.15</v>
      </c>
      <c r="D220" s="959">
        <v>0.15</v>
      </c>
      <c r="E220" s="959">
        <v>0.15</v>
      </c>
      <c r="F220" s="960">
        <v>0.15</v>
      </c>
    </row>
    <row r="221" spans="1:6" ht="15" thickBot="1">
      <c r="A221" s="779" t="s">
        <v>527</v>
      </c>
      <c r="B221" s="773" t="s">
        <v>348</v>
      </c>
      <c r="C221" s="959"/>
      <c r="D221" s="972"/>
      <c r="E221" s="972"/>
      <c r="F221" s="960">
        <v>0.14799999999999999</v>
      </c>
    </row>
    <row r="222" spans="1:6" ht="15" thickBot="1">
      <c r="A222" s="779" t="s">
        <v>527</v>
      </c>
      <c r="B222" s="773" t="s">
        <v>358</v>
      </c>
      <c r="C222" s="959"/>
      <c r="D222" s="972"/>
      <c r="E222" s="972"/>
      <c r="F222" s="960">
        <v>0.1</v>
      </c>
    </row>
    <row r="223" spans="1:6" ht="15" thickBot="1">
      <c r="A223" s="779" t="s">
        <v>527</v>
      </c>
      <c r="B223" s="773" t="s">
        <v>368</v>
      </c>
      <c r="C223" s="959"/>
      <c r="D223" s="972"/>
      <c r="E223" s="972"/>
      <c r="F223" s="960">
        <v>0.15</v>
      </c>
    </row>
    <row r="224" spans="1:6" ht="15" thickBot="1">
      <c r="A224" s="779" t="s">
        <v>527</v>
      </c>
      <c r="B224" s="773" t="s">
        <v>378</v>
      </c>
      <c r="C224" s="959"/>
      <c r="D224" s="972"/>
      <c r="E224" s="972"/>
      <c r="F224" s="960">
        <v>0.15</v>
      </c>
    </row>
    <row r="225" spans="1:6" ht="15" thickBot="1">
      <c r="A225" s="779" t="s">
        <v>527</v>
      </c>
      <c r="B225" s="773" t="s">
        <v>738</v>
      </c>
      <c r="C225" s="959">
        <v>0.15</v>
      </c>
      <c r="D225" s="959">
        <v>0.15</v>
      </c>
      <c r="E225" s="959">
        <v>0.15</v>
      </c>
      <c r="F225" s="960">
        <v>0.15</v>
      </c>
    </row>
    <row r="226" spans="1:6" ht="15" thickBot="1">
      <c r="A226" s="779" t="s">
        <v>527</v>
      </c>
      <c r="B226" s="773" t="s">
        <v>396</v>
      </c>
      <c r="C226" s="959">
        <v>0.15</v>
      </c>
      <c r="D226" s="959">
        <v>0.15</v>
      </c>
      <c r="E226" s="959">
        <v>0.15</v>
      </c>
      <c r="F226" s="960">
        <v>0.14799999999999999</v>
      </c>
    </row>
    <row r="227" spans="1:6" ht="15" thickBot="1">
      <c r="A227" s="779" t="s">
        <v>527</v>
      </c>
      <c r="B227" s="773" t="s">
        <v>739</v>
      </c>
      <c r="C227" s="959">
        <v>0.15</v>
      </c>
      <c r="D227" s="959">
        <v>0.15</v>
      </c>
      <c r="E227" s="959">
        <v>0.15</v>
      </c>
      <c r="F227" s="960">
        <v>0.15</v>
      </c>
    </row>
    <row r="228" spans="1:6" ht="15" thickBot="1">
      <c r="A228" s="779" t="s">
        <v>527</v>
      </c>
      <c r="B228" s="773" t="s">
        <v>411</v>
      </c>
      <c r="C228" s="959">
        <v>0.15</v>
      </c>
      <c r="D228" s="959">
        <v>0.15</v>
      </c>
      <c r="E228" s="959">
        <v>0.15</v>
      </c>
      <c r="F228" s="960">
        <v>0.15</v>
      </c>
    </row>
    <row r="229" spans="1:6" ht="15" thickBot="1">
      <c r="A229" s="779" t="s">
        <v>527</v>
      </c>
      <c r="B229" s="773" t="s">
        <v>418</v>
      </c>
      <c r="C229" s="959">
        <v>0.15</v>
      </c>
      <c r="D229" s="959">
        <v>0.15</v>
      </c>
      <c r="E229" s="959">
        <v>0.15</v>
      </c>
      <c r="F229" s="971"/>
    </row>
    <row r="230" spans="1:6" ht="15" thickBot="1">
      <c r="A230" s="779" t="s">
        <v>527</v>
      </c>
      <c r="B230" s="773" t="s">
        <v>425</v>
      </c>
      <c r="C230" s="959">
        <v>0.14499999999999999</v>
      </c>
      <c r="D230" s="959">
        <v>0.14499999999999999</v>
      </c>
      <c r="E230" s="959">
        <v>0.14399999999999999</v>
      </c>
      <c r="F230" s="971"/>
    </row>
    <row r="231" spans="1:6" ht="15" thickBot="1">
      <c r="A231" s="779" t="s">
        <v>527</v>
      </c>
      <c r="B231" s="773" t="s">
        <v>740</v>
      </c>
      <c r="C231" s="959">
        <v>0.128</v>
      </c>
      <c r="D231" s="959">
        <v>0.125</v>
      </c>
      <c r="E231" s="959">
        <v>0.13200000000000001</v>
      </c>
      <c r="F231" s="971"/>
    </row>
    <row r="232" spans="1:6" ht="15" thickBot="1">
      <c r="A232" s="779" t="s">
        <v>527</v>
      </c>
      <c r="B232" s="773" t="s">
        <v>741</v>
      </c>
      <c r="C232" s="959">
        <v>0.14499999999999999</v>
      </c>
      <c r="D232" s="959">
        <v>0.14399999999999999</v>
      </c>
      <c r="E232" s="959">
        <v>0.14599999999999999</v>
      </c>
      <c r="F232" s="960">
        <v>0.13800000000000001</v>
      </c>
    </row>
    <row r="233" spans="1:6" ht="15" thickBot="1">
      <c r="A233" s="779" t="s">
        <v>527</v>
      </c>
      <c r="B233" s="773" t="s">
        <v>742</v>
      </c>
      <c r="C233" s="959">
        <v>0.14499999999999999</v>
      </c>
      <c r="D233" s="959">
        <v>0.14299999999999999</v>
      </c>
      <c r="E233" s="959">
        <v>0.14199999999999999</v>
      </c>
      <c r="F233" s="971"/>
    </row>
    <row r="234" spans="1:6" ht="15" thickBot="1">
      <c r="A234" s="779" t="s">
        <v>527</v>
      </c>
      <c r="B234" s="773" t="s">
        <v>743</v>
      </c>
      <c r="C234" s="959">
        <v>0.14000000000000001</v>
      </c>
      <c r="D234" s="959">
        <v>0.14000000000000001</v>
      </c>
      <c r="E234" s="959">
        <v>0.14399999999999999</v>
      </c>
      <c r="F234" s="971"/>
    </row>
    <row r="235" spans="1:6" ht="15" thickBot="1">
      <c r="A235" s="779" t="s">
        <v>527</v>
      </c>
      <c r="B235" s="773" t="s">
        <v>744</v>
      </c>
      <c r="C235" s="959">
        <v>0.14099999999999999</v>
      </c>
      <c r="D235" s="959">
        <v>0.14199999999999999</v>
      </c>
      <c r="E235" s="959">
        <v>0.14499999999999999</v>
      </c>
      <c r="F235" s="960">
        <v>0.15</v>
      </c>
    </row>
    <row r="236" spans="1:6" ht="15" thickBot="1">
      <c r="A236" s="779" t="s">
        <v>527</v>
      </c>
      <c r="B236" s="773" t="s">
        <v>460</v>
      </c>
      <c r="C236" s="972"/>
      <c r="D236" s="972"/>
      <c r="E236" s="972"/>
      <c r="F236" s="960">
        <v>0.14299999999999999</v>
      </c>
    </row>
    <row r="237" spans="1:6" ht="24.6" thickBot="1">
      <c r="A237" s="779" t="s">
        <v>527</v>
      </c>
      <c r="B237" s="773" t="s">
        <v>745</v>
      </c>
      <c r="C237" s="972"/>
      <c r="D237" s="972"/>
      <c r="E237" s="972"/>
      <c r="F237" s="960">
        <v>0.05</v>
      </c>
    </row>
    <row r="238" spans="1:6" ht="24.6" thickBot="1">
      <c r="A238" s="779" t="s">
        <v>527</v>
      </c>
      <c r="B238" s="773" t="s">
        <v>746</v>
      </c>
      <c r="C238" s="972"/>
      <c r="D238" s="972"/>
      <c r="E238" s="972"/>
      <c r="F238" s="960">
        <v>0.05</v>
      </c>
    </row>
    <row r="239" spans="1:6" ht="24.6" thickBot="1">
      <c r="A239" s="779" t="s">
        <v>527</v>
      </c>
      <c r="B239" s="773" t="s">
        <v>747</v>
      </c>
      <c r="C239" s="972"/>
      <c r="D239" s="972"/>
      <c r="E239" s="972"/>
      <c r="F239" s="960">
        <v>0.05</v>
      </c>
    </row>
    <row r="240" spans="1:6" ht="24.6" thickBot="1">
      <c r="A240" s="779" t="s">
        <v>527</v>
      </c>
      <c r="B240" s="773" t="s">
        <v>748</v>
      </c>
      <c r="C240" s="972"/>
      <c r="D240" s="972"/>
      <c r="E240" s="972"/>
      <c r="F240" s="960">
        <v>0.05</v>
      </c>
    </row>
    <row r="241" spans="1:6" ht="24.6" thickBot="1">
      <c r="A241" s="779" t="s">
        <v>527</v>
      </c>
      <c r="B241" s="773" t="s">
        <v>749</v>
      </c>
      <c r="C241" s="972"/>
      <c r="D241" s="972"/>
      <c r="E241" s="972"/>
      <c r="F241" s="960">
        <v>0.05</v>
      </c>
    </row>
    <row r="242" spans="1:6" ht="24.6" thickBot="1">
      <c r="A242" s="779" t="s">
        <v>527</v>
      </c>
      <c r="B242" s="773" t="s">
        <v>750</v>
      </c>
      <c r="C242" s="972"/>
      <c r="D242" s="972"/>
      <c r="E242" s="972"/>
      <c r="F242" s="960">
        <v>0.05</v>
      </c>
    </row>
    <row r="243" spans="1:6" ht="24.6" thickBot="1">
      <c r="A243" s="779" t="s">
        <v>527</v>
      </c>
      <c r="B243" s="773" t="s">
        <v>751</v>
      </c>
      <c r="C243" s="972"/>
      <c r="D243" s="972"/>
      <c r="E243" s="972"/>
      <c r="F243" s="960">
        <v>0.05</v>
      </c>
    </row>
    <row r="244" spans="1:6" ht="24.6" thickBot="1">
      <c r="A244" s="789" t="s">
        <v>527</v>
      </c>
      <c r="B244" s="785" t="s">
        <v>752</v>
      </c>
      <c r="C244" s="969"/>
      <c r="D244" s="969"/>
      <c r="E244" s="969"/>
      <c r="F244" s="962">
        <v>0.05</v>
      </c>
    </row>
    <row r="245" spans="1:6" ht="15" thickBot="1">
      <c r="A245" s="779" t="s">
        <v>529</v>
      </c>
      <c r="B245" s="780" t="s">
        <v>753</v>
      </c>
      <c r="C245" s="957">
        <v>0.15</v>
      </c>
      <c r="D245" s="957">
        <v>0.15</v>
      </c>
      <c r="E245" s="957">
        <v>0.15</v>
      </c>
      <c r="F245" s="958">
        <v>0.14299999999999999</v>
      </c>
    </row>
    <row r="246" spans="1:6" ht="15" thickBot="1">
      <c r="A246" s="779" t="s">
        <v>529</v>
      </c>
      <c r="B246" s="773" t="s">
        <v>194</v>
      </c>
      <c r="C246" s="959">
        <v>0.15</v>
      </c>
      <c r="D246" s="959">
        <v>0.15</v>
      </c>
      <c r="E246" s="959">
        <v>0.15</v>
      </c>
      <c r="F246" s="960">
        <v>0.114</v>
      </c>
    </row>
    <row r="247" spans="1:6" ht="15" thickBot="1">
      <c r="A247" s="779" t="s">
        <v>529</v>
      </c>
      <c r="B247" s="773" t="s">
        <v>754</v>
      </c>
      <c r="C247" s="959">
        <v>0.15</v>
      </c>
      <c r="D247" s="959">
        <v>0.15</v>
      </c>
      <c r="E247" s="959">
        <v>0.15</v>
      </c>
      <c r="F247" s="960">
        <v>0.15</v>
      </c>
    </row>
    <row r="248" spans="1:6" ht="15" thickBot="1">
      <c r="A248" s="779" t="s">
        <v>529</v>
      </c>
      <c r="B248" s="773" t="s">
        <v>755</v>
      </c>
      <c r="C248" s="959">
        <v>0.15</v>
      </c>
      <c r="D248" s="959">
        <v>0.15</v>
      </c>
      <c r="E248" s="959">
        <v>0.15</v>
      </c>
      <c r="F248" s="960">
        <v>0.14000000000000001</v>
      </c>
    </row>
    <row r="249" spans="1:6" ht="15" thickBot="1">
      <c r="A249" s="779" t="s">
        <v>529</v>
      </c>
      <c r="B249" s="773" t="s">
        <v>756</v>
      </c>
      <c r="C249" s="959">
        <v>0.15</v>
      </c>
      <c r="D249" s="959">
        <v>0.14899999999999999</v>
      </c>
      <c r="E249" s="959">
        <v>0.15</v>
      </c>
      <c r="F249" s="960">
        <v>0.1</v>
      </c>
    </row>
    <row r="250" spans="1:6" ht="15" thickBot="1">
      <c r="A250" s="779" t="s">
        <v>529</v>
      </c>
      <c r="B250" s="773" t="s">
        <v>757</v>
      </c>
      <c r="C250" s="959">
        <v>0.15</v>
      </c>
      <c r="D250" s="959">
        <v>0.15</v>
      </c>
      <c r="E250" s="959">
        <v>0.15</v>
      </c>
      <c r="F250" s="960">
        <v>0.14399999999999999</v>
      </c>
    </row>
    <row r="251" spans="1:6" ht="15" thickBot="1">
      <c r="A251" s="779" t="s">
        <v>529</v>
      </c>
      <c r="B251" s="773" t="s">
        <v>254</v>
      </c>
      <c r="C251" s="959">
        <v>0.15</v>
      </c>
      <c r="D251" s="959">
        <v>0.15</v>
      </c>
      <c r="E251" s="959">
        <v>0.15</v>
      </c>
      <c r="F251" s="960">
        <v>0.14299999999999999</v>
      </c>
    </row>
    <row r="252" spans="1:6" ht="15" thickBot="1">
      <c r="A252" s="779" t="s">
        <v>529</v>
      </c>
      <c r="B252" s="773" t="s">
        <v>265</v>
      </c>
      <c r="C252" s="959">
        <v>0.15</v>
      </c>
      <c r="D252" s="959">
        <v>0.15</v>
      </c>
      <c r="E252" s="959">
        <v>0.15</v>
      </c>
      <c r="F252" s="960">
        <v>0.1</v>
      </c>
    </row>
    <row r="253" spans="1:6" ht="15" thickBot="1">
      <c r="A253" s="779" t="s">
        <v>529</v>
      </c>
      <c r="B253" s="773" t="s">
        <v>277</v>
      </c>
      <c r="C253" s="959">
        <v>0.15</v>
      </c>
      <c r="D253" s="959">
        <v>0.15</v>
      </c>
      <c r="E253" s="959">
        <v>0.15</v>
      </c>
      <c r="F253" s="960">
        <v>0.1</v>
      </c>
    </row>
    <row r="254" spans="1:6" ht="15" thickBot="1">
      <c r="A254" s="779" t="s">
        <v>529</v>
      </c>
      <c r="B254" s="773" t="s">
        <v>287</v>
      </c>
      <c r="C254" s="972"/>
      <c r="D254" s="972"/>
      <c r="E254" s="972"/>
      <c r="F254" s="960">
        <v>0.15</v>
      </c>
    </row>
    <row r="255" spans="1:6" ht="15" thickBot="1">
      <c r="A255" s="779" t="s">
        <v>529</v>
      </c>
      <c r="B255" s="773" t="s">
        <v>297</v>
      </c>
      <c r="C255" s="972"/>
      <c r="D255" s="972"/>
      <c r="E255" s="972"/>
      <c r="F255" s="960">
        <v>0.14299999999999999</v>
      </c>
    </row>
    <row r="256" spans="1:6" ht="15" thickBot="1">
      <c r="A256" s="779" t="s">
        <v>529</v>
      </c>
      <c r="B256" s="773" t="s">
        <v>758</v>
      </c>
      <c r="C256" s="959">
        <v>0.14599999999999999</v>
      </c>
      <c r="D256" s="959">
        <v>0.14699999999999999</v>
      </c>
      <c r="E256" s="959">
        <v>0.15</v>
      </c>
      <c r="F256" s="960">
        <v>0.13200000000000001</v>
      </c>
    </row>
    <row r="257" spans="1:6" ht="15" thickBot="1">
      <c r="A257" s="779" t="s">
        <v>529</v>
      </c>
      <c r="B257" s="773" t="s">
        <v>317</v>
      </c>
      <c r="C257" s="959">
        <v>0.15</v>
      </c>
      <c r="D257" s="959">
        <v>0.15</v>
      </c>
      <c r="E257" s="959">
        <v>0.15</v>
      </c>
      <c r="F257" s="960">
        <v>0.13900000000000001</v>
      </c>
    </row>
    <row r="258" spans="1:6" ht="15" thickBot="1">
      <c r="A258" s="779" t="s">
        <v>529</v>
      </c>
      <c r="B258" s="773" t="s">
        <v>328</v>
      </c>
      <c r="C258" s="959">
        <v>0.15</v>
      </c>
      <c r="D258" s="959">
        <v>0.15</v>
      </c>
      <c r="E258" s="959">
        <v>0.15</v>
      </c>
      <c r="F258" s="960">
        <v>0.13</v>
      </c>
    </row>
    <row r="259" spans="1:6" ht="15" thickBot="1">
      <c r="A259" s="779" t="s">
        <v>529</v>
      </c>
      <c r="B259" s="773" t="s">
        <v>759</v>
      </c>
      <c r="C259" s="959">
        <v>0.14799999999999999</v>
      </c>
      <c r="D259" s="959">
        <v>0.14899999999999999</v>
      </c>
      <c r="E259" s="959">
        <v>0.15</v>
      </c>
      <c r="F259" s="960">
        <v>0.13700000000000001</v>
      </c>
    </row>
    <row r="260" spans="1:6" ht="15" thickBot="1">
      <c r="A260" s="779" t="s">
        <v>529</v>
      </c>
      <c r="B260" s="773" t="s">
        <v>349</v>
      </c>
      <c r="C260" s="959">
        <v>0.15</v>
      </c>
      <c r="D260" s="959">
        <v>0.15</v>
      </c>
      <c r="E260" s="959">
        <v>0.15</v>
      </c>
      <c r="F260" s="960">
        <v>0.14199999999999999</v>
      </c>
    </row>
    <row r="261" spans="1:6" ht="15" thickBot="1">
      <c r="A261" s="779" t="s">
        <v>529</v>
      </c>
      <c r="B261" s="773" t="s">
        <v>359</v>
      </c>
      <c r="C261" s="959">
        <v>0.15</v>
      </c>
      <c r="D261" s="959">
        <v>0.15</v>
      </c>
      <c r="E261" s="959">
        <v>0.14899999999999999</v>
      </c>
      <c r="F261" s="960">
        <v>0.14799999999999999</v>
      </c>
    </row>
    <row r="262" spans="1:6" ht="15" thickBot="1">
      <c r="A262" s="779" t="s">
        <v>529</v>
      </c>
      <c r="B262" s="773" t="s">
        <v>369</v>
      </c>
      <c r="C262" s="959">
        <v>0.15</v>
      </c>
      <c r="D262" s="959">
        <v>0.15</v>
      </c>
      <c r="E262" s="959">
        <v>0.15</v>
      </c>
      <c r="F262" s="971"/>
    </row>
    <row r="263" spans="1:6" ht="15" thickBot="1">
      <c r="A263" s="779" t="s">
        <v>529</v>
      </c>
      <c r="B263" s="773" t="s">
        <v>760</v>
      </c>
      <c r="C263" s="959">
        <v>0.14899999999999999</v>
      </c>
      <c r="D263" s="959">
        <v>0.14899999999999999</v>
      </c>
      <c r="E263" s="959">
        <v>0.15</v>
      </c>
      <c r="F263" s="960">
        <v>0.13</v>
      </c>
    </row>
    <row r="264" spans="1:6" ht="15" thickBot="1">
      <c r="A264" s="779" t="s">
        <v>529</v>
      </c>
      <c r="B264" s="773" t="s">
        <v>388</v>
      </c>
      <c r="C264" s="959">
        <v>0.14799999999999999</v>
      </c>
      <c r="D264" s="959">
        <v>0.14699999999999999</v>
      </c>
      <c r="E264" s="959">
        <v>0.15</v>
      </c>
      <c r="F264" s="960">
        <v>7.8E-2</v>
      </c>
    </row>
    <row r="265" spans="1:6" ht="15" thickBot="1">
      <c r="A265" s="779" t="s">
        <v>529</v>
      </c>
      <c r="B265" s="773" t="s">
        <v>397</v>
      </c>
      <c r="C265" s="959">
        <v>0.15</v>
      </c>
      <c r="D265" s="959">
        <v>0.15</v>
      </c>
      <c r="E265" s="959">
        <v>0.15</v>
      </c>
      <c r="F265" s="960">
        <v>7.3999999999999996E-2</v>
      </c>
    </row>
    <row r="266" spans="1:6" ht="15" thickBot="1">
      <c r="A266" s="779" t="s">
        <v>529</v>
      </c>
      <c r="B266" s="773" t="s">
        <v>405</v>
      </c>
      <c r="C266" s="959">
        <v>0.14699999999999999</v>
      </c>
      <c r="D266" s="959">
        <v>0.14699999999999999</v>
      </c>
      <c r="E266" s="959">
        <v>0.15</v>
      </c>
      <c r="F266" s="960">
        <v>0.14299999999999999</v>
      </c>
    </row>
    <row r="267" spans="1:6" ht="15" thickBot="1">
      <c r="A267" s="779" t="s">
        <v>529</v>
      </c>
      <c r="B267" s="773" t="s">
        <v>412</v>
      </c>
      <c r="C267" s="959">
        <v>0.14199999999999999</v>
      </c>
      <c r="D267" s="959">
        <v>0.14299999999999999</v>
      </c>
      <c r="E267" s="959">
        <v>0.15</v>
      </c>
      <c r="F267" s="971"/>
    </row>
    <row r="268" spans="1:6" ht="15" thickBot="1">
      <c r="A268" s="779" t="s">
        <v>529</v>
      </c>
      <c r="B268" s="773" t="s">
        <v>761</v>
      </c>
      <c r="C268" s="959">
        <v>0.15</v>
      </c>
      <c r="D268" s="959">
        <v>0.15</v>
      </c>
      <c r="E268" s="959">
        <v>0.15</v>
      </c>
      <c r="F268" s="960">
        <v>0.13</v>
      </c>
    </row>
    <row r="269" spans="1:6" ht="15" thickBot="1">
      <c r="A269" s="779" t="s">
        <v>529</v>
      </c>
      <c r="B269" s="773" t="s">
        <v>426</v>
      </c>
      <c r="C269" s="959">
        <v>0.15</v>
      </c>
      <c r="D269" s="959">
        <v>0.15</v>
      </c>
      <c r="E269" s="959">
        <v>0.15</v>
      </c>
      <c r="F269" s="960">
        <v>0.14299999999999999</v>
      </c>
    </row>
    <row r="270" spans="1:6" ht="15" thickBot="1">
      <c r="A270" s="779" t="s">
        <v>529</v>
      </c>
      <c r="B270" s="773" t="s">
        <v>433</v>
      </c>
      <c r="C270" s="959">
        <v>0.14499999999999999</v>
      </c>
      <c r="D270" s="959">
        <v>0.14499999999999999</v>
      </c>
      <c r="E270" s="959">
        <v>0.15</v>
      </c>
      <c r="F270" s="960">
        <v>0.14699999999999999</v>
      </c>
    </row>
    <row r="271" spans="1:6" ht="15" thickBot="1">
      <c r="A271" s="779" t="s">
        <v>529</v>
      </c>
      <c r="B271" s="773" t="s">
        <v>440</v>
      </c>
      <c r="C271" s="959">
        <v>0.15</v>
      </c>
      <c r="D271" s="959">
        <v>0.15</v>
      </c>
      <c r="E271" s="959">
        <v>0.15</v>
      </c>
      <c r="F271" s="960">
        <v>0.13800000000000001</v>
      </c>
    </row>
    <row r="272" spans="1:6" ht="15" thickBot="1">
      <c r="A272" s="779" t="s">
        <v>529</v>
      </c>
      <c r="B272" s="773" t="s">
        <v>447</v>
      </c>
      <c r="C272" s="972"/>
      <c r="D272" s="972"/>
      <c r="E272" s="972"/>
      <c r="F272" s="960">
        <v>0.14000000000000001</v>
      </c>
    </row>
    <row r="273" spans="1:6" ht="15" thickBot="1">
      <c r="A273" s="779" t="s">
        <v>529</v>
      </c>
      <c r="B273" s="773" t="s">
        <v>762</v>
      </c>
      <c r="C273" s="959">
        <v>0.14199999999999999</v>
      </c>
      <c r="D273" s="959">
        <v>0.14299999999999999</v>
      </c>
      <c r="E273" s="959">
        <v>0.15</v>
      </c>
      <c r="F273" s="960">
        <v>0.1</v>
      </c>
    </row>
    <row r="274" spans="1:6" ht="15" thickBot="1">
      <c r="A274" s="779" t="s">
        <v>529</v>
      </c>
      <c r="B274" s="773" t="s">
        <v>763</v>
      </c>
      <c r="C274" s="959">
        <v>0.14799999999999999</v>
      </c>
      <c r="D274" s="959">
        <v>0.14799999999999999</v>
      </c>
      <c r="E274" s="959">
        <v>0.15</v>
      </c>
      <c r="F274" s="960">
        <v>6.7000000000000004E-2</v>
      </c>
    </row>
    <row r="275" spans="1:6" ht="15" thickBot="1">
      <c r="A275" s="779" t="s">
        <v>529</v>
      </c>
      <c r="B275" s="773" t="s">
        <v>764</v>
      </c>
      <c r="C275" s="959">
        <v>0.15</v>
      </c>
      <c r="D275" s="959">
        <v>0.15</v>
      </c>
      <c r="E275" s="959">
        <v>0.15</v>
      </c>
      <c r="F275" s="960">
        <v>0.15</v>
      </c>
    </row>
    <row r="276" spans="1:6" ht="15" thickBot="1">
      <c r="A276" s="779" t="s">
        <v>529</v>
      </c>
      <c r="B276" s="773" t="s">
        <v>765</v>
      </c>
      <c r="C276" s="959">
        <v>0.14499999999999999</v>
      </c>
      <c r="D276" s="959">
        <v>0.14299999999999999</v>
      </c>
      <c r="E276" s="959">
        <v>0.15</v>
      </c>
      <c r="F276" s="960">
        <v>5.8999999999999997E-2</v>
      </c>
    </row>
    <row r="277" spans="1:6" ht="15" thickBot="1">
      <c r="A277" s="779" t="s">
        <v>529</v>
      </c>
      <c r="B277" s="773" t="s">
        <v>766</v>
      </c>
      <c r="C277" s="959">
        <v>0.15</v>
      </c>
      <c r="D277" s="959">
        <v>0.15</v>
      </c>
      <c r="E277" s="959">
        <v>0.15</v>
      </c>
      <c r="F277" s="960">
        <v>0.121</v>
      </c>
    </row>
    <row r="278" spans="1:6" ht="15" thickBot="1">
      <c r="A278" s="779" t="s">
        <v>529</v>
      </c>
      <c r="B278" s="773" t="s">
        <v>767</v>
      </c>
      <c r="C278" s="959">
        <v>0.15</v>
      </c>
      <c r="D278" s="959">
        <v>0.15</v>
      </c>
      <c r="E278" s="959">
        <v>0.15</v>
      </c>
      <c r="F278" s="960">
        <v>0.13800000000000001</v>
      </c>
    </row>
    <row r="279" spans="1:6" ht="24.6" thickBot="1">
      <c r="A279" s="779" t="s">
        <v>529</v>
      </c>
      <c r="B279" s="773" t="s">
        <v>768</v>
      </c>
      <c r="C279" s="972"/>
      <c r="D279" s="972"/>
      <c r="E279" s="972"/>
      <c r="F279" s="960">
        <v>0.05</v>
      </c>
    </row>
    <row r="280" spans="1:6" ht="24.6" thickBot="1">
      <c r="A280" s="779" t="s">
        <v>529</v>
      </c>
      <c r="B280" s="773" t="s">
        <v>769</v>
      </c>
      <c r="C280" s="972"/>
      <c r="D280" s="972"/>
      <c r="E280" s="972"/>
      <c r="F280" s="960">
        <v>0.05</v>
      </c>
    </row>
    <row r="281" spans="1:6" ht="24.6" thickBot="1">
      <c r="A281" s="779" t="s">
        <v>529</v>
      </c>
      <c r="B281" s="773" t="s">
        <v>770</v>
      </c>
      <c r="C281" s="972"/>
      <c r="D281" s="972"/>
      <c r="E281" s="972"/>
      <c r="F281" s="960">
        <v>0.05</v>
      </c>
    </row>
    <row r="282" spans="1:6" ht="24.6" thickBot="1">
      <c r="A282" s="779" t="s">
        <v>529</v>
      </c>
      <c r="B282" s="773" t="s">
        <v>771</v>
      </c>
      <c r="C282" s="972"/>
      <c r="D282" s="972"/>
      <c r="E282" s="972"/>
      <c r="F282" s="960">
        <v>0.05</v>
      </c>
    </row>
    <row r="283" spans="1:6" ht="24.6" thickBot="1">
      <c r="A283" s="779" t="s">
        <v>529</v>
      </c>
      <c r="B283" s="773" t="s">
        <v>772</v>
      </c>
      <c r="C283" s="972"/>
      <c r="D283" s="972"/>
      <c r="E283" s="972"/>
      <c r="F283" s="960">
        <v>0.05</v>
      </c>
    </row>
    <row r="284" spans="1:6" ht="24.6" thickBot="1">
      <c r="A284" s="779" t="s">
        <v>529</v>
      </c>
      <c r="B284" s="773" t="s">
        <v>773</v>
      </c>
      <c r="C284" s="972"/>
      <c r="D284" s="972"/>
      <c r="E284" s="972"/>
      <c r="F284" s="960">
        <v>0.05</v>
      </c>
    </row>
    <row r="285" spans="1:6" ht="24.6" thickBot="1">
      <c r="A285" s="779" t="s">
        <v>529</v>
      </c>
      <c r="B285" s="773" t="s">
        <v>774</v>
      </c>
      <c r="C285" s="972"/>
      <c r="D285" s="972"/>
      <c r="E285" s="972"/>
      <c r="F285" s="960">
        <v>0.05</v>
      </c>
    </row>
    <row r="286" spans="1:6" ht="24.6" thickBot="1">
      <c r="A286" s="779" t="s">
        <v>529</v>
      </c>
      <c r="B286" s="773" t="s">
        <v>775</v>
      </c>
      <c r="C286" s="972"/>
      <c r="D286" s="972"/>
      <c r="E286" s="972"/>
      <c r="F286" s="960">
        <v>0.05</v>
      </c>
    </row>
    <row r="287" spans="1:6" ht="24.6" thickBot="1">
      <c r="A287" s="779" t="s">
        <v>529</v>
      </c>
      <c r="B287" s="773" t="s">
        <v>776</v>
      </c>
      <c r="C287" s="972"/>
      <c r="D287" s="972"/>
      <c r="E287" s="972"/>
      <c r="F287" s="960">
        <v>0.05</v>
      </c>
    </row>
    <row r="288" spans="1:6" ht="24.6" thickBot="1">
      <c r="A288" s="779" t="s">
        <v>529</v>
      </c>
      <c r="B288" s="773" t="s">
        <v>777</v>
      </c>
      <c r="C288" s="972"/>
      <c r="D288" s="972"/>
      <c r="E288" s="972"/>
      <c r="F288" s="960">
        <v>0.05</v>
      </c>
    </row>
    <row r="289" spans="1:6" ht="24.6" thickBot="1">
      <c r="A289" s="789" t="s">
        <v>529</v>
      </c>
      <c r="B289" s="785" t="s">
        <v>778</v>
      </c>
      <c r="C289" s="969"/>
      <c r="D289" s="969"/>
      <c r="E289" s="969"/>
      <c r="F289" s="962">
        <v>0.05</v>
      </c>
    </row>
    <row r="290" spans="1:6" ht="15" thickBot="1">
      <c r="A290" s="779" t="s">
        <v>533</v>
      </c>
      <c r="B290" s="780" t="s">
        <v>779</v>
      </c>
      <c r="C290" s="957">
        <v>0.15</v>
      </c>
      <c r="D290" s="957">
        <v>0.15</v>
      </c>
      <c r="E290" s="957">
        <v>0.15</v>
      </c>
      <c r="F290" s="974"/>
    </row>
    <row r="291" spans="1:6" ht="15" thickBot="1">
      <c r="A291" s="779" t="s">
        <v>533</v>
      </c>
      <c r="B291" s="773" t="s">
        <v>195</v>
      </c>
      <c r="C291" s="959">
        <v>0.15</v>
      </c>
      <c r="D291" s="959">
        <v>0.15</v>
      </c>
      <c r="E291" s="959">
        <v>0.15</v>
      </c>
      <c r="F291" s="971"/>
    </row>
    <row r="292" spans="1:6" ht="15" thickBot="1">
      <c r="A292" s="779" t="s">
        <v>533</v>
      </c>
      <c r="B292" s="773" t="s">
        <v>780</v>
      </c>
      <c r="C292" s="959">
        <v>0.15</v>
      </c>
      <c r="D292" s="959">
        <v>0.15</v>
      </c>
      <c r="E292" s="959">
        <v>0.15</v>
      </c>
      <c r="F292" s="960">
        <v>0.14699999999999999</v>
      </c>
    </row>
    <row r="293" spans="1:6" ht="15" thickBot="1">
      <c r="A293" s="779" t="s">
        <v>533</v>
      </c>
      <c r="B293" s="773" t="s">
        <v>781</v>
      </c>
      <c r="C293" s="972"/>
      <c r="D293" s="972"/>
      <c r="E293" s="972"/>
      <c r="F293" s="960">
        <v>0.1</v>
      </c>
    </row>
    <row r="294" spans="1:6" ht="15" thickBot="1">
      <c r="A294" s="779" t="s">
        <v>533</v>
      </c>
      <c r="B294" s="773" t="s">
        <v>782</v>
      </c>
      <c r="C294" s="959">
        <v>0.15</v>
      </c>
      <c r="D294" s="959">
        <v>0.15</v>
      </c>
      <c r="E294" s="959">
        <v>0.15</v>
      </c>
      <c r="F294" s="960">
        <v>0.15</v>
      </c>
    </row>
    <row r="295" spans="1:6" ht="15" thickBot="1">
      <c r="A295" s="779" t="s">
        <v>533</v>
      </c>
      <c r="B295" s="773" t="s">
        <v>233</v>
      </c>
      <c r="C295" s="959">
        <v>0.15</v>
      </c>
      <c r="D295" s="959">
        <v>0.15</v>
      </c>
      <c r="E295" s="959">
        <v>0.15</v>
      </c>
      <c r="F295" s="960">
        <v>0.15</v>
      </c>
    </row>
    <row r="296" spans="1:6" ht="15" thickBot="1">
      <c r="A296" s="779" t="s">
        <v>533</v>
      </c>
      <c r="B296" s="773" t="s">
        <v>783</v>
      </c>
      <c r="C296" s="959">
        <v>0.15</v>
      </c>
      <c r="D296" s="959">
        <v>0.15</v>
      </c>
      <c r="E296" s="959">
        <v>0.15</v>
      </c>
      <c r="F296" s="960">
        <v>0.15</v>
      </c>
    </row>
    <row r="297" spans="1:6" ht="15" thickBot="1">
      <c r="A297" s="779" t="s">
        <v>533</v>
      </c>
      <c r="B297" s="773" t="s">
        <v>784</v>
      </c>
      <c r="C297" s="959">
        <v>0.14799999999999999</v>
      </c>
      <c r="D297" s="959">
        <v>0.14899999999999999</v>
      </c>
      <c r="E297" s="959">
        <v>0.15</v>
      </c>
      <c r="F297" s="960">
        <v>0.13700000000000001</v>
      </c>
    </row>
    <row r="298" spans="1:6" ht="15" thickBot="1">
      <c r="A298" s="779" t="s">
        <v>533</v>
      </c>
      <c r="B298" s="773" t="s">
        <v>266</v>
      </c>
      <c r="C298" s="959">
        <v>0.13400000000000001</v>
      </c>
      <c r="D298" s="959">
        <v>0.13400000000000001</v>
      </c>
      <c r="E298" s="959">
        <v>0.14499999999999999</v>
      </c>
      <c r="F298" s="960">
        <v>0.14799999999999999</v>
      </c>
    </row>
    <row r="299" spans="1:6" ht="15" thickBot="1">
      <c r="A299" s="779" t="s">
        <v>533</v>
      </c>
      <c r="B299" s="773" t="s">
        <v>278</v>
      </c>
      <c r="C299" s="959">
        <v>0.15</v>
      </c>
      <c r="D299" s="959">
        <v>0.15</v>
      </c>
      <c r="E299" s="959">
        <v>0.15</v>
      </c>
      <c r="F299" s="971"/>
    </row>
    <row r="300" spans="1:6" ht="15" thickBot="1">
      <c r="A300" s="779" t="s">
        <v>533</v>
      </c>
      <c r="B300" s="773" t="s">
        <v>785</v>
      </c>
      <c r="C300" s="959">
        <v>0.15</v>
      </c>
      <c r="D300" s="959">
        <v>0.15</v>
      </c>
      <c r="E300" s="959">
        <v>0.15</v>
      </c>
      <c r="F300" s="960">
        <v>0.15</v>
      </c>
    </row>
    <row r="301" spans="1:6" ht="15" thickBot="1">
      <c r="A301" s="779" t="s">
        <v>533</v>
      </c>
      <c r="B301" s="773" t="s">
        <v>298</v>
      </c>
      <c r="C301" s="959">
        <v>0.15</v>
      </c>
      <c r="D301" s="959">
        <v>0.15</v>
      </c>
      <c r="E301" s="959">
        <v>0.15</v>
      </c>
      <c r="F301" s="971"/>
    </row>
    <row r="302" spans="1:6" ht="15" thickBot="1">
      <c r="A302" s="779" t="s">
        <v>533</v>
      </c>
      <c r="B302" s="773" t="s">
        <v>786</v>
      </c>
      <c r="C302" s="959">
        <v>0.15</v>
      </c>
      <c r="D302" s="959">
        <v>0.15</v>
      </c>
      <c r="E302" s="959">
        <v>0.15</v>
      </c>
      <c r="F302" s="960">
        <v>0.15</v>
      </c>
    </row>
    <row r="303" spans="1:6" ht="15" thickBot="1">
      <c r="A303" s="779" t="s">
        <v>533</v>
      </c>
      <c r="B303" s="773" t="s">
        <v>318</v>
      </c>
      <c r="C303" s="959">
        <v>0.15</v>
      </c>
      <c r="D303" s="959">
        <v>0.15</v>
      </c>
      <c r="E303" s="959">
        <v>0.15</v>
      </c>
      <c r="F303" s="960">
        <v>0.15</v>
      </c>
    </row>
    <row r="304" spans="1:6" ht="15" thickBot="1">
      <c r="A304" s="779" t="s">
        <v>533</v>
      </c>
      <c r="B304" s="773" t="s">
        <v>329</v>
      </c>
      <c r="C304" s="959">
        <v>0.15</v>
      </c>
      <c r="D304" s="959">
        <v>0.15</v>
      </c>
      <c r="E304" s="959">
        <v>0.15</v>
      </c>
      <c r="F304" s="971"/>
    </row>
    <row r="305" spans="1:6" ht="15" thickBot="1">
      <c r="A305" s="779" t="s">
        <v>533</v>
      </c>
      <c r="B305" s="773" t="s">
        <v>787</v>
      </c>
      <c r="C305" s="959">
        <v>0.15</v>
      </c>
      <c r="D305" s="959">
        <v>0.15</v>
      </c>
      <c r="E305" s="959">
        <v>0.15</v>
      </c>
      <c r="F305" s="960">
        <v>0.14000000000000001</v>
      </c>
    </row>
    <row r="306" spans="1:6" ht="15" thickBot="1">
      <c r="A306" s="779" t="s">
        <v>533</v>
      </c>
      <c r="B306" s="773" t="s">
        <v>350</v>
      </c>
      <c r="C306" s="959">
        <v>0.15</v>
      </c>
      <c r="D306" s="959">
        <v>0.15</v>
      </c>
      <c r="E306" s="959">
        <v>0.15</v>
      </c>
      <c r="F306" s="971"/>
    </row>
    <row r="307" spans="1:6" ht="15" thickBot="1">
      <c r="A307" s="779" t="s">
        <v>533</v>
      </c>
      <c r="B307" s="773" t="s">
        <v>788</v>
      </c>
      <c r="C307" s="959">
        <v>0.15</v>
      </c>
      <c r="D307" s="959">
        <v>0.15</v>
      </c>
      <c r="E307" s="959">
        <v>0.15</v>
      </c>
      <c r="F307" s="960">
        <v>0.14299999999999999</v>
      </c>
    </row>
    <row r="308" spans="1:6" ht="15" thickBot="1">
      <c r="A308" s="779" t="s">
        <v>533</v>
      </c>
      <c r="B308" s="773" t="s">
        <v>370</v>
      </c>
      <c r="C308" s="959">
        <v>0.15</v>
      </c>
      <c r="D308" s="959">
        <v>0.15</v>
      </c>
      <c r="E308" s="959">
        <v>0.15</v>
      </c>
      <c r="F308" s="960">
        <v>0.15</v>
      </c>
    </row>
    <row r="309" spans="1:6" ht="15" thickBot="1">
      <c r="A309" s="779" t="s">
        <v>533</v>
      </c>
      <c r="B309" s="773" t="s">
        <v>380</v>
      </c>
      <c r="C309" s="959">
        <v>0.15</v>
      </c>
      <c r="D309" s="959">
        <v>0.15</v>
      </c>
      <c r="E309" s="959">
        <v>0.15</v>
      </c>
      <c r="F309" s="971"/>
    </row>
    <row r="310" spans="1:6" ht="15" thickBot="1">
      <c r="A310" s="779" t="s">
        <v>533</v>
      </c>
      <c r="B310" s="773" t="s">
        <v>789</v>
      </c>
      <c r="C310" s="959">
        <v>0.15</v>
      </c>
      <c r="D310" s="959">
        <v>0.15</v>
      </c>
      <c r="E310" s="959">
        <v>0.15</v>
      </c>
      <c r="F310" s="960">
        <v>0.13700000000000001</v>
      </c>
    </row>
    <row r="311" spans="1:6" ht="15" thickBot="1">
      <c r="A311" s="779" t="s">
        <v>533</v>
      </c>
      <c r="B311" s="773" t="s">
        <v>790</v>
      </c>
      <c r="C311" s="959">
        <v>0.15</v>
      </c>
      <c r="D311" s="959">
        <v>0.15</v>
      </c>
      <c r="E311" s="959">
        <v>0.15</v>
      </c>
      <c r="F311" s="960">
        <v>0.15</v>
      </c>
    </row>
    <row r="312" spans="1:6" ht="15" thickBot="1">
      <c r="A312" s="779" t="s">
        <v>533</v>
      </c>
      <c r="B312" s="773" t="s">
        <v>406</v>
      </c>
      <c r="C312" s="959">
        <v>0.15</v>
      </c>
      <c r="D312" s="959">
        <v>0.15</v>
      </c>
      <c r="E312" s="959">
        <v>0.15</v>
      </c>
      <c r="F312" s="960">
        <v>0.1</v>
      </c>
    </row>
    <row r="313" spans="1:6" ht="15" thickBot="1">
      <c r="A313" s="779" t="s">
        <v>533</v>
      </c>
      <c r="B313" s="773" t="s">
        <v>791</v>
      </c>
      <c r="C313" s="959">
        <v>0.15</v>
      </c>
      <c r="D313" s="959">
        <v>0.15</v>
      </c>
      <c r="E313" s="959">
        <v>0.15</v>
      </c>
      <c r="F313" s="960">
        <v>0.15</v>
      </c>
    </row>
    <row r="314" spans="1:6" ht="24.6" thickBot="1">
      <c r="A314" s="779" t="s">
        <v>533</v>
      </c>
      <c r="B314" s="773" t="s">
        <v>792</v>
      </c>
      <c r="C314" s="972"/>
      <c r="D314" s="972"/>
      <c r="E314" s="972"/>
      <c r="F314" s="960">
        <v>0.05</v>
      </c>
    </row>
    <row r="315" spans="1:6" ht="24.6" thickBot="1">
      <c r="A315" s="779" t="s">
        <v>533</v>
      </c>
      <c r="B315" s="773" t="s">
        <v>793</v>
      </c>
      <c r="C315" s="972"/>
      <c r="D315" s="972"/>
      <c r="E315" s="972"/>
      <c r="F315" s="960">
        <v>0.05</v>
      </c>
    </row>
    <row r="316" spans="1:6" ht="24.6" thickBot="1">
      <c r="A316" s="789" t="s">
        <v>533</v>
      </c>
      <c r="B316" s="785" t="s">
        <v>794</v>
      </c>
      <c r="C316" s="969"/>
      <c r="D316" s="969"/>
      <c r="E316" s="969"/>
      <c r="F316" s="962">
        <v>0.05</v>
      </c>
    </row>
    <row r="317" spans="1:6" ht="15" thickBot="1">
      <c r="A317" s="779" t="s">
        <v>795</v>
      </c>
      <c r="B317" s="780" t="s">
        <v>796</v>
      </c>
      <c r="C317" s="957">
        <v>0.15</v>
      </c>
      <c r="D317" s="957">
        <v>0.15</v>
      </c>
      <c r="E317" s="957">
        <v>0.15</v>
      </c>
      <c r="F317" s="958">
        <v>0.15</v>
      </c>
    </row>
    <row r="318" spans="1:6" ht="15" thickBot="1">
      <c r="A318" s="779" t="s">
        <v>795</v>
      </c>
      <c r="B318" s="773" t="s">
        <v>797</v>
      </c>
      <c r="C318" s="959">
        <v>0.107</v>
      </c>
      <c r="D318" s="959">
        <v>0.11</v>
      </c>
      <c r="E318" s="959">
        <v>0.112</v>
      </c>
      <c r="F318" s="971"/>
    </row>
    <row r="319" spans="1:6" ht="15" thickBot="1">
      <c r="A319" s="779" t="s">
        <v>795</v>
      </c>
      <c r="B319" s="773" t="s">
        <v>798</v>
      </c>
      <c r="C319" s="959">
        <v>0.15</v>
      </c>
      <c r="D319" s="959">
        <v>0.15</v>
      </c>
      <c r="E319" s="959">
        <v>0.15</v>
      </c>
      <c r="F319" s="960">
        <v>0.15</v>
      </c>
    </row>
    <row r="320" spans="1:6" ht="15" thickBot="1">
      <c r="A320" s="779" t="s">
        <v>795</v>
      </c>
      <c r="B320" s="773" t="s">
        <v>222</v>
      </c>
      <c r="C320" s="959">
        <v>0.15</v>
      </c>
      <c r="D320" s="959">
        <v>0.15</v>
      </c>
      <c r="E320" s="959">
        <v>0.15</v>
      </c>
      <c r="F320" s="971"/>
    </row>
    <row r="321" spans="1:6" ht="15" thickBot="1">
      <c r="A321" s="779" t="s">
        <v>795</v>
      </c>
      <c r="B321" s="773" t="s">
        <v>799</v>
      </c>
      <c r="C321" s="959">
        <v>0.15</v>
      </c>
      <c r="D321" s="959">
        <v>0.15</v>
      </c>
      <c r="E321" s="959">
        <v>0.15</v>
      </c>
      <c r="F321" s="971"/>
    </row>
    <row r="322" spans="1:6" ht="15" thickBot="1">
      <c r="A322" s="779" t="s">
        <v>795</v>
      </c>
      <c r="B322" s="773" t="s">
        <v>800</v>
      </c>
      <c r="C322" s="959">
        <v>0.15</v>
      </c>
      <c r="D322" s="959">
        <v>0.15</v>
      </c>
      <c r="E322" s="959">
        <v>0.15</v>
      </c>
      <c r="F322" s="960">
        <v>0.15</v>
      </c>
    </row>
    <row r="323" spans="1:6" ht="15" thickBot="1">
      <c r="A323" s="779" t="s">
        <v>795</v>
      </c>
      <c r="B323" s="773" t="s">
        <v>801</v>
      </c>
      <c r="C323" s="959">
        <v>0.15</v>
      </c>
      <c r="D323" s="959">
        <v>0.15</v>
      </c>
      <c r="E323" s="959">
        <v>0.15</v>
      </c>
      <c r="F323" s="971"/>
    </row>
    <row r="324" spans="1:6" ht="15" thickBot="1">
      <c r="A324" s="779" t="s">
        <v>795</v>
      </c>
      <c r="B324" s="773" t="s">
        <v>802</v>
      </c>
      <c r="C324" s="959">
        <v>0.15</v>
      </c>
      <c r="D324" s="959">
        <v>0.15</v>
      </c>
      <c r="E324" s="959">
        <v>0.15</v>
      </c>
      <c r="F324" s="971"/>
    </row>
    <row r="325" spans="1:6" ht="15" thickBot="1">
      <c r="A325" s="779" t="s">
        <v>795</v>
      </c>
      <c r="B325" s="773" t="s">
        <v>803</v>
      </c>
      <c r="C325" s="959">
        <v>0.15</v>
      </c>
      <c r="D325" s="959">
        <v>0.15</v>
      </c>
      <c r="E325" s="959">
        <v>0.15</v>
      </c>
      <c r="F325" s="960">
        <v>0.14699999999999999</v>
      </c>
    </row>
    <row r="326" spans="1:6" ht="15" thickBot="1">
      <c r="A326" s="779" t="s">
        <v>795</v>
      </c>
      <c r="B326" s="773" t="s">
        <v>289</v>
      </c>
      <c r="C326" s="959">
        <v>0.15</v>
      </c>
      <c r="D326" s="959">
        <v>0.15</v>
      </c>
      <c r="E326" s="959">
        <v>0.15</v>
      </c>
      <c r="F326" s="971"/>
    </row>
    <row r="327" spans="1:6" ht="15" thickBot="1">
      <c r="A327" s="779" t="s">
        <v>795</v>
      </c>
      <c r="B327" s="773" t="s">
        <v>804</v>
      </c>
      <c r="C327" s="959">
        <v>0.15</v>
      </c>
      <c r="D327" s="959">
        <v>0.15</v>
      </c>
      <c r="E327" s="959">
        <v>0.15</v>
      </c>
      <c r="F327" s="960">
        <v>0.15</v>
      </c>
    </row>
    <row r="328" spans="1:6" ht="15" thickBot="1">
      <c r="A328" s="779" t="s">
        <v>795</v>
      </c>
      <c r="B328" s="773" t="s">
        <v>309</v>
      </c>
      <c r="C328" s="959">
        <v>0.15</v>
      </c>
      <c r="D328" s="959">
        <v>0.15</v>
      </c>
      <c r="E328" s="959">
        <v>0.15</v>
      </c>
      <c r="F328" s="960">
        <v>0.14099999999999999</v>
      </c>
    </row>
    <row r="329" spans="1:6" ht="15" thickBot="1">
      <c r="A329" s="779" t="s">
        <v>795</v>
      </c>
      <c r="B329" s="773" t="s">
        <v>319</v>
      </c>
      <c r="C329" s="959">
        <v>0.15</v>
      </c>
      <c r="D329" s="959">
        <v>0.15</v>
      </c>
      <c r="E329" s="959">
        <v>0.15</v>
      </c>
      <c r="F329" s="960">
        <v>0.15</v>
      </c>
    </row>
    <row r="330" spans="1:6" ht="15" thickBot="1">
      <c r="A330" s="779" t="s">
        <v>795</v>
      </c>
      <c r="B330" s="773" t="s">
        <v>330</v>
      </c>
      <c r="C330" s="959">
        <v>0.15</v>
      </c>
      <c r="D330" s="959">
        <v>0.15</v>
      </c>
      <c r="E330" s="959">
        <v>0.15</v>
      </c>
      <c r="F330" s="971"/>
    </row>
    <row r="331" spans="1:6" ht="15" thickBot="1">
      <c r="A331" s="779" t="s">
        <v>795</v>
      </c>
      <c r="B331" s="773" t="s">
        <v>805</v>
      </c>
      <c r="C331" s="959">
        <v>0.15</v>
      </c>
      <c r="D331" s="959">
        <v>0.15</v>
      </c>
      <c r="E331" s="959">
        <v>0.15</v>
      </c>
      <c r="F331" s="960">
        <v>0.15</v>
      </c>
    </row>
    <row r="332" spans="1:6" ht="15" thickBot="1">
      <c r="A332" s="779" t="s">
        <v>795</v>
      </c>
      <c r="B332" s="773" t="s">
        <v>351</v>
      </c>
      <c r="C332" s="959">
        <v>0.15</v>
      </c>
      <c r="D332" s="959">
        <v>0.15</v>
      </c>
      <c r="E332" s="959">
        <v>0.15</v>
      </c>
      <c r="F332" s="960">
        <v>0.15</v>
      </c>
    </row>
    <row r="333" spans="1:6" ht="15" thickBot="1">
      <c r="A333" s="779" t="s">
        <v>795</v>
      </c>
      <c r="B333" s="773" t="s">
        <v>806</v>
      </c>
      <c r="C333" s="959">
        <v>0.15</v>
      </c>
      <c r="D333" s="959">
        <v>0.15</v>
      </c>
      <c r="E333" s="959">
        <v>0.15</v>
      </c>
      <c r="F333" s="960">
        <v>0.14099999999999999</v>
      </c>
    </row>
    <row r="334" spans="1:6" ht="15" thickBot="1">
      <c r="A334" s="779" t="s">
        <v>795</v>
      </c>
      <c r="B334" s="773" t="s">
        <v>371</v>
      </c>
      <c r="C334" s="959">
        <v>0.15</v>
      </c>
      <c r="D334" s="959">
        <v>0.15</v>
      </c>
      <c r="E334" s="959">
        <v>0.15</v>
      </c>
      <c r="F334" s="960">
        <v>0.15</v>
      </c>
    </row>
    <row r="335" spans="1:6" ht="15" thickBot="1">
      <c r="A335" s="779" t="s">
        <v>795</v>
      </c>
      <c r="B335" s="773" t="s">
        <v>381</v>
      </c>
      <c r="C335" s="959">
        <v>0.15</v>
      </c>
      <c r="D335" s="959">
        <v>0.15</v>
      </c>
      <c r="E335" s="959">
        <v>0.15</v>
      </c>
      <c r="F335" s="971"/>
    </row>
    <row r="336" spans="1:6" ht="15" thickBot="1">
      <c r="A336" s="779" t="s">
        <v>795</v>
      </c>
      <c r="B336" s="773" t="s">
        <v>807</v>
      </c>
      <c r="C336" s="959">
        <v>0.15</v>
      </c>
      <c r="D336" s="959">
        <v>0.15</v>
      </c>
      <c r="E336" s="959">
        <v>0.15</v>
      </c>
      <c r="F336" s="960">
        <v>0.11799999999999999</v>
      </c>
    </row>
    <row r="337" spans="1:6" ht="15" thickBot="1">
      <c r="A337" s="789" t="s">
        <v>795</v>
      </c>
      <c r="B337" s="785" t="s">
        <v>399</v>
      </c>
      <c r="C337" s="969"/>
      <c r="D337" s="969"/>
      <c r="E337" s="969"/>
      <c r="F337" s="962">
        <v>0.14299999999999999</v>
      </c>
    </row>
    <row r="338" spans="1:6" ht="15" thickBot="1">
      <c r="A338" s="779" t="s">
        <v>808</v>
      </c>
      <c r="B338" s="780" t="s">
        <v>809</v>
      </c>
      <c r="C338" s="957">
        <v>0.15</v>
      </c>
      <c r="D338" s="957">
        <v>0.15</v>
      </c>
      <c r="E338" s="957">
        <v>0.15</v>
      </c>
      <c r="F338" s="974"/>
    </row>
    <row r="339" spans="1:6" ht="15" thickBot="1">
      <c r="A339" s="779" t="s">
        <v>808</v>
      </c>
      <c r="B339" s="773" t="s">
        <v>810</v>
      </c>
      <c r="C339" s="959">
        <v>0.15</v>
      </c>
      <c r="D339" s="959">
        <v>0.15</v>
      </c>
      <c r="E339" s="959">
        <v>0.15</v>
      </c>
      <c r="F339" s="971"/>
    </row>
    <row r="340" spans="1:6" ht="15" thickBot="1">
      <c r="A340" s="779" t="s">
        <v>808</v>
      </c>
      <c r="B340" s="773" t="s">
        <v>811</v>
      </c>
      <c r="C340" s="959">
        <v>0.15</v>
      </c>
      <c r="D340" s="959">
        <v>0.15</v>
      </c>
      <c r="E340" s="959">
        <v>0.15</v>
      </c>
      <c r="F340" s="971"/>
    </row>
    <row r="341" spans="1:6" ht="15" thickBot="1">
      <c r="A341" s="779" t="s">
        <v>808</v>
      </c>
      <c r="B341" s="773" t="s">
        <v>812</v>
      </c>
      <c r="C341" s="959">
        <v>0.15</v>
      </c>
      <c r="D341" s="959">
        <v>0.15</v>
      </c>
      <c r="E341" s="959">
        <v>0.15</v>
      </c>
      <c r="F341" s="960">
        <v>0.15</v>
      </c>
    </row>
    <row r="342" spans="1:6" ht="15" thickBot="1">
      <c r="A342" s="779" t="s">
        <v>808</v>
      </c>
      <c r="B342" s="773" t="s">
        <v>813</v>
      </c>
      <c r="C342" s="959">
        <v>0.15</v>
      </c>
      <c r="D342" s="959">
        <v>0.15</v>
      </c>
      <c r="E342" s="959">
        <v>0.15</v>
      </c>
      <c r="F342" s="960">
        <v>0.15</v>
      </c>
    </row>
    <row r="343" spans="1:6" ht="15" thickBot="1">
      <c r="A343" s="779" t="s">
        <v>808</v>
      </c>
      <c r="B343" s="773" t="s">
        <v>814</v>
      </c>
      <c r="C343" s="959">
        <v>0.15</v>
      </c>
      <c r="D343" s="959">
        <v>0.15</v>
      </c>
      <c r="E343" s="959">
        <v>0.15</v>
      </c>
      <c r="F343" s="960">
        <v>0.15</v>
      </c>
    </row>
    <row r="344" spans="1:6" ht="1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36" sqref="D36"/>
    </sheetView>
  </sheetViews>
  <sheetFormatPr defaultRowHeight="14.4"/>
  <cols>
    <col min="1" max="1" width="4.88671875" style="1363" customWidth="1"/>
    <col min="2" max="2" width="13.21875" style="1369" customWidth="1"/>
    <col min="3" max="3" width="15.6640625" style="1369" customWidth="1"/>
    <col min="4" max="4" width="9.33203125" style="1369" bestFit="1" customWidth="1"/>
    <col min="5" max="5" width="13.44140625" style="1369" customWidth="1"/>
    <col min="6" max="6" width="9" style="1369"/>
    <col min="7" max="7" width="9.33203125" style="1369" bestFit="1" customWidth="1"/>
    <col min="8" max="8" width="12.21875" style="1369" customWidth="1"/>
    <col min="9" max="9" width="9" style="1369"/>
    <col min="10" max="10" width="9.33203125" style="1369" bestFit="1" customWidth="1"/>
    <col min="11" max="11" width="4" style="1363" customWidth="1"/>
    <col min="12" max="12" width="5.109375" style="1369" customWidth="1"/>
    <col min="13" max="13" width="13.77734375" style="1369" customWidth="1"/>
    <col min="14" max="256" width="9" style="1369"/>
    <col min="257" max="257" width="4.88671875" style="1360" customWidth="1"/>
    <col min="258" max="258" width="13.21875" style="1360" customWidth="1"/>
    <col min="259" max="259" width="15.6640625" style="1360" customWidth="1"/>
    <col min="260" max="260" width="9.33203125" style="1360" bestFit="1" customWidth="1"/>
    <col min="261" max="261" width="13.44140625" style="1360" customWidth="1"/>
    <col min="262" max="262" width="9" style="1360"/>
    <col min="263" max="263" width="9.33203125" style="1360" bestFit="1" customWidth="1"/>
    <col min="264" max="265" width="9" style="1360"/>
    <col min="266" max="266" width="9.33203125" style="1360" bestFit="1" customWidth="1"/>
    <col min="267" max="267" width="4" style="1360" customWidth="1"/>
    <col min="268" max="268" width="5.109375" style="1360" customWidth="1"/>
    <col min="269" max="269" width="13.77734375" style="1360" customWidth="1"/>
    <col min="270" max="512" width="9" style="1360"/>
    <col min="513" max="513" width="4.88671875" style="1360" customWidth="1"/>
    <col min="514" max="514" width="13.21875" style="1360" customWidth="1"/>
    <col min="515" max="515" width="15.6640625" style="1360" customWidth="1"/>
    <col min="516" max="516" width="9.33203125" style="1360" bestFit="1" customWidth="1"/>
    <col min="517" max="517" width="13.44140625" style="1360" customWidth="1"/>
    <col min="518" max="518" width="9" style="1360"/>
    <col min="519" max="519" width="9.33203125" style="1360" bestFit="1" customWidth="1"/>
    <col min="520" max="521" width="9" style="1360"/>
    <col min="522" max="522" width="9.33203125" style="1360" bestFit="1" customWidth="1"/>
    <col min="523" max="523" width="4" style="1360" customWidth="1"/>
    <col min="524" max="524" width="5.109375" style="1360" customWidth="1"/>
    <col min="525" max="525" width="13.77734375" style="1360" customWidth="1"/>
    <col min="526" max="768" width="9" style="1360"/>
    <col min="769" max="769" width="4.88671875" style="1360" customWidth="1"/>
    <col min="770" max="770" width="13.21875" style="1360" customWidth="1"/>
    <col min="771" max="771" width="15.6640625" style="1360" customWidth="1"/>
    <col min="772" max="772" width="9.33203125" style="1360" bestFit="1" customWidth="1"/>
    <col min="773" max="773" width="13.44140625" style="1360" customWidth="1"/>
    <col min="774" max="774" width="9" style="1360"/>
    <col min="775" max="775" width="9.33203125" style="1360" bestFit="1" customWidth="1"/>
    <col min="776" max="777" width="9" style="1360"/>
    <col min="778" max="778" width="9.33203125" style="1360" bestFit="1" customWidth="1"/>
    <col min="779" max="779" width="4" style="1360" customWidth="1"/>
    <col min="780" max="780" width="5.109375" style="1360" customWidth="1"/>
    <col min="781" max="781" width="13.77734375" style="1360" customWidth="1"/>
    <col min="782" max="1024" width="9" style="1360"/>
    <col min="1025" max="1025" width="4.88671875" style="1360" customWidth="1"/>
    <col min="1026" max="1026" width="13.21875" style="1360" customWidth="1"/>
    <col min="1027" max="1027" width="15.6640625" style="1360" customWidth="1"/>
    <col min="1028" max="1028" width="9.33203125" style="1360" bestFit="1" customWidth="1"/>
    <col min="1029" max="1029" width="13.44140625" style="1360" customWidth="1"/>
    <col min="1030" max="1030" width="9" style="1360"/>
    <col min="1031" max="1031" width="9.33203125" style="1360" bestFit="1" customWidth="1"/>
    <col min="1032" max="1033" width="9" style="1360"/>
    <col min="1034" max="1034" width="9.33203125" style="1360" bestFit="1" customWidth="1"/>
    <col min="1035" max="1035" width="4" style="1360" customWidth="1"/>
    <col min="1036" max="1036" width="5.109375" style="1360" customWidth="1"/>
    <col min="1037" max="1037" width="13.77734375" style="1360" customWidth="1"/>
    <col min="1038" max="1280" width="9" style="1360"/>
    <col min="1281" max="1281" width="4.88671875" style="1360" customWidth="1"/>
    <col min="1282" max="1282" width="13.21875" style="1360" customWidth="1"/>
    <col min="1283" max="1283" width="15.6640625" style="1360" customWidth="1"/>
    <col min="1284" max="1284" width="9.33203125" style="1360" bestFit="1" customWidth="1"/>
    <col min="1285" max="1285" width="13.44140625" style="1360" customWidth="1"/>
    <col min="1286" max="1286" width="9" style="1360"/>
    <col min="1287" max="1287" width="9.33203125" style="1360" bestFit="1" customWidth="1"/>
    <col min="1288" max="1289" width="9" style="1360"/>
    <col min="1290" max="1290" width="9.33203125" style="1360" bestFit="1" customWidth="1"/>
    <col min="1291" max="1291" width="4" style="1360" customWidth="1"/>
    <col min="1292" max="1292" width="5.109375" style="1360" customWidth="1"/>
    <col min="1293" max="1293" width="13.77734375" style="1360" customWidth="1"/>
    <col min="1294" max="1536" width="9" style="1360"/>
    <col min="1537" max="1537" width="4.88671875" style="1360" customWidth="1"/>
    <col min="1538" max="1538" width="13.21875" style="1360" customWidth="1"/>
    <col min="1539" max="1539" width="15.6640625" style="1360" customWidth="1"/>
    <col min="1540" max="1540" width="9.33203125" style="1360" bestFit="1" customWidth="1"/>
    <col min="1541" max="1541" width="13.44140625" style="1360" customWidth="1"/>
    <col min="1542" max="1542" width="9" style="1360"/>
    <col min="1543" max="1543" width="9.33203125" style="1360" bestFit="1" customWidth="1"/>
    <col min="1544" max="1545" width="9" style="1360"/>
    <col min="1546" max="1546" width="9.33203125" style="1360" bestFit="1" customWidth="1"/>
    <col min="1547" max="1547" width="4" style="1360" customWidth="1"/>
    <col min="1548" max="1548" width="5.109375" style="1360" customWidth="1"/>
    <col min="1549" max="1549" width="13.77734375" style="1360" customWidth="1"/>
    <col min="1550" max="1792" width="9" style="1360"/>
    <col min="1793" max="1793" width="4.88671875" style="1360" customWidth="1"/>
    <col min="1794" max="1794" width="13.21875" style="1360" customWidth="1"/>
    <col min="1795" max="1795" width="15.6640625" style="1360" customWidth="1"/>
    <col min="1796" max="1796" width="9.33203125" style="1360" bestFit="1" customWidth="1"/>
    <col min="1797" max="1797" width="13.44140625" style="1360" customWidth="1"/>
    <col min="1798" max="1798" width="9" style="1360"/>
    <col min="1799" max="1799" width="9.33203125" style="1360" bestFit="1" customWidth="1"/>
    <col min="1800" max="1801" width="9" style="1360"/>
    <col min="1802" max="1802" width="9.33203125" style="1360" bestFit="1" customWidth="1"/>
    <col min="1803" max="1803" width="4" style="1360" customWidth="1"/>
    <col min="1804" max="1804" width="5.109375" style="1360" customWidth="1"/>
    <col min="1805" max="1805" width="13.77734375" style="1360" customWidth="1"/>
    <col min="1806" max="2048" width="9" style="1360"/>
    <col min="2049" max="2049" width="4.88671875" style="1360" customWidth="1"/>
    <col min="2050" max="2050" width="13.21875" style="1360" customWidth="1"/>
    <col min="2051" max="2051" width="15.6640625" style="1360" customWidth="1"/>
    <col min="2052" max="2052" width="9.33203125" style="1360" bestFit="1" customWidth="1"/>
    <col min="2053" max="2053" width="13.44140625" style="1360" customWidth="1"/>
    <col min="2054" max="2054" width="9" style="1360"/>
    <col min="2055" max="2055" width="9.33203125" style="1360" bestFit="1" customWidth="1"/>
    <col min="2056" max="2057" width="9" style="1360"/>
    <col min="2058" max="2058" width="9.33203125" style="1360" bestFit="1" customWidth="1"/>
    <col min="2059" max="2059" width="4" style="1360" customWidth="1"/>
    <col min="2060" max="2060" width="5.109375" style="1360" customWidth="1"/>
    <col min="2061" max="2061" width="13.77734375" style="1360" customWidth="1"/>
    <col min="2062" max="2304" width="9" style="1360"/>
    <col min="2305" max="2305" width="4.88671875" style="1360" customWidth="1"/>
    <col min="2306" max="2306" width="13.21875" style="1360" customWidth="1"/>
    <col min="2307" max="2307" width="15.6640625" style="1360" customWidth="1"/>
    <col min="2308" max="2308" width="9.33203125" style="1360" bestFit="1" customWidth="1"/>
    <col min="2309" max="2309" width="13.44140625" style="1360" customWidth="1"/>
    <col min="2310" max="2310" width="9" style="1360"/>
    <col min="2311" max="2311" width="9.33203125" style="1360" bestFit="1" customWidth="1"/>
    <col min="2312" max="2313" width="9" style="1360"/>
    <col min="2314" max="2314" width="9.33203125" style="1360" bestFit="1" customWidth="1"/>
    <col min="2315" max="2315" width="4" style="1360" customWidth="1"/>
    <col min="2316" max="2316" width="5.109375" style="1360" customWidth="1"/>
    <col min="2317" max="2317" width="13.77734375" style="1360" customWidth="1"/>
    <col min="2318" max="2560" width="9" style="1360"/>
    <col min="2561" max="2561" width="4.88671875" style="1360" customWidth="1"/>
    <col min="2562" max="2562" width="13.21875" style="1360" customWidth="1"/>
    <col min="2563" max="2563" width="15.6640625" style="1360" customWidth="1"/>
    <col min="2564" max="2564" width="9.33203125" style="1360" bestFit="1" customWidth="1"/>
    <col min="2565" max="2565" width="13.44140625" style="1360" customWidth="1"/>
    <col min="2566" max="2566" width="9" style="1360"/>
    <col min="2567" max="2567" width="9.33203125" style="1360" bestFit="1" customWidth="1"/>
    <col min="2568" max="2569" width="9" style="1360"/>
    <col min="2570" max="2570" width="9.33203125" style="1360" bestFit="1" customWidth="1"/>
    <col min="2571" max="2571" width="4" style="1360" customWidth="1"/>
    <col min="2572" max="2572" width="5.109375" style="1360" customWidth="1"/>
    <col min="2573" max="2573" width="13.77734375" style="1360" customWidth="1"/>
    <col min="2574" max="2816" width="9" style="1360"/>
    <col min="2817" max="2817" width="4.88671875" style="1360" customWidth="1"/>
    <col min="2818" max="2818" width="13.21875" style="1360" customWidth="1"/>
    <col min="2819" max="2819" width="15.6640625" style="1360" customWidth="1"/>
    <col min="2820" max="2820" width="9.33203125" style="1360" bestFit="1" customWidth="1"/>
    <col min="2821" max="2821" width="13.44140625" style="1360" customWidth="1"/>
    <col min="2822" max="2822" width="9" style="1360"/>
    <col min="2823" max="2823" width="9.33203125" style="1360" bestFit="1" customWidth="1"/>
    <col min="2824" max="2825" width="9" style="1360"/>
    <col min="2826" max="2826" width="9.33203125" style="1360" bestFit="1" customWidth="1"/>
    <col min="2827" max="2827" width="4" style="1360" customWidth="1"/>
    <col min="2828" max="2828" width="5.109375" style="1360" customWidth="1"/>
    <col min="2829" max="2829" width="13.77734375" style="1360" customWidth="1"/>
    <col min="2830" max="3072" width="9" style="1360"/>
    <col min="3073" max="3073" width="4.88671875" style="1360" customWidth="1"/>
    <col min="3074" max="3074" width="13.21875" style="1360" customWidth="1"/>
    <col min="3075" max="3075" width="15.6640625" style="1360" customWidth="1"/>
    <col min="3076" max="3076" width="9.33203125" style="1360" bestFit="1" customWidth="1"/>
    <col min="3077" max="3077" width="13.44140625" style="1360" customWidth="1"/>
    <col min="3078" max="3078" width="9" style="1360"/>
    <col min="3079" max="3079" width="9.33203125" style="1360" bestFit="1" customWidth="1"/>
    <col min="3080" max="3081" width="9" style="1360"/>
    <col min="3082" max="3082" width="9.33203125" style="1360" bestFit="1" customWidth="1"/>
    <col min="3083" max="3083" width="4" style="1360" customWidth="1"/>
    <col min="3084" max="3084" width="5.109375" style="1360" customWidth="1"/>
    <col min="3085" max="3085" width="13.77734375" style="1360" customWidth="1"/>
    <col min="3086" max="3328" width="9" style="1360"/>
    <col min="3329" max="3329" width="4.88671875" style="1360" customWidth="1"/>
    <col min="3330" max="3330" width="13.21875" style="1360" customWidth="1"/>
    <col min="3331" max="3331" width="15.6640625" style="1360" customWidth="1"/>
    <col min="3332" max="3332" width="9.33203125" style="1360" bestFit="1" customWidth="1"/>
    <col min="3333" max="3333" width="13.44140625" style="1360" customWidth="1"/>
    <col min="3334" max="3334" width="9" style="1360"/>
    <col min="3335" max="3335" width="9.33203125" style="1360" bestFit="1" customWidth="1"/>
    <col min="3336" max="3337" width="9" style="1360"/>
    <col min="3338" max="3338" width="9.33203125" style="1360" bestFit="1" customWidth="1"/>
    <col min="3339" max="3339" width="4" style="1360" customWidth="1"/>
    <col min="3340" max="3340" width="5.109375" style="1360" customWidth="1"/>
    <col min="3341" max="3341" width="13.77734375" style="1360" customWidth="1"/>
    <col min="3342" max="3584" width="9" style="1360"/>
    <col min="3585" max="3585" width="4.88671875" style="1360" customWidth="1"/>
    <col min="3586" max="3586" width="13.21875" style="1360" customWidth="1"/>
    <col min="3587" max="3587" width="15.6640625" style="1360" customWidth="1"/>
    <col min="3588" max="3588" width="9.33203125" style="1360" bestFit="1" customWidth="1"/>
    <col min="3589" max="3589" width="13.44140625" style="1360" customWidth="1"/>
    <col min="3590" max="3590" width="9" style="1360"/>
    <col min="3591" max="3591" width="9.33203125" style="1360" bestFit="1" customWidth="1"/>
    <col min="3592" max="3593" width="9" style="1360"/>
    <col min="3594" max="3594" width="9.33203125" style="1360" bestFit="1" customWidth="1"/>
    <col min="3595" max="3595" width="4" style="1360" customWidth="1"/>
    <col min="3596" max="3596" width="5.109375" style="1360" customWidth="1"/>
    <col min="3597" max="3597" width="13.77734375" style="1360" customWidth="1"/>
    <col min="3598" max="3840" width="9" style="1360"/>
    <col min="3841" max="3841" width="4.88671875" style="1360" customWidth="1"/>
    <col min="3842" max="3842" width="13.21875" style="1360" customWidth="1"/>
    <col min="3843" max="3843" width="15.6640625" style="1360" customWidth="1"/>
    <col min="3844" max="3844" width="9.33203125" style="1360" bestFit="1" customWidth="1"/>
    <col min="3845" max="3845" width="13.44140625" style="1360" customWidth="1"/>
    <col min="3846" max="3846" width="9" style="1360"/>
    <col min="3847" max="3847" width="9.33203125" style="1360" bestFit="1" customWidth="1"/>
    <col min="3848" max="3849" width="9" style="1360"/>
    <col min="3850" max="3850" width="9.33203125" style="1360" bestFit="1" customWidth="1"/>
    <col min="3851" max="3851" width="4" style="1360" customWidth="1"/>
    <col min="3852" max="3852" width="5.109375" style="1360" customWidth="1"/>
    <col min="3853" max="3853" width="13.77734375" style="1360" customWidth="1"/>
    <col min="3854" max="4096" width="9" style="1360"/>
    <col min="4097" max="4097" width="4.88671875" style="1360" customWidth="1"/>
    <col min="4098" max="4098" width="13.21875" style="1360" customWidth="1"/>
    <col min="4099" max="4099" width="15.6640625" style="1360" customWidth="1"/>
    <col min="4100" max="4100" width="9.33203125" style="1360" bestFit="1" customWidth="1"/>
    <col min="4101" max="4101" width="13.44140625" style="1360" customWidth="1"/>
    <col min="4102" max="4102" width="9" style="1360"/>
    <col min="4103" max="4103" width="9.33203125" style="1360" bestFit="1" customWidth="1"/>
    <col min="4104" max="4105" width="9" style="1360"/>
    <col min="4106" max="4106" width="9.33203125" style="1360" bestFit="1" customWidth="1"/>
    <col min="4107" max="4107" width="4" style="1360" customWidth="1"/>
    <col min="4108" max="4108" width="5.109375" style="1360" customWidth="1"/>
    <col min="4109" max="4109" width="13.77734375" style="1360" customWidth="1"/>
    <col min="4110" max="4352" width="9" style="1360"/>
    <col min="4353" max="4353" width="4.88671875" style="1360" customWidth="1"/>
    <col min="4354" max="4354" width="13.21875" style="1360" customWidth="1"/>
    <col min="4355" max="4355" width="15.6640625" style="1360" customWidth="1"/>
    <col min="4356" max="4356" width="9.33203125" style="1360" bestFit="1" customWidth="1"/>
    <col min="4357" max="4357" width="13.44140625" style="1360" customWidth="1"/>
    <col min="4358" max="4358" width="9" style="1360"/>
    <col min="4359" max="4359" width="9.33203125" style="1360" bestFit="1" customWidth="1"/>
    <col min="4360" max="4361" width="9" style="1360"/>
    <col min="4362" max="4362" width="9.33203125" style="1360" bestFit="1" customWidth="1"/>
    <col min="4363" max="4363" width="4" style="1360" customWidth="1"/>
    <col min="4364" max="4364" width="5.109375" style="1360" customWidth="1"/>
    <col min="4365" max="4365" width="13.77734375" style="1360" customWidth="1"/>
    <col min="4366" max="4608" width="9" style="1360"/>
    <col min="4609" max="4609" width="4.88671875" style="1360" customWidth="1"/>
    <col min="4610" max="4610" width="13.21875" style="1360" customWidth="1"/>
    <col min="4611" max="4611" width="15.6640625" style="1360" customWidth="1"/>
    <col min="4612" max="4612" width="9.33203125" style="1360" bestFit="1" customWidth="1"/>
    <col min="4613" max="4613" width="13.44140625" style="1360" customWidth="1"/>
    <col min="4614" max="4614" width="9" style="1360"/>
    <col min="4615" max="4615" width="9.33203125" style="1360" bestFit="1" customWidth="1"/>
    <col min="4616" max="4617" width="9" style="1360"/>
    <col min="4618" max="4618" width="9.33203125" style="1360" bestFit="1" customWidth="1"/>
    <col min="4619" max="4619" width="4" style="1360" customWidth="1"/>
    <col min="4620" max="4620" width="5.109375" style="1360" customWidth="1"/>
    <col min="4621" max="4621" width="13.77734375" style="1360" customWidth="1"/>
    <col min="4622" max="4864" width="9" style="1360"/>
    <col min="4865" max="4865" width="4.88671875" style="1360" customWidth="1"/>
    <col min="4866" max="4866" width="13.21875" style="1360" customWidth="1"/>
    <col min="4867" max="4867" width="15.6640625" style="1360" customWidth="1"/>
    <col min="4868" max="4868" width="9.33203125" style="1360" bestFit="1" customWidth="1"/>
    <col min="4869" max="4869" width="13.44140625" style="1360" customWidth="1"/>
    <col min="4870" max="4870" width="9" style="1360"/>
    <col min="4871" max="4871" width="9.33203125" style="1360" bestFit="1" customWidth="1"/>
    <col min="4872" max="4873" width="9" style="1360"/>
    <col min="4874" max="4874" width="9.33203125" style="1360" bestFit="1" customWidth="1"/>
    <col min="4875" max="4875" width="4" style="1360" customWidth="1"/>
    <col min="4876" max="4876" width="5.109375" style="1360" customWidth="1"/>
    <col min="4877" max="4877" width="13.77734375" style="1360" customWidth="1"/>
    <col min="4878" max="5120" width="9" style="1360"/>
    <col min="5121" max="5121" width="4.88671875" style="1360" customWidth="1"/>
    <col min="5122" max="5122" width="13.21875" style="1360" customWidth="1"/>
    <col min="5123" max="5123" width="15.6640625" style="1360" customWidth="1"/>
    <col min="5124" max="5124" width="9.33203125" style="1360" bestFit="1" customWidth="1"/>
    <col min="5125" max="5125" width="13.44140625" style="1360" customWidth="1"/>
    <col min="5126" max="5126" width="9" style="1360"/>
    <col min="5127" max="5127" width="9.33203125" style="1360" bestFit="1" customWidth="1"/>
    <col min="5128" max="5129" width="9" style="1360"/>
    <col min="5130" max="5130" width="9.33203125" style="1360" bestFit="1" customWidth="1"/>
    <col min="5131" max="5131" width="4" style="1360" customWidth="1"/>
    <col min="5132" max="5132" width="5.109375" style="1360" customWidth="1"/>
    <col min="5133" max="5133" width="13.77734375" style="1360" customWidth="1"/>
    <col min="5134" max="5376" width="9" style="1360"/>
    <col min="5377" max="5377" width="4.88671875" style="1360" customWidth="1"/>
    <col min="5378" max="5378" width="13.21875" style="1360" customWidth="1"/>
    <col min="5379" max="5379" width="15.6640625" style="1360" customWidth="1"/>
    <col min="5380" max="5380" width="9.33203125" style="1360" bestFit="1" customWidth="1"/>
    <col min="5381" max="5381" width="13.44140625" style="1360" customWidth="1"/>
    <col min="5382" max="5382" width="9" style="1360"/>
    <col min="5383" max="5383" width="9.33203125" style="1360" bestFit="1" customWidth="1"/>
    <col min="5384" max="5385" width="9" style="1360"/>
    <col min="5386" max="5386" width="9.33203125" style="1360" bestFit="1" customWidth="1"/>
    <col min="5387" max="5387" width="4" style="1360" customWidth="1"/>
    <col min="5388" max="5388" width="5.109375" style="1360" customWidth="1"/>
    <col min="5389" max="5389" width="13.77734375" style="1360" customWidth="1"/>
    <col min="5390" max="5632" width="9" style="1360"/>
    <col min="5633" max="5633" width="4.88671875" style="1360" customWidth="1"/>
    <col min="5634" max="5634" width="13.21875" style="1360" customWidth="1"/>
    <col min="5635" max="5635" width="15.6640625" style="1360" customWidth="1"/>
    <col min="5636" max="5636" width="9.33203125" style="1360" bestFit="1" customWidth="1"/>
    <col min="5637" max="5637" width="13.44140625" style="1360" customWidth="1"/>
    <col min="5638" max="5638" width="9" style="1360"/>
    <col min="5639" max="5639" width="9.33203125" style="1360" bestFit="1" customWidth="1"/>
    <col min="5640" max="5641" width="9" style="1360"/>
    <col min="5642" max="5642" width="9.33203125" style="1360" bestFit="1" customWidth="1"/>
    <col min="5643" max="5643" width="4" style="1360" customWidth="1"/>
    <col min="5644" max="5644" width="5.109375" style="1360" customWidth="1"/>
    <col min="5645" max="5645" width="13.77734375" style="1360" customWidth="1"/>
    <col min="5646" max="5888" width="9" style="1360"/>
    <col min="5889" max="5889" width="4.88671875" style="1360" customWidth="1"/>
    <col min="5890" max="5890" width="13.21875" style="1360" customWidth="1"/>
    <col min="5891" max="5891" width="15.6640625" style="1360" customWidth="1"/>
    <col min="5892" max="5892" width="9.33203125" style="1360" bestFit="1" customWidth="1"/>
    <col min="5893" max="5893" width="13.44140625" style="1360" customWidth="1"/>
    <col min="5894" max="5894" width="9" style="1360"/>
    <col min="5895" max="5895" width="9.33203125" style="1360" bestFit="1" customWidth="1"/>
    <col min="5896" max="5897" width="9" style="1360"/>
    <col min="5898" max="5898" width="9.33203125" style="1360" bestFit="1" customWidth="1"/>
    <col min="5899" max="5899" width="4" style="1360" customWidth="1"/>
    <col min="5900" max="5900" width="5.109375" style="1360" customWidth="1"/>
    <col min="5901" max="5901" width="13.77734375" style="1360" customWidth="1"/>
    <col min="5902" max="6144" width="9" style="1360"/>
    <col min="6145" max="6145" width="4.88671875" style="1360" customWidth="1"/>
    <col min="6146" max="6146" width="13.21875" style="1360" customWidth="1"/>
    <col min="6147" max="6147" width="15.6640625" style="1360" customWidth="1"/>
    <col min="6148" max="6148" width="9.33203125" style="1360" bestFit="1" customWidth="1"/>
    <col min="6149" max="6149" width="13.44140625" style="1360" customWidth="1"/>
    <col min="6150" max="6150" width="9" style="1360"/>
    <col min="6151" max="6151" width="9.33203125" style="1360" bestFit="1" customWidth="1"/>
    <col min="6152" max="6153" width="9" style="1360"/>
    <col min="6154" max="6154" width="9.33203125" style="1360" bestFit="1" customWidth="1"/>
    <col min="6155" max="6155" width="4" style="1360" customWidth="1"/>
    <col min="6156" max="6156" width="5.109375" style="1360" customWidth="1"/>
    <col min="6157" max="6157" width="13.77734375" style="1360" customWidth="1"/>
    <col min="6158" max="6400" width="9" style="1360"/>
    <col min="6401" max="6401" width="4.88671875" style="1360" customWidth="1"/>
    <col min="6402" max="6402" width="13.21875" style="1360" customWidth="1"/>
    <col min="6403" max="6403" width="15.6640625" style="1360" customWidth="1"/>
    <col min="6404" max="6404" width="9.33203125" style="1360" bestFit="1" customWidth="1"/>
    <col min="6405" max="6405" width="13.44140625" style="1360" customWidth="1"/>
    <col min="6406" max="6406" width="9" style="1360"/>
    <col min="6407" max="6407" width="9.33203125" style="1360" bestFit="1" customWidth="1"/>
    <col min="6408" max="6409" width="9" style="1360"/>
    <col min="6410" max="6410" width="9.33203125" style="1360" bestFit="1" customWidth="1"/>
    <col min="6411" max="6411" width="4" style="1360" customWidth="1"/>
    <col min="6412" max="6412" width="5.109375" style="1360" customWidth="1"/>
    <col min="6413" max="6413" width="13.77734375" style="1360" customWidth="1"/>
    <col min="6414" max="6656" width="9" style="1360"/>
    <col min="6657" max="6657" width="4.88671875" style="1360" customWidth="1"/>
    <col min="6658" max="6658" width="13.21875" style="1360" customWidth="1"/>
    <col min="6659" max="6659" width="15.6640625" style="1360" customWidth="1"/>
    <col min="6660" max="6660" width="9.33203125" style="1360" bestFit="1" customWidth="1"/>
    <col min="6661" max="6661" width="13.44140625" style="1360" customWidth="1"/>
    <col min="6662" max="6662" width="9" style="1360"/>
    <col min="6663" max="6663" width="9.33203125" style="1360" bestFit="1" customWidth="1"/>
    <col min="6664" max="6665" width="9" style="1360"/>
    <col min="6666" max="6666" width="9.33203125" style="1360" bestFit="1" customWidth="1"/>
    <col min="6667" max="6667" width="4" style="1360" customWidth="1"/>
    <col min="6668" max="6668" width="5.109375" style="1360" customWidth="1"/>
    <col min="6669" max="6669" width="13.77734375" style="1360" customWidth="1"/>
    <col min="6670" max="6912" width="9" style="1360"/>
    <col min="6913" max="6913" width="4.88671875" style="1360" customWidth="1"/>
    <col min="6914" max="6914" width="13.21875" style="1360" customWidth="1"/>
    <col min="6915" max="6915" width="15.6640625" style="1360" customWidth="1"/>
    <col min="6916" max="6916" width="9.33203125" style="1360" bestFit="1" customWidth="1"/>
    <col min="6917" max="6917" width="13.44140625" style="1360" customWidth="1"/>
    <col min="6918" max="6918" width="9" style="1360"/>
    <col min="6919" max="6919" width="9.33203125" style="1360" bestFit="1" customWidth="1"/>
    <col min="6920" max="6921" width="9" style="1360"/>
    <col min="6922" max="6922" width="9.33203125" style="1360" bestFit="1" customWidth="1"/>
    <col min="6923" max="6923" width="4" style="1360" customWidth="1"/>
    <col min="6924" max="6924" width="5.109375" style="1360" customWidth="1"/>
    <col min="6925" max="6925" width="13.77734375" style="1360" customWidth="1"/>
    <col min="6926" max="7168" width="9" style="1360"/>
    <col min="7169" max="7169" width="4.88671875" style="1360" customWidth="1"/>
    <col min="7170" max="7170" width="13.21875" style="1360" customWidth="1"/>
    <col min="7171" max="7171" width="15.6640625" style="1360" customWidth="1"/>
    <col min="7172" max="7172" width="9.33203125" style="1360" bestFit="1" customWidth="1"/>
    <col min="7173" max="7173" width="13.44140625" style="1360" customWidth="1"/>
    <col min="7174" max="7174" width="9" style="1360"/>
    <col min="7175" max="7175" width="9.33203125" style="1360" bestFit="1" customWidth="1"/>
    <col min="7176" max="7177" width="9" style="1360"/>
    <col min="7178" max="7178" width="9.33203125" style="1360" bestFit="1" customWidth="1"/>
    <col min="7179" max="7179" width="4" style="1360" customWidth="1"/>
    <col min="7180" max="7180" width="5.109375" style="1360" customWidth="1"/>
    <col min="7181" max="7181" width="13.77734375" style="1360" customWidth="1"/>
    <col min="7182" max="7424" width="9" style="1360"/>
    <col min="7425" max="7425" width="4.88671875" style="1360" customWidth="1"/>
    <col min="7426" max="7426" width="13.21875" style="1360" customWidth="1"/>
    <col min="7427" max="7427" width="15.6640625" style="1360" customWidth="1"/>
    <col min="7428" max="7428" width="9.33203125" style="1360" bestFit="1" customWidth="1"/>
    <col min="7429" max="7429" width="13.44140625" style="1360" customWidth="1"/>
    <col min="7430" max="7430" width="9" style="1360"/>
    <col min="7431" max="7431" width="9.33203125" style="1360" bestFit="1" customWidth="1"/>
    <col min="7432" max="7433" width="9" style="1360"/>
    <col min="7434" max="7434" width="9.33203125" style="1360" bestFit="1" customWidth="1"/>
    <col min="7435" max="7435" width="4" style="1360" customWidth="1"/>
    <col min="7436" max="7436" width="5.109375" style="1360" customWidth="1"/>
    <col min="7437" max="7437" width="13.77734375" style="1360" customWidth="1"/>
    <col min="7438" max="7680" width="9" style="1360"/>
    <col min="7681" max="7681" width="4.88671875" style="1360" customWidth="1"/>
    <col min="7682" max="7682" width="13.21875" style="1360" customWidth="1"/>
    <col min="7683" max="7683" width="15.6640625" style="1360" customWidth="1"/>
    <col min="7684" max="7684" width="9.33203125" style="1360" bestFit="1" customWidth="1"/>
    <col min="7685" max="7685" width="13.44140625" style="1360" customWidth="1"/>
    <col min="7686" max="7686" width="9" style="1360"/>
    <col min="7687" max="7687" width="9.33203125" style="1360" bestFit="1" customWidth="1"/>
    <col min="7688" max="7689" width="9" style="1360"/>
    <col min="7690" max="7690" width="9.33203125" style="1360" bestFit="1" customWidth="1"/>
    <col min="7691" max="7691" width="4" style="1360" customWidth="1"/>
    <col min="7692" max="7692" width="5.109375" style="1360" customWidth="1"/>
    <col min="7693" max="7693" width="13.77734375" style="1360" customWidth="1"/>
    <col min="7694" max="7936" width="9" style="1360"/>
    <col min="7937" max="7937" width="4.88671875" style="1360" customWidth="1"/>
    <col min="7938" max="7938" width="13.21875" style="1360" customWidth="1"/>
    <col min="7939" max="7939" width="15.6640625" style="1360" customWidth="1"/>
    <col min="7940" max="7940" width="9.33203125" style="1360" bestFit="1" customWidth="1"/>
    <col min="7941" max="7941" width="13.44140625" style="1360" customWidth="1"/>
    <col min="7942" max="7942" width="9" style="1360"/>
    <col min="7943" max="7943" width="9.33203125" style="1360" bestFit="1" customWidth="1"/>
    <col min="7944" max="7945" width="9" style="1360"/>
    <col min="7946" max="7946" width="9.33203125" style="1360" bestFit="1" customWidth="1"/>
    <col min="7947" max="7947" width="4" style="1360" customWidth="1"/>
    <col min="7948" max="7948" width="5.109375" style="1360" customWidth="1"/>
    <col min="7949" max="7949" width="13.77734375" style="1360" customWidth="1"/>
    <col min="7950" max="8192" width="9" style="1360"/>
    <col min="8193" max="8193" width="4.88671875" style="1360" customWidth="1"/>
    <col min="8194" max="8194" width="13.21875" style="1360" customWidth="1"/>
    <col min="8195" max="8195" width="15.6640625" style="1360" customWidth="1"/>
    <col min="8196" max="8196" width="9.33203125" style="1360" bestFit="1" customWidth="1"/>
    <col min="8197" max="8197" width="13.44140625" style="1360" customWidth="1"/>
    <col min="8198" max="8198" width="9" style="1360"/>
    <col min="8199" max="8199" width="9.33203125" style="1360" bestFit="1" customWidth="1"/>
    <col min="8200" max="8201" width="9" style="1360"/>
    <col min="8202" max="8202" width="9.33203125" style="1360" bestFit="1" customWidth="1"/>
    <col min="8203" max="8203" width="4" style="1360" customWidth="1"/>
    <col min="8204" max="8204" width="5.109375" style="1360" customWidth="1"/>
    <col min="8205" max="8205" width="13.77734375" style="1360" customWidth="1"/>
    <col min="8206" max="8448" width="9" style="1360"/>
    <col min="8449" max="8449" width="4.88671875" style="1360" customWidth="1"/>
    <col min="8450" max="8450" width="13.21875" style="1360" customWidth="1"/>
    <col min="8451" max="8451" width="15.6640625" style="1360" customWidth="1"/>
    <col min="8452" max="8452" width="9.33203125" style="1360" bestFit="1" customWidth="1"/>
    <col min="8453" max="8453" width="13.44140625" style="1360" customWidth="1"/>
    <col min="8454" max="8454" width="9" style="1360"/>
    <col min="8455" max="8455" width="9.33203125" style="1360" bestFit="1" customWidth="1"/>
    <col min="8456" max="8457" width="9" style="1360"/>
    <col min="8458" max="8458" width="9.33203125" style="1360" bestFit="1" customWidth="1"/>
    <col min="8459" max="8459" width="4" style="1360" customWidth="1"/>
    <col min="8460" max="8460" width="5.109375" style="1360" customWidth="1"/>
    <col min="8461" max="8461" width="13.77734375" style="1360" customWidth="1"/>
    <col min="8462" max="8704" width="9" style="1360"/>
    <col min="8705" max="8705" width="4.88671875" style="1360" customWidth="1"/>
    <col min="8706" max="8706" width="13.21875" style="1360" customWidth="1"/>
    <col min="8707" max="8707" width="15.6640625" style="1360" customWidth="1"/>
    <col min="8708" max="8708" width="9.33203125" style="1360" bestFit="1" customWidth="1"/>
    <col min="8709" max="8709" width="13.44140625" style="1360" customWidth="1"/>
    <col min="8710" max="8710" width="9" style="1360"/>
    <col min="8711" max="8711" width="9.33203125" style="1360" bestFit="1" customWidth="1"/>
    <col min="8712" max="8713" width="9" style="1360"/>
    <col min="8714" max="8714" width="9.33203125" style="1360" bestFit="1" customWidth="1"/>
    <col min="8715" max="8715" width="4" style="1360" customWidth="1"/>
    <col min="8716" max="8716" width="5.109375" style="1360" customWidth="1"/>
    <col min="8717" max="8717" width="13.77734375" style="1360" customWidth="1"/>
    <col min="8718" max="8960" width="9" style="1360"/>
    <col min="8961" max="8961" width="4.88671875" style="1360" customWidth="1"/>
    <col min="8962" max="8962" width="13.21875" style="1360" customWidth="1"/>
    <col min="8963" max="8963" width="15.6640625" style="1360" customWidth="1"/>
    <col min="8964" max="8964" width="9.33203125" style="1360" bestFit="1" customWidth="1"/>
    <col min="8965" max="8965" width="13.44140625" style="1360" customWidth="1"/>
    <col min="8966" max="8966" width="9" style="1360"/>
    <col min="8967" max="8967" width="9.33203125" style="1360" bestFit="1" customWidth="1"/>
    <col min="8968" max="8969" width="9" style="1360"/>
    <col min="8970" max="8970" width="9.33203125" style="1360" bestFit="1" customWidth="1"/>
    <col min="8971" max="8971" width="4" style="1360" customWidth="1"/>
    <col min="8972" max="8972" width="5.109375" style="1360" customWidth="1"/>
    <col min="8973" max="8973" width="13.77734375" style="1360" customWidth="1"/>
    <col min="8974" max="9216" width="9" style="1360"/>
    <col min="9217" max="9217" width="4.88671875" style="1360" customWidth="1"/>
    <col min="9218" max="9218" width="13.21875" style="1360" customWidth="1"/>
    <col min="9219" max="9219" width="15.6640625" style="1360" customWidth="1"/>
    <col min="9220" max="9220" width="9.33203125" style="1360" bestFit="1" customWidth="1"/>
    <col min="9221" max="9221" width="13.44140625" style="1360" customWidth="1"/>
    <col min="9222" max="9222" width="9" style="1360"/>
    <col min="9223" max="9223" width="9.33203125" style="1360" bestFit="1" customWidth="1"/>
    <col min="9224" max="9225" width="9" style="1360"/>
    <col min="9226" max="9226" width="9.33203125" style="1360" bestFit="1" customWidth="1"/>
    <col min="9227" max="9227" width="4" style="1360" customWidth="1"/>
    <col min="9228" max="9228" width="5.109375" style="1360" customWidth="1"/>
    <col min="9229" max="9229" width="13.77734375" style="1360" customWidth="1"/>
    <col min="9230" max="9472" width="9" style="1360"/>
    <col min="9473" max="9473" width="4.88671875" style="1360" customWidth="1"/>
    <col min="9474" max="9474" width="13.21875" style="1360" customWidth="1"/>
    <col min="9475" max="9475" width="15.6640625" style="1360" customWidth="1"/>
    <col min="9476" max="9476" width="9.33203125" style="1360" bestFit="1" customWidth="1"/>
    <col min="9477" max="9477" width="13.44140625" style="1360" customWidth="1"/>
    <col min="9478" max="9478" width="9" style="1360"/>
    <col min="9479" max="9479" width="9.33203125" style="1360" bestFit="1" customWidth="1"/>
    <col min="9480" max="9481" width="9" style="1360"/>
    <col min="9482" max="9482" width="9.33203125" style="1360" bestFit="1" customWidth="1"/>
    <col min="9483" max="9483" width="4" style="1360" customWidth="1"/>
    <col min="9484" max="9484" width="5.109375" style="1360" customWidth="1"/>
    <col min="9485" max="9485" width="13.77734375" style="1360" customWidth="1"/>
    <col min="9486" max="9728" width="9" style="1360"/>
    <col min="9729" max="9729" width="4.88671875" style="1360" customWidth="1"/>
    <col min="9730" max="9730" width="13.21875" style="1360" customWidth="1"/>
    <col min="9731" max="9731" width="15.6640625" style="1360" customWidth="1"/>
    <col min="9732" max="9732" width="9.33203125" style="1360" bestFit="1" customWidth="1"/>
    <col min="9733" max="9733" width="13.44140625" style="1360" customWidth="1"/>
    <col min="9734" max="9734" width="9" style="1360"/>
    <col min="9735" max="9735" width="9.33203125" style="1360" bestFit="1" customWidth="1"/>
    <col min="9736" max="9737" width="9" style="1360"/>
    <col min="9738" max="9738" width="9.33203125" style="1360" bestFit="1" customWidth="1"/>
    <col min="9739" max="9739" width="4" style="1360" customWidth="1"/>
    <col min="9740" max="9740" width="5.109375" style="1360" customWidth="1"/>
    <col min="9741" max="9741" width="13.77734375" style="1360" customWidth="1"/>
    <col min="9742" max="9984" width="9" style="1360"/>
    <col min="9985" max="9985" width="4.88671875" style="1360" customWidth="1"/>
    <col min="9986" max="9986" width="13.21875" style="1360" customWidth="1"/>
    <col min="9987" max="9987" width="15.6640625" style="1360" customWidth="1"/>
    <col min="9988" max="9988" width="9.33203125" style="1360" bestFit="1" customWidth="1"/>
    <col min="9989" max="9989" width="13.44140625" style="1360" customWidth="1"/>
    <col min="9990" max="9990" width="9" style="1360"/>
    <col min="9991" max="9991" width="9.33203125" style="1360" bestFit="1" customWidth="1"/>
    <col min="9992" max="9993" width="9" style="1360"/>
    <col min="9994" max="9994" width="9.33203125" style="1360" bestFit="1" customWidth="1"/>
    <col min="9995" max="9995" width="4" style="1360" customWidth="1"/>
    <col min="9996" max="9996" width="5.109375" style="1360" customWidth="1"/>
    <col min="9997" max="9997" width="13.77734375" style="1360" customWidth="1"/>
    <col min="9998" max="10240" width="9" style="1360"/>
    <col min="10241" max="10241" width="4.88671875" style="1360" customWidth="1"/>
    <col min="10242" max="10242" width="13.21875" style="1360" customWidth="1"/>
    <col min="10243" max="10243" width="15.6640625" style="1360" customWidth="1"/>
    <col min="10244" max="10244" width="9.33203125" style="1360" bestFit="1" customWidth="1"/>
    <col min="10245" max="10245" width="13.44140625" style="1360" customWidth="1"/>
    <col min="10246" max="10246" width="9" style="1360"/>
    <col min="10247" max="10247" width="9.33203125" style="1360" bestFit="1" customWidth="1"/>
    <col min="10248" max="10249" width="9" style="1360"/>
    <col min="10250" max="10250" width="9.33203125" style="1360" bestFit="1" customWidth="1"/>
    <col min="10251" max="10251" width="4" style="1360" customWidth="1"/>
    <col min="10252" max="10252" width="5.109375" style="1360" customWidth="1"/>
    <col min="10253" max="10253" width="13.77734375" style="1360" customWidth="1"/>
    <col min="10254" max="10496" width="9" style="1360"/>
    <col min="10497" max="10497" width="4.88671875" style="1360" customWidth="1"/>
    <col min="10498" max="10498" width="13.21875" style="1360" customWidth="1"/>
    <col min="10499" max="10499" width="15.6640625" style="1360" customWidth="1"/>
    <col min="10500" max="10500" width="9.33203125" style="1360" bestFit="1" customWidth="1"/>
    <col min="10501" max="10501" width="13.44140625" style="1360" customWidth="1"/>
    <col min="10502" max="10502" width="9" style="1360"/>
    <col min="10503" max="10503" width="9.33203125" style="1360" bestFit="1" customWidth="1"/>
    <col min="10504" max="10505" width="9" style="1360"/>
    <col min="10506" max="10506" width="9.33203125" style="1360" bestFit="1" customWidth="1"/>
    <col min="10507" max="10507" width="4" style="1360" customWidth="1"/>
    <col min="10508" max="10508" width="5.109375" style="1360" customWidth="1"/>
    <col min="10509" max="10509" width="13.77734375" style="1360" customWidth="1"/>
    <col min="10510" max="10752" width="9" style="1360"/>
    <col min="10753" max="10753" width="4.88671875" style="1360" customWidth="1"/>
    <col min="10754" max="10754" width="13.21875" style="1360" customWidth="1"/>
    <col min="10755" max="10755" width="15.6640625" style="1360" customWidth="1"/>
    <col min="10756" max="10756" width="9.33203125" style="1360" bestFit="1" customWidth="1"/>
    <col min="10757" max="10757" width="13.44140625" style="1360" customWidth="1"/>
    <col min="10758" max="10758" width="9" style="1360"/>
    <col min="10759" max="10759" width="9.33203125" style="1360" bestFit="1" customWidth="1"/>
    <col min="10760" max="10761" width="9" style="1360"/>
    <col min="10762" max="10762" width="9.33203125" style="1360" bestFit="1" customWidth="1"/>
    <col min="10763" max="10763" width="4" style="1360" customWidth="1"/>
    <col min="10764" max="10764" width="5.109375" style="1360" customWidth="1"/>
    <col min="10765" max="10765" width="13.77734375" style="1360" customWidth="1"/>
    <col min="10766" max="11008" width="9" style="1360"/>
    <col min="11009" max="11009" width="4.88671875" style="1360" customWidth="1"/>
    <col min="11010" max="11010" width="13.21875" style="1360" customWidth="1"/>
    <col min="11011" max="11011" width="15.6640625" style="1360" customWidth="1"/>
    <col min="11012" max="11012" width="9.33203125" style="1360" bestFit="1" customWidth="1"/>
    <col min="11013" max="11013" width="13.44140625" style="1360" customWidth="1"/>
    <col min="11014" max="11014" width="9" style="1360"/>
    <col min="11015" max="11015" width="9.33203125" style="1360" bestFit="1" customWidth="1"/>
    <col min="11016" max="11017" width="9" style="1360"/>
    <col min="11018" max="11018" width="9.33203125" style="1360" bestFit="1" customWidth="1"/>
    <col min="11019" max="11019" width="4" style="1360" customWidth="1"/>
    <col min="11020" max="11020" width="5.109375" style="1360" customWidth="1"/>
    <col min="11021" max="11021" width="13.77734375" style="1360" customWidth="1"/>
    <col min="11022" max="11264" width="9" style="1360"/>
    <col min="11265" max="11265" width="4.88671875" style="1360" customWidth="1"/>
    <col min="11266" max="11266" width="13.21875" style="1360" customWidth="1"/>
    <col min="11267" max="11267" width="15.6640625" style="1360" customWidth="1"/>
    <col min="11268" max="11268" width="9.33203125" style="1360" bestFit="1" customWidth="1"/>
    <col min="11269" max="11269" width="13.44140625" style="1360" customWidth="1"/>
    <col min="11270" max="11270" width="9" style="1360"/>
    <col min="11271" max="11271" width="9.33203125" style="1360" bestFit="1" customWidth="1"/>
    <col min="11272" max="11273" width="9" style="1360"/>
    <col min="11274" max="11274" width="9.33203125" style="1360" bestFit="1" customWidth="1"/>
    <col min="11275" max="11275" width="4" style="1360" customWidth="1"/>
    <col min="11276" max="11276" width="5.109375" style="1360" customWidth="1"/>
    <col min="11277" max="11277" width="13.77734375" style="1360" customWidth="1"/>
    <col min="11278" max="11520" width="9" style="1360"/>
    <col min="11521" max="11521" width="4.88671875" style="1360" customWidth="1"/>
    <col min="11522" max="11522" width="13.21875" style="1360" customWidth="1"/>
    <col min="11523" max="11523" width="15.6640625" style="1360" customWidth="1"/>
    <col min="11524" max="11524" width="9.33203125" style="1360" bestFit="1" customWidth="1"/>
    <col min="11525" max="11525" width="13.44140625" style="1360" customWidth="1"/>
    <col min="11526" max="11526" width="9" style="1360"/>
    <col min="11527" max="11527" width="9.33203125" style="1360" bestFit="1" customWidth="1"/>
    <col min="11528" max="11529" width="9" style="1360"/>
    <col min="11530" max="11530" width="9.33203125" style="1360" bestFit="1" customWidth="1"/>
    <col min="11531" max="11531" width="4" style="1360" customWidth="1"/>
    <col min="11532" max="11532" width="5.109375" style="1360" customWidth="1"/>
    <col min="11533" max="11533" width="13.77734375" style="1360" customWidth="1"/>
    <col min="11534" max="11776" width="9" style="1360"/>
    <col min="11777" max="11777" width="4.88671875" style="1360" customWidth="1"/>
    <col min="11778" max="11778" width="13.21875" style="1360" customWidth="1"/>
    <col min="11779" max="11779" width="15.6640625" style="1360" customWidth="1"/>
    <col min="11780" max="11780" width="9.33203125" style="1360" bestFit="1" customWidth="1"/>
    <col min="11781" max="11781" width="13.44140625" style="1360" customWidth="1"/>
    <col min="11782" max="11782" width="9" style="1360"/>
    <col min="11783" max="11783" width="9.33203125" style="1360" bestFit="1" customWidth="1"/>
    <col min="11784" max="11785" width="9" style="1360"/>
    <col min="11786" max="11786" width="9.33203125" style="1360" bestFit="1" customWidth="1"/>
    <col min="11787" max="11787" width="4" style="1360" customWidth="1"/>
    <col min="11788" max="11788" width="5.109375" style="1360" customWidth="1"/>
    <col min="11789" max="11789" width="13.77734375" style="1360" customWidth="1"/>
    <col min="11790" max="12032" width="9" style="1360"/>
    <col min="12033" max="12033" width="4.88671875" style="1360" customWidth="1"/>
    <col min="12034" max="12034" width="13.21875" style="1360" customWidth="1"/>
    <col min="12035" max="12035" width="15.6640625" style="1360" customWidth="1"/>
    <col min="12036" max="12036" width="9.33203125" style="1360" bestFit="1" customWidth="1"/>
    <col min="12037" max="12037" width="13.44140625" style="1360" customWidth="1"/>
    <col min="12038" max="12038" width="9" style="1360"/>
    <col min="12039" max="12039" width="9.33203125" style="1360" bestFit="1" customWidth="1"/>
    <col min="12040" max="12041" width="9" style="1360"/>
    <col min="12042" max="12042" width="9.33203125" style="1360" bestFit="1" customWidth="1"/>
    <col min="12043" max="12043" width="4" style="1360" customWidth="1"/>
    <col min="12044" max="12044" width="5.109375" style="1360" customWidth="1"/>
    <col min="12045" max="12045" width="13.77734375" style="1360" customWidth="1"/>
    <col min="12046" max="12288" width="9" style="1360"/>
    <col min="12289" max="12289" width="4.88671875" style="1360" customWidth="1"/>
    <col min="12290" max="12290" width="13.21875" style="1360" customWidth="1"/>
    <col min="12291" max="12291" width="15.6640625" style="1360" customWidth="1"/>
    <col min="12292" max="12292" width="9.33203125" style="1360" bestFit="1" customWidth="1"/>
    <col min="12293" max="12293" width="13.44140625" style="1360" customWidth="1"/>
    <col min="12294" max="12294" width="9" style="1360"/>
    <col min="12295" max="12295" width="9.33203125" style="1360" bestFit="1" customWidth="1"/>
    <col min="12296" max="12297" width="9" style="1360"/>
    <col min="12298" max="12298" width="9.33203125" style="1360" bestFit="1" customWidth="1"/>
    <col min="12299" max="12299" width="4" style="1360" customWidth="1"/>
    <col min="12300" max="12300" width="5.109375" style="1360" customWidth="1"/>
    <col min="12301" max="12301" width="13.77734375" style="1360" customWidth="1"/>
    <col min="12302" max="12544" width="9" style="1360"/>
    <col min="12545" max="12545" width="4.88671875" style="1360" customWidth="1"/>
    <col min="12546" max="12546" width="13.21875" style="1360" customWidth="1"/>
    <col min="12547" max="12547" width="15.6640625" style="1360" customWidth="1"/>
    <col min="12548" max="12548" width="9.33203125" style="1360" bestFit="1" customWidth="1"/>
    <col min="12549" max="12549" width="13.44140625" style="1360" customWidth="1"/>
    <col min="12550" max="12550" width="9" style="1360"/>
    <col min="12551" max="12551" width="9.33203125" style="1360" bestFit="1" customWidth="1"/>
    <col min="12552" max="12553" width="9" style="1360"/>
    <col min="12554" max="12554" width="9.33203125" style="1360" bestFit="1" customWidth="1"/>
    <col min="12555" max="12555" width="4" style="1360" customWidth="1"/>
    <col min="12556" max="12556" width="5.109375" style="1360" customWidth="1"/>
    <col min="12557" max="12557" width="13.77734375" style="1360" customWidth="1"/>
    <col min="12558" max="12800" width="9" style="1360"/>
    <col min="12801" max="12801" width="4.88671875" style="1360" customWidth="1"/>
    <col min="12802" max="12802" width="13.21875" style="1360" customWidth="1"/>
    <col min="12803" max="12803" width="15.6640625" style="1360" customWidth="1"/>
    <col min="12804" max="12804" width="9.33203125" style="1360" bestFit="1" customWidth="1"/>
    <col min="12805" max="12805" width="13.44140625" style="1360" customWidth="1"/>
    <col min="12806" max="12806" width="9" style="1360"/>
    <col min="12807" max="12807" width="9.33203125" style="1360" bestFit="1" customWidth="1"/>
    <col min="12808" max="12809" width="9" style="1360"/>
    <col min="12810" max="12810" width="9.33203125" style="1360" bestFit="1" customWidth="1"/>
    <col min="12811" max="12811" width="4" style="1360" customWidth="1"/>
    <col min="12812" max="12812" width="5.109375" style="1360" customWidth="1"/>
    <col min="12813" max="12813" width="13.77734375" style="1360" customWidth="1"/>
    <col min="12814" max="13056" width="9" style="1360"/>
    <col min="13057" max="13057" width="4.88671875" style="1360" customWidth="1"/>
    <col min="13058" max="13058" width="13.21875" style="1360" customWidth="1"/>
    <col min="13059" max="13059" width="15.6640625" style="1360" customWidth="1"/>
    <col min="13060" max="13060" width="9.33203125" style="1360" bestFit="1" customWidth="1"/>
    <col min="13061" max="13061" width="13.44140625" style="1360" customWidth="1"/>
    <col min="13062" max="13062" width="9" style="1360"/>
    <col min="13063" max="13063" width="9.33203125" style="1360" bestFit="1" customWidth="1"/>
    <col min="13064" max="13065" width="9" style="1360"/>
    <col min="13066" max="13066" width="9.33203125" style="1360" bestFit="1" customWidth="1"/>
    <col min="13067" max="13067" width="4" style="1360" customWidth="1"/>
    <col min="13068" max="13068" width="5.109375" style="1360" customWidth="1"/>
    <col min="13069" max="13069" width="13.77734375" style="1360" customWidth="1"/>
    <col min="13070" max="13312" width="9" style="1360"/>
    <col min="13313" max="13313" width="4.88671875" style="1360" customWidth="1"/>
    <col min="13314" max="13314" width="13.21875" style="1360" customWidth="1"/>
    <col min="13315" max="13315" width="15.6640625" style="1360" customWidth="1"/>
    <col min="13316" max="13316" width="9.33203125" style="1360" bestFit="1" customWidth="1"/>
    <col min="13317" max="13317" width="13.44140625" style="1360" customWidth="1"/>
    <col min="13318" max="13318" width="9" style="1360"/>
    <col min="13319" max="13319" width="9.33203125" style="1360" bestFit="1" customWidth="1"/>
    <col min="13320" max="13321" width="9" style="1360"/>
    <col min="13322" max="13322" width="9.33203125" style="1360" bestFit="1" customWidth="1"/>
    <col min="13323" max="13323" width="4" style="1360" customWidth="1"/>
    <col min="13324" max="13324" width="5.109375" style="1360" customWidth="1"/>
    <col min="13325" max="13325" width="13.77734375" style="1360" customWidth="1"/>
    <col min="13326" max="13568" width="9" style="1360"/>
    <col min="13569" max="13569" width="4.88671875" style="1360" customWidth="1"/>
    <col min="13570" max="13570" width="13.21875" style="1360" customWidth="1"/>
    <col min="13571" max="13571" width="15.6640625" style="1360" customWidth="1"/>
    <col min="13572" max="13572" width="9.33203125" style="1360" bestFit="1" customWidth="1"/>
    <col min="13573" max="13573" width="13.44140625" style="1360" customWidth="1"/>
    <col min="13574" max="13574" width="9" style="1360"/>
    <col min="13575" max="13575" width="9.33203125" style="1360" bestFit="1" customWidth="1"/>
    <col min="13576" max="13577" width="9" style="1360"/>
    <col min="13578" max="13578" width="9.33203125" style="1360" bestFit="1" customWidth="1"/>
    <col min="13579" max="13579" width="4" style="1360" customWidth="1"/>
    <col min="13580" max="13580" width="5.109375" style="1360" customWidth="1"/>
    <col min="13581" max="13581" width="13.77734375" style="1360" customWidth="1"/>
    <col min="13582" max="13824" width="9" style="1360"/>
    <col min="13825" max="13825" width="4.88671875" style="1360" customWidth="1"/>
    <col min="13826" max="13826" width="13.21875" style="1360" customWidth="1"/>
    <col min="13827" max="13827" width="15.6640625" style="1360" customWidth="1"/>
    <col min="13828" max="13828" width="9.33203125" style="1360" bestFit="1" customWidth="1"/>
    <col min="13829" max="13829" width="13.44140625" style="1360" customWidth="1"/>
    <col min="13830" max="13830" width="9" style="1360"/>
    <col min="13831" max="13831" width="9.33203125" style="1360" bestFit="1" customWidth="1"/>
    <col min="13832" max="13833" width="9" style="1360"/>
    <col min="13834" max="13834" width="9.33203125" style="1360" bestFit="1" customWidth="1"/>
    <col min="13835" max="13835" width="4" style="1360" customWidth="1"/>
    <col min="13836" max="13836" width="5.109375" style="1360" customWidth="1"/>
    <col min="13837" max="13837" width="13.77734375" style="1360" customWidth="1"/>
    <col min="13838" max="14080" width="9" style="1360"/>
    <col min="14081" max="14081" width="4.88671875" style="1360" customWidth="1"/>
    <col min="14082" max="14082" width="13.21875" style="1360" customWidth="1"/>
    <col min="14083" max="14083" width="15.6640625" style="1360" customWidth="1"/>
    <col min="14084" max="14084" width="9.33203125" style="1360" bestFit="1" customWidth="1"/>
    <col min="14085" max="14085" width="13.44140625" style="1360" customWidth="1"/>
    <col min="14086" max="14086" width="9" style="1360"/>
    <col min="14087" max="14087" width="9.33203125" style="1360" bestFit="1" customWidth="1"/>
    <col min="14088" max="14089" width="9" style="1360"/>
    <col min="14090" max="14090" width="9.33203125" style="1360" bestFit="1" customWidth="1"/>
    <col min="14091" max="14091" width="4" style="1360" customWidth="1"/>
    <col min="14092" max="14092" width="5.109375" style="1360" customWidth="1"/>
    <col min="14093" max="14093" width="13.77734375" style="1360" customWidth="1"/>
    <col min="14094" max="14336" width="9" style="1360"/>
    <col min="14337" max="14337" width="4.88671875" style="1360" customWidth="1"/>
    <col min="14338" max="14338" width="13.21875" style="1360" customWidth="1"/>
    <col min="14339" max="14339" width="15.6640625" style="1360" customWidth="1"/>
    <col min="14340" max="14340" width="9.33203125" style="1360" bestFit="1" customWidth="1"/>
    <col min="14341" max="14341" width="13.44140625" style="1360" customWidth="1"/>
    <col min="14342" max="14342" width="9" style="1360"/>
    <col min="14343" max="14343" width="9.33203125" style="1360" bestFit="1" customWidth="1"/>
    <col min="14344" max="14345" width="9" style="1360"/>
    <col min="14346" max="14346" width="9.33203125" style="1360" bestFit="1" customWidth="1"/>
    <col min="14347" max="14347" width="4" style="1360" customWidth="1"/>
    <col min="14348" max="14348" width="5.109375" style="1360" customWidth="1"/>
    <col min="14349" max="14349" width="13.77734375" style="1360" customWidth="1"/>
    <col min="14350" max="14592" width="9" style="1360"/>
    <col min="14593" max="14593" width="4.88671875" style="1360" customWidth="1"/>
    <col min="14594" max="14594" width="13.21875" style="1360" customWidth="1"/>
    <col min="14595" max="14595" width="15.6640625" style="1360" customWidth="1"/>
    <col min="14596" max="14596" width="9.33203125" style="1360" bestFit="1" customWidth="1"/>
    <col min="14597" max="14597" width="13.44140625" style="1360" customWidth="1"/>
    <col min="14598" max="14598" width="9" style="1360"/>
    <col min="14599" max="14599" width="9.33203125" style="1360" bestFit="1" customWidth="1"/>
    <col min="14600" max="14601" width="9" style="1360"/>
    <col min="14602" max="14602" width="9.33203125" style="1360" bestFit="1" customWidth="1"/>
    <col min="14603" max="14603" width="4" style="1360" customWidth="1"/>
    <col min="14604" max="14604" width="5.109375" style="1360" customWidth="1"/>
    <col min="14605" max="14605" width="13.77734375" style="1360" customWidth="1"/>
    <col min="14606" max="14848" width="9" style="1360"/>
    <col min="14849" max="14849" width="4.88671875" style="1360" customWidth="1"/>
    <col min="14850" max="14850" width="13.21875" style="1360" customWidth="1"/>
    <col min="14851" max="14851" width="15.6640625" style="1360" customWidth="1"/>
    <col min="14852" max="14852" width="9.33203125" style="1360" bestFit="1" customWidth="1"/>
    <col min="14853" max="14853" width="13.44140625" style="1360" customWidth="1"/>
    <col min="14854" max="14854" width="9" style="1360"/>
    <col min="14855" max="14855" width="9.33203125" style="1360" bestFit="1" customWidth="1"/>
    <col min="14856" max="14857" width="9" style="1360"/>
    <col min="14858" max="14858" width="9.33203125" style="1360" bestFit="1" customWidth="1"/>
    <col min="14859" max="14859" width="4" style="1360" customWidth="1"/>
    <col min="14860" max="14860" width="5.109375" style="1360" customWidth="1"/>
    <col min="14861" max="14861" width="13.77734375" style="1360" customWidth="1"/>
    <col min="14862" max="15104" width="9" style="1360"/>
    <col min="15105" max="15105" width="4.88671875" style="1360" customWidth="1"/>
    <col min="15106" max="15106" width="13.21875" style="1360" customWidth="1"/>
    <col min="15107" max="15107" width="15.6640625" style="1360" customWidth="1"/>
    <col min="15108" max="15108" width="9.33203125" style="1360" bestFit="1" customWidth="1"/>
    <col min="15109" max="15109" width="13.44140625" style="1360" customWidth="1"/>
    <col min="15110" max="15110" width="9" style="1360"/>
    <col min="15111" max="15111" width="9.33203125" style="1360" bestFit="1" customWidth="1"/>
    <col min="15112" max="15113" width="9" style="1360"/>
    <col min="15114" max="15114" width="9.33203125" style="1360" bestFit="1" customWidth="1"/>
    <col min="15115" max="15115" width="4" style="1360" customWidth="1"/>
    <col min="15116" max="15116" width="5.109375" style="1360" customWidth="1"/>
    <col min="15117" max="15117" width="13.77734375" style="1360" customWidth="1"/>
    <col min="15118" max="15360" width="9" style="1360"/>
    <col min="15361" max="15361" width="4.88671875" style="1360" customWidth="1"/>
    <col min="15362" max="15362" width="13.21875" style="1360" customWidth="1"/>
    <col min="15363" max="15363" width="15.6640625" style="1360" customWidth="1"/>
    <col min="15364" max="15364" width="9.33203125" style="1360" bestFit="1" customWidth="1"/>
    <col min="15365" max="15365" width="13.44140625" style="1360" customWidth="1"/>
    <col min="15366" max="15366" width="9" style="1360"/>
    <col min="15367" max="15367" width="9.33203125" style="1360" bestFit="1" customWidth="1"/>
    <col min="15368" max="15369" width="9" style="1360"/>
    <col min="15370" max="15370" width="9.33203125" style="1360" bestFit="1" customWidth="1"/>
    <col min="15371" max="15371" width="4" style="1360" customWidth="1"/>
    <col min="15372" max="15372" width="5.109375" style="1360" customWidth="1"/>
    <col min="15373" max="15373" width="13.77734375" style="1360" customWidth="1"/>
    <col min="15374" max="15616" width="9" style="1360"/>
    <col min="15617" max="15617" width="4.88671875" style="1360" customWidth="1"/>
    <col min="15618" max="15618" width="13.21875" style="1360" customWidth="1"/>
    <col min="15619" max="15619" width="15.6640625" style="1360" customWidth="1"/>
    <col min="15620" max="15620" width="9.33203125" style="1360" bestFit="1" customWidth="1"/>
    <col min="15621" max="15621" width="13.44140625" style="1360" customWidth="1"/>
    <col min="15622" max="15622" width="9" style="1360"/>
    <col min="15623" max="15623" width="9.33203125" style="1360" bestFit="1" customWidth="1"/>
    <col min="15624" max="15625" width="9" style="1360"/>
    <col min="15626" max="15626" width="9.33203125" style="1360" bestFit="1" customWidth="1"/>
    <col min="15627" max="15627" width="4" style="1360" customWidth="1"/>
    <col min="15628" max="15628" width="5.109375" style="1360" customWidth="1"/>
    <col min="15629" max="15629" width="13.77734375" style="1360" customWidth="1"/>
    <col min="15630" max="15872" width="9" style="1360"/>
    <col min="15873" max="15873" width="4.88671875" style="1360" customWidth="1"/>
    <col min="15874" max="15874" width="13.21875" style="1360" customWidth="1"/>
    <col min="15875" max="15875" width="15.6640625" style="1360" customWidth="1"/>
    <col min="15876" max="15876" width="9.33203125" style="1360" bestFit="1" customWidth="1"/>
    <col min="15877" max="15877" width="13.44140625" style="1360" customWidth="1"/>
    <col min="15878" max="15878" width="9" style="1360"/>
    <col min="15879" max="15879" width="9.33203125" style="1360" bestFit="1" customWidth="1"/>
    <col min="15880" max="15881" width="9" style="1360"/>
    <col min="15882" max="15882" width="9.33203125" style="1360" bestFit="1" customWidth="1"/>
    <col min="15883" max="15883" width="4" style="1360" customWidth="1"/>
    <col min="15884" max="15884" width="5.109375" style="1360" customWidth="1"/>
    <col min="15885" max="15885" width="13.77734375" style="1360" customWidth="1"/>
    <col min="15886" max="16128" width="9" style="1360"/>
    <col min="16129" max="16129" width="4.88671875" style="1360" customWidth="1"/>
    <col min="16130" max="16130" width="13.21875" style="1360" customWidth="1"/>
    <col min="16131" max="16131" width="15.6640625" style="1360" customWidth="1"/>
    <col min="16132" max="16132" width="9.33203125" style="1360" bestFit="1" customWidth="1"/>
    <col min="16133" max="16133" width="13.44140625" style="1360" customWidth="1"/>
    <col min="16134" max="16134" width="9" style="1360"/>
    <col min="16135" max="16135" width="9.33203125" style="1360" bestFit="1" customWidth="1"/>
    <col min="16136" max="16137" width="9" style="1360"/>
    <col min="16138" max="16138" width="9.33203125" style="1360" bestFit="1" customWidth="1"/>
    <col min="16139" max="16139" width="4" style="1360" customWidth="1"/>
    <col min="16140" max="16140" width="5.109375" style="1360" customWidth="1"/>
    <col min="16141" max="16141" width="13.77734375" style="1360" customWidth="1"/>
    <col min="16142" max="16384" width="9" style="1360"/>
  </cols>
  <sheetData>
    <row r="1" spans="1:257" s="1422" customFormat="1" ht="15" thickBot="1">
      <c r="A1" s="1416"/>
      <c r="B1" s="1423" t="s">
        <v>1027</v>
      </c>
      <c r="C1" s="1417">
        <f>项目基本情况!D3</f>
        <v>44889</v>
      </c>
      <c r="D1" s="1423" t="s">
        <v>1028</v>
      </c>
      <c r="E1" s="1418">
        <f>'数据-取费表'!B22</f>
        <v>1</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6"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399999999999999">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2">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1.2">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6">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6">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6">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6">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8">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6">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6">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6">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6">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9" t="s">
        <v>1097</v>
      </c>
      <c r="E1" s="1463" t="s">
        <v>1101</v>
      </c>
      <c r="F1" s="1464" t="s">
        <v>1105</v>
      </c>
    </row>
    <row r="2" spans="1:13" ht="19.8">
      <c r="A2" s="1470" t="s">
        <v>1098</v>
      </c>
    </row>
    <row r="3" spans="1:13" ht="15.6">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3" customWidth="1"/>
    <col min="2" max="9" width="12.109375" style="1613" customWidth="1"/>
    <col min="10" max="16384" width="9" style="1613"/>
  </cols>
  <sheetData>
    <row r="1" spans="1:9" ht="18"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1365</v>
      </c>
      <c r="B2" s="3244" t="s">
        <v>1366</v>
      </c>
      <c r="C2" s="3244" t="s">
        <v>1367</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6">
      <c r="A3" s="3245"/>
      <c r="B3" s="3245"/>
      <c r="C3" s="3245"/>
      <c r="D3" s="944" t="s">
        <v>1362</v>
      </c>
      <c r="E3" s="944" t="s">
        <v>1368</v>
      </c>
      <c r="F3" s="944" t="s">
        <v>1362</v>
      </c>
      <c r="G3" s="944" t="s">
        <v>1363</v>
      </c>
      <c r="H3" s="944" t="s">
        <v>1362</v>
      </c>
      <c r="I3" s="944" t="s">
        <v>1363</v>
      </c>
    </row>
    <row r="4" spans="1:9" ht="15">
      <c r="A4" s="1641" t="str">
        <f>项目基本情况!S2</f>
        <v>房地产</v>
      </c>
      <c r="B4" s="944">
        <f>项目基本情况!C17</f>
        <v>11798.5</v>
      </c>
      <c r="C4" s="944">
        <f>项目基本情况!C18</f>
        <v>41059.64</v>
      </c>
      <c r="D4" s="944">
        <f ca="1">结果表!D118</f>
        <v>2308</v>
      </c>
      <c r="E4" s="944">
        <f ca="1">结果表!E118</f>
        <v>1956</v>
      </c>
      <c r="F4" s="944">
        <f ca="1">结果表!F118</f>
        <v>911</v>
      </c>
      <c r="G4" s="944">
        <f ca="1">结果表!G118</f>
        <v>772</v>
      </c>
      <c r="H4" s="944">
        <f ca="1">结果表!H118</f>
        <v>3219</v>
      </c>
      <c r="I4" s="944">
        <f ca="1">结果表!I118</f>
        <v>2728</v>
      </c>
    </row>
    <row r="5" spans="1:9" ht="30" customHeight="1">
      <c r="A5" s="3245" t="s">
        <v>1364</v>
      </c>
      <c r="B5" s="3245"/>
      <c r="C5" s="3245"/>
      <c r="D5" s="3246" t="str">
        <f ca="1">结果表!D119</f>
        <v>贰仟叁佰零捌万元整</v>
      </c>
      <c r="E5" s="3246"/>
      <c r="F5" s="3246" t="str">
        <f ca="1">结果表!F119</f>
        <v>玖佰壹拾壹万元整</v>
      </c>
      <c r="G5" s="3246"/>
      <c r="H5" s="3246" t="str">
        <f ca="1">结果表!H119</f>
        <v>叁仟贰佰壹拾玖万元整</v>
      </c>
      <c r="I5" s="3246"/>
    </row>
    <row r="6" spans="1:9" ht="15.6">
      <c r="A6" s="3247" t="str">
        <f>结果表!A120</f>
        <v>估价师知悉的法定优先受偿款</v>
      </c>
      <c r="B6" s="3247"/>
      <c r="C6" s="3247"/>
      <c r="D6" s="3247">
        <f>结果表!D120</f>
        <v>0</v>
      </c>
      <c r="E6" s="3247"/>
      <c r="F6" s="3247"/>
      <c r="G6" s="3247"/>
      <c r="H6" s="3247"/>
      <c r="I6" s="3247"/>
    </row>
    <row r="7" spans="1:9" ht="15">
      <c r="A7" s="3245" t="s">
        <v>1364</v>
      </c>
      <c r="B7" s="3245"/>
      <c r="C7" s="3245"/>
      <c r="D7" s="3248" t="str">
        <f>结果表!D121</f>
        <v>零元整</v>
      </c>
      <c r="E7" s="3249"/>
      <c r="F7" s="3249"/>
      <c r="G7" s="3249"/>
      <c r="H7" s="3249"/>
      <c r="I7" s="3250"/>
    </row>
    <row r="8" spans="1:9" ht="15.6">
      <c r="A8" s="3247" t="str">
        <f>结果表!A122</f>
        <v>房地产抵押价值</v>
      </c>
      <c r="B8" s="3247"/>
      <c r="C8" s="3247"/>
      <c r="D8" s="3247">
        <f ca="1">结果表!D122</f>
        <v>3219</v>
      </c>
      <c r="E8" s="3247"/>
      <c r="F8" s="3247"/>
      <c r="G8" s="3247"/>
      <c r="H8" s="3247"/>
      <c r="I8" s="3247"/>
    </row>
    <row r="9" spans="1:9" ht="15">
      <c r="A9" s="3245" t="s">
        <v>1364</v>
      </c>
      <c r="B9" s="3245"/>
      <c r="C9" s="3245"/>
      <c r="D9" s="3246" t="str">
        <f ca="1">结果表!D123</f>
        <v>叁仟贰佰壹拾玖万元整</v>
      </c>
      <c r="E9" s="3246"/>
      <c r="F9" s="3246"/>
      <c r="G9" s="3246"/>
      <c r="H9" s="3246"/>
      <c r="I9" s="3246"/>
    </row>
    <row r="10" spans="1:9" ht="15.6">
      <c r="A10" s="3247" t="str">
        <f>结果表!A124</f>
        <v/>
      </c>
      <c r="B10" s="3247"/>
      <c r="C10" s="3247"/>
      <c r="D10" s="3247" t="str">
        <f>结果表!D124</f>
        <v>——</v>
      </c>
      <c r="E10" s="3247"/>
      <c r="F10" s="3247"/>
      <c r="G10" s="3247"/>
      <c r="H10" s="3247"/>
      <c r="I10" s="3247"/>
    </row>
    <row r="11" spans="1:9" ht="15">
      <c r="A11" s="3245" t="s">
        <v>1364</v>
      </c>
      <c r="B11" s="3245"/>
      <c r="C11" s="3245"/>
      <c r="D11" s="3246" t="e">
        <f>结果表!D125</f>
        <v>#VALUE!</v>
      </c>
      <c r="E11" s="3246"/>
      <c r="F11" s="3246"/>
      <c r="G11" s="3246"/>
      <c r="H11" s="3246"/>
      <c r="I11" s="3246"/>
    </row>
    <row r="12" spans="1:9" ht="15.6">
      <c r="A12" s="3247" t="str">
        <f>结果表!A126</f>
        <v/>
      </c>
      <c r="B12" s="3247"/>
      <c r="C12" s="3247"/>
      <c r="D12" s="3247" t="str">
        <f>结果表!D126</f>
        <v>——</v>
      </c>
      <c r="E12" s="3247"/>
      <c r="F12" s="3247"/>
      <c r="G12" s="3247"/>
      <c r="H12" s="3247"/>
      <c r="I12" s="3247"/>
    </row>
    <row r="13" spans="1:9" ht="15.6" thickBot="1">
      <c r="A13" s="3251" t="s">
        <v>1364</v>
      </c>
      <c r="B13" s="3251"/>
      <c r="C13" s="3251"/>
      <c r="D13" s="3252" t="e">
        <f>结果表!D127</f>
        <v>#VALUE!</v>
      </c>
      <c r="E13" s="3252"/>
      <c r="F13" s="3252"/>
      <c r="G13" s="3252"/>
      <c r="H13" s="3252"/>
      <c r="I13" s="3252"/>
    </row>
    <row r="14" spans="1:9" ht="14.4" thickTop="1">
      <c r="A14" s="3253" t="s">
        <v>1369</v>
      </c>
      <c r="B14" s="3253"/>
      <c r="C14" s="3253"/>
      <c r="D14" s="3253"/>
      <c r="E14" s="3253"/>
      <c r="F14" s="3253"/>
      <c r="G14" s="3253"/>
      <c r="H14" s="3253"/>
      <c r="I14" s="3253"/>
    </row>
    <row r="16" spans="1:9" ht="17.399999999999999">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3" customWidth="1"/>
    <col min="2" max="3" width="22.33203125" style="1613" customWidth="1"/>
    <col min="4" max="4" width="23" style="1613" customWidth="1"/>
    <col min="5" max="16384" width="9" style="1613"/>
  </cols>
  <sheetData>
    <row r="1" spans="1:4" ht="17.399999999999999">
      <c r="A1" s="3254" t="s">
        <v>1386</v>
      </c>
      <c r="B1" s="3254"/>
      <c r="C1" s="3254"/>
      <c r="D1" s="3254"/>
    </row>
    <row r="2" spans="1:4" ht="17.399999999999999">
      <c r="A2" s="3255" t="s">
        <v>1370</v>
      </c>
      <c r="B2" s="3255"/>
      <c r="C2" s="3255"/>
      <c r="D2" s="3255"/>
    </row>
    <row r="3" spans="1:4" ht="17.399999999999999">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7.399999999999999">
      <c r="A6" s="3255" t="s">
        <v>1376</v>
      </c>
      <c r="B6" s="3255"/>
      <c r="C6" s="3255"/>
      <c r="D6" s="3255"/>
    </row>
    <row r="7" spans="1:4" ht="17.399999999999999">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7.399999999999999">
      <c r="A10" s="1652" t="s">
        <v>1378</v>
      </c>
      <c r="B10" s="684"/>
      <c r="C10" s="684"/>
      <c r="D10" s="684"/>
    </row>
    <row r="11" spans="1:4" ht="30" customHeight="1">
      <c r="A11" s="3256" t="s">
        <v>1379</v>
      </c>
      <c r="B11" s="3257"/>
      <c r="C11" s="3257"/>
      <c r="D11" s="3257"/>
    </row>
    <row r="12" spans="1:4" ht="15.6">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7" t="str">
        <f>IF(项目基本情况!B8="抵押","4.本次评估估价师所知悉的法定优先受偿款情况说明如下：","——")</f>
        <v>4.本次评估估价师所知悉的法定优先受偿款情况说明如下：</v>
      </c>
      <c r="B14" s="3258"/>
      <c r="C14" s="3258"/>
      <c r="D14" s="3258"/>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60" t="s">
        <v>1380</v>
      </c>
      <c r="B16" s="3260"/>
      <c r="C16" s="3260"/>
      <c r="D16" s="3260"/>
    </row>
    <row r="17" spans="1:4" ht="144" customHeight="1">
      <c r="A17" s="3260" t="s">
        <v>1381</v>
      </c>
      <c r="B17" s="3260"/>
      <c r="C17" s="3260"/>
      <c r="D17" s="3260"/>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7"/>
      <c r="C20" s="3257"/>
      <c r="D20" s="3257"/>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1382</v>
      </c>
      <c r="B22" s="3262"/>
      <c r="C22" s="3262"/>
      <c r="D22" s="3262"/>
    </row>
    <row r="23" spans="1:4">
      <c r="A23" s="1653"/>
      <c r="B23" s="1625"/>
      <c r="C23" s="1625"/>
      <c r="D23" s="1625"/>
    </row>
    <row r="24" spans="1:4">
      <c r="A24" s="1653"/>
      <c r="B24" s="1625"/>
      <c r="C24" s="1625"/>
      <c r="D24" s="1625"/>
    </row>
    <row r="25" spans="1:4" ht="17.399999999999999">
      <c r="A25" s="1654" t="s">
        <v>1383</v>
      </c>
    </row>
    <row r="26" spans="1:4" ht="17.399999999999999">
      <c r="A26" s="1623"/>
    </row>
    <row r="27" spans="1:4" ht="17.399999999999999">
      <c r="A27" s="1623" t="s">
        <v>1384</v>
      </c>
    </row>
    <row r="30" spans="1:4" ht="17.399999999999999">
      <c r="D30" s="1654" t="s">
        <v>1385</v>
      </c>
    </row>
    <row r="31" spans="1:4" ht="13.5" customHeight="1">
      <c r="C31" s="3259">
        <v>42551</v>
      </c>
      <c r="D31" s="32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11" customWidth="1"/>
    <col min="3" max="10" width="12.44140625" style="1611" customWidth="1"/>
    <col min="11" max="16384" width="9" style="1611"/>
  </cols>
  <sheetData>
    <row r="1" spans="1:10" ht="17.399999999999999">
      <c r="A1" s="1644" t="s">
        <v>657</v>
      </c>
      <c r="B1" s="1655"/>
      <c r="C1" s="1655"/>
      <c r="D1" s="1655"/>
      <c r="E1" s="1655"/>
      <c r="F1" s="1655"/>
      <c r="G1" s="1655"/>
      <c r="H1" s="1655"/>
      <c r="I1" s="1655"/>
      <c r="J1" s="1655"/>
    </row>
    <row r="2" spans="1:10" ht="17.399999999999999">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61" customWidth="1"/>
    <col min="2" max="16384" width="14.44140625" style="1643"/>
  </cols>
  <sheetData>
    <row r="1" spans="1:7" s="1658" customFormat="1" ht="17.399999999999999">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4">
      <c r="A15" s="3268" t="s">
        <v>1393</v>
      </c>
      <c r="B15" s="3263" t="s">
        <v>136</v>
      </c>
      <c r="C15" s="3264"/>
    </row>
    <row r="16" spans="1:7" ht="14.4">
      <c r="A16" s="3269"/>
      <c r="B16" s="3263" t="s">
        <v>69</v>
      </c>
      <c r="C16" s="3264"/>
    </row>
    <row r="17" spans="1:3" ht="14.4">
      <c r="A17" s="3269"/>
      <c r="B17" s="3266" t="s">
        <v>1394</v>
      </c>
      <c r="C17" s="1668" t="s">
        <v>1393</v>
      </c>
    </row>
    <row r="18" spans="1:3" ht="14.4">
      <c r="A18" s="3269"/>
      <c r="B18" s="3266"/>
      <c r="C18" s="1668" t="s">
        <v>1395</v>
      </c>
    </row>
    <row r="19" spans="1:3" ht="14.4">
      <c r="A19" s="3269"/>
      <c r="B19" s="3266"/>
      <c r="C19" s="1668" t="s">
        <v>1396</v>
      </c>
    </row>
    <row r="20" spans="1:3" ht="14.4">
      <c r="A20" s="3270"/>
      <c r="B20" s="3265" t="s">
        <v>1397</v>
      </c>
      <c r="C20" s="3264"/>
    </row>
    <row r="21" spans="1:3" ht="14.4">
      <c r="A21" s="1669" t="s">
        <v>1398</v>
      </c>
      <c r="B21" s="1670"/>
      <c r="C21" s="1671"/>
    </row>
    <row r="22" spans="1:3" ht="14.4">
      <c r="A22" s="3267" t="s">
        <v>1399</v>
      </c>
      <c r="B22" s="3265" t="s">
        <v>1400</v>
      </c>
      <c r="C22" s="3264"/>
    </row>
    <row r="23" spans="1:3" ht="14.4">
      <c r="A23" s="3267"/>
      <c r="B23" s="3265" t="s">
        <v>1401</v>
      </c>
      <c r="C23" s="3264"/>
    </row>
    <row r="24" spans="1:3" ht="14.4">
      <c r="A24" s="3267"/>
      <c r="B24" s="3265" t="s">
        <v>1402</v>
      </c>
      <c r="C24" s="3264"/>
    </row>
    <row r="25" spans="1:3" ht="14.4">
      <c r="A25" s="3267"/>
      <c r="B25" s="3266" t="s">
        <v>1403</v>
      </c>
      <c r="C25" s="1668" t="s">
        <v>1404</v>
      </c>
    </row>
    <row r="26" spans="1:3" ht="14.4">
      <c r="A26" s="3267"/>
      <c r="B26" s="3266"/>
      <c r="C26" s="1668" t="s">
        <v>1405</v>
      </c>
    </row>
    <row r="27" spans="1:3" ht="14.4">
      <c r="A27" s="3267"/>
      <c r="B27" s="3266"/>
      <c r="C27" s="1668" t="s">
        <v>1406</v>
      </c>
    </row>
    <row r="28" spans="1:3" ht="14.4">
      <c r="A28" s="3267"/>
      <c r="B28" s="3266"/>
      <c r="C28" s="1668" t="s">
        <v>1407</v>
      </c>
    </row>
    <row r="29" spans="1:3" ht="14.4">
      <c r="A29" s="3267"/>
      <c r="B29" s="3266"/>
      <c r="C29" s="1668" t="s">
        <v>1408</v>
      </c>
    </row>
    <row r="30" spans="1:3" ht="14.4">
      <c r="A30" s="3267"/>
      <c r="B30" s="3266"/>
      <c r="C30" s="1668" t="s">
        <v>1409</v>
      </c>
    </row>
    <row r="31" spans="1:3" ht="14.4">
      <c r="A31" s="3267"/>
      <c r="B31" s="3266"/>
      <c r="C31" s="1668" t="s">
        <v>1410</v>
      </c>
    </row>
    <row r="32" spans="1:3" ht="14.4">
      <c r="A32" s="3267"/>
      <c r="B32" s="3266"/>
      <c r="C32" s="1668" t="s">
        <v>1411</v>
      </c>
    </row>
    <row r="33" spans="1:3" ht="14.4">
      <c r="A33" s="3267"/>
      <c r="B33" s="3266"/>
      <c r="C33" s="1668" t="s">
        <v>1412</v>
      </c>
    </row>
    <row r="34" spans="1:3">
      <c r="A34" s="1672" t="s">
        <v>76</v>
      </c>
    </row>
    <row r="37" spans="1:3">
      <c r="A37" s="1672" t="s">
        <v>1413</v>
      </c>
    </row>
    <row r="38" spans="1:3" ht="14.4">
      <c r="A38" s="1673" t="s">
        <v>77</v>
      </c>
    </row>
    <row r="39" spans="1:3" ht="14.4">
      <c r="A39" s="1673" t="s">
        <v>78</v>
      </c>
    </row>
    <row r="40" spans="1:3" ht="14.4">
      <c r="A40" s="1673" t="s">
        <v>79</v>
      </c>
    </row>
    <row r="41" spans="1:3" ht="14.4">
      <c r="A41" s="1674" t="s">
        <v>80</v>
      </c>
    </row>
    <row r="42" spans="1:3" ht="14.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11" customWidth="1"/>
    <col min="2" max="2" width="38.6640625" style="2511" customWidth="1"/>
    <col min="3" max="3" width="26" style="2511" customWidth="1"/>
    <col min="4" max="4" width="35" style="2511" hidden="1" customWidth="1"/>
    <col min="5" max="5" width="30.109375" style="2511" customWidth="1"/>
    <col min="6" max="6" width="35.44140625" style="2511" customWidth="1"/>
    <col min="7" max="7" width="31" style="2511" customWidth="1"/>
    <col min="8" max="8" width="37.44140625" style="2511" hidden="1" customWidth="1"/>
    <col min="9" max="16384" width="22.6640625" style="2511"/>
  </cols>
  <sheetData>
    <row r="1" spans="1:8" ht="24" customHeight="1">
      <c r="A1" s="2510"/>
      <c r="B1" s="2510"/>
      <c r="C1" s="2510"/>
      <c r="D1" s="2510"/>
      <c r="E1" s="2510"/>
      <c r="F1" s="2510"/>
      <c r="G1" s="2510"/>
      <c r="H1" s="2510"/>
    </row>
    <row r="2" spans="1:8" ht="24" customHeight="1">
      <c r="A2" s="2512" t="s">
        <v>2640</v>
      </c>
      <c r="B2" s="2513">
        <f ca="1">TODAY()</f>
        <v>44889</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t="str">
        <f ca="1">IF(C4&lt;B2,"已过期",1119970066)</f>
        <v>已过期</v>
      </c>
      <c r="C4" s="2519">
        <v>44876</v>
      </c>
      <c r="D4" s="2520" t="str">
        <f ca="1">A4&amp;"（注册号："&amp;B4&amp;"）"</f>
        <v>梁津（注册号：已过期）</v>
      </c>
      <c r="E4" s="2521" t="s">
        <v>2649</v>
      </c>
      <c r="F4" s="1425">
        <f ca="1">IF(G4&lt;B2,"已过期",96010014)</f>
        <v>96010014</v>
      </c>
      <c r="G4" s="2522">
        <v>47118</v>
      </c>
      <c r="H4" s="2523" t="str">
        <f ca="1">E4&amp;"（注册号："&amp;F4&amp;"）"</f>
        <v>梁津（注册号：96010014）</v>
      </c>
    </row>
    <row r="5" spans="1:8" ht="24" customHeight="1">
      <c r="A5" s="1425" t="s">
        <v>2650</v>
      </c>
      <c r="B5" s="1425" t="str">
        <f ca="1">IF(C5&lt;B2,"已过期",1119970111)</f>
        <v>已过期</v>
      </c>
      <c r="C5" s="2519">
        <v>44876</v>
      </c>
      <c r="D5" s="2520" t="str">
        <f t="shared" ref="D5:D15" ca="1" si="0">A5&amp;"（注册号："&amp;B5&amp;"）"</f>
        <v>叶凌（注册号：已过期）</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t="str">
        <f ca="1">IF(C7&lt;B2,"已过期",1120000080)</f>
        <v>已过期</v>
      </c>
      <c r="C7" s="2519">
        <v>44876</v>
      </c>
      <c r="D7" s="2520" t="str">
        <f t="shared" ca="1" si="0"/>
        <v>欧红伟（注册号：已过期）</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1" t="s">
        <v>2661</v>
      </c>
      <c r="B17" s="3271"/>
      <c r="C17" s="3271"/>
      <c r="D17" s="3271"/>
      <c r="E17" s="3271"/>
      <c r="F17" s="3271"/>
      <c r="G17" s="3271"/>
      <c r="H17" s="3271"/>
    </row>
    <row r="18" spans="1:8" ht="24" customHeight="1">
      <c r="A18" s="3272" t="s">
        <v>2662</v>
      </c>
      <c r="B18" s="3272"/>
      <c r="C18" s="3272"/>
      <c r="D18" s="2517"/>
      <c r="E18" s="3273" t="s">
        <v>2663</v>
      </c>
      <c r="F18" s="3272"/>
      <c r="G18" s="3272"/>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2017-03-01T09:15:43Z</cp:lastPrinted>
  <dcterms:created xsi:type="dcterms:W3CDTF">2015-07-13T07:17:23Z</dcterms:created>
  <dcterms:modified xsi:type="dcterms:W3CDTF">2022-11-24T04:24:34Z</dcterms:modified>
</cp:coreProperties>
</file>