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土地案例" sheetId="79" r:id="rId46"/>
    <sheet name="年期修正"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'数据-基础表'!$A$1:$J$13</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9" i="80" l="1"/>
  <c r="F10" i="40"/>
  <c r="H10" i="40"/>
  <c r="J10" i="40"/>
  <c r="E41" i="40" l="1"/>
  <c r="P27" i="79"/>
  <c r="N6" i="1"/>
  <c r="P47" i="79"/>
  <c r="I41" i="40" s="1"/>
  <c r="P36" i="79"/>
  <c r="G41" i="40" s="1"/>
  <c r="D10" i="80"/>
  <c r="D9" i="80"/>
  <c r="F10" i="80" s="1"/>
  <c r="F9" i="80"/>
  <c r="C5" i="80"/>
  <c r="D5" i="80" s="1"/>
  <c r="G10" i="80" l="1"/>
  <c r="B13" i="80"/>
  <c r="C4" i="80"/>
  <c r="D4" i="80" s="1"/>
  <c r="B16" i="80"/>
  <c r="C3" i="80"/>
  <c r="D3" i="80" s="1"/>
  <c r="D29" i="43" l="1"/>
  <c r="G82" i="43"/>
  <c r="G83" i="43"/>
  <c r="G84" i="43"/>
  <c r="G85" i="43"/>
  <c r="G86" i="43"/>
  <c r="G87" i="43"/>
  <c r="G88" i="43"/>
  <c r="G81" i="43"/>
  <c r="Y6" i="1"/>
  <c r="F19" i="6"/>
  <c r="C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F86" i="40" s="1"/>
  <c r="G86" i="40" s="1"/>
  <c r="D84" i="40"/>
  <c r="E84" i="40" s="1"/>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S35" i="40"/>
  <c r="U35" i="40"/>
  <c r="AC36" i="40"/>
  <c r="W38" i="40"/>
  <c r="AA32" i="40"/>
  <c r="S17" i="40"/>
  <c r="AC17"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E65" i="39"/>
  <c r="G30" i="6"/>
  <c r="G31" i="6" s="1"/>
  <c r="J56" i="9"/>
  <c r="J57" i="9" s="1"/>
  <c r="J59" i="9" s="1"/>
  <c r="J61" i="9" s="1"/>
  <c r="A24" i="51"/>
  <c r="B18" i="72" s="1"/>
  <c r="U29" i="34"/>
  <c r="E14" i="6"/>
  <c r="E64" i="39" s="1"/>
  <c r="E5" i="6"/>
  <c r="D9" i="11" s="1"/>
  <c r="C9" i="11" s="1"/>
  <c r="E32" i="6"/>
  <c r="L19" i="6"/>
  <c r="G1" i="68"/>
  <c r="K1" i="12"/>
  <c r="F30" i="6"/>
  <c r="E28" i="6"/>
  <c r="E57" i="40"/>
  <c r="AR12" i="1"/>
  <c r="AQ12" i="1"/>
  <c r="T12"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AR8" i="1" s="1"/>
  <c r="K11" i="1"/>
  <c r="M11" i="1" s="1"/>
  <c r="O11" i="1" s="1"/>
  <c r="AP6" i="1"/>
  <c r="B9" i="1"/>
  <c r="E9" i="1" s="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AZ13" i="3"/>
  <c r="M6" i="1"/>
  <c r="O6" i="1" s="1"/>
  <c r="P6" i="1" s="1"/>
  <c r="F30" i="11"/>
  <c r="C48" i="11" s="1"/>
  <c r="E63" i="39"/>
  <c r="T11" i="1"/>
  <c r="D9" i="69"/>
  <c r="C9" i="69" s="1"/>
  <c r="D19" i="12"/>
  <c r="C19" i="12" s="1"/>
  <c r="AR11" i="1"/>
  <c r="E59" i="40"/>
  <c r="E30" i="6"/>
  <c r="K15" i="1"/>
  <c r="T13" i="1"/>
  <c r="E16" i="6"/>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E31" i="6"/>
  <c r="K14" i="1"/>
  <c r="M14" i="1" s="1"/>
  <c r="BL5" i="3"/>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K22" i="6"/>
  <c r="M22" i="6" s="1"/>
  <c r="I22" i="6" s="1"/>
  <c r="S22" i="6"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M7" i="1"/>
  <c r="O7" i="1"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8" i="67"/>
  <c r="F36" i="15"/>
  <c r="AO8" i="1"/>
  <c r="M23" i="67"/>
  <c r="M23" i="15"/>
  <c r="F7" i="67"/>
  <c r="F37" i="67"/>
  <c r="F41" i="67"/>
  <c r="L48" i="67"/>
  <c r="F13" i="67"/>
  <c r="F36" i="67"/>
  <c r="F9" i="15"/>
  <c r="F6" i="67"/>
  <c r="E11" i="76"/>
  <c r="D3" i="73"/>
  <c r="F8" i="15"/>
  <c r="C76" i="15"/>
  <c r="F42" i="67"/>
  <c r="M27" i="67"/>
  <c r="E10" i="76"/>
  <c r="F5" i="73"/>
  <c r="F16" i="15"/>
  <c r="F40" i="67"/>
  <c r="D2" i="36"/>
  <c r="D2" i="33"/>
  <c r="F40" i="15"/>
  <c r="D6" i="73"/>
  <c r="D2" i="34"/>
  <c r="AO12" i="1"/>
  <c r="B7" i="76"/>
  <c r="B9" i="76"/>
  <c r="F43" i="67"/>
  <c r="M6" i="67"/>
  <c r="E9" i="76"/>
  <c r="M26" i="15"/>
  <c r="E7" i="76"/>
  <c r="M28" i="67"/>
  <c r="M24" i="15"/>
  <c r="E2" i="69"/>
  <c r="L47" i="67"/>
  <c r="F9" i="67"/>
  <c r="E2" i="68"/>
  <c r="AO9" i="1"/>
  <c r="AO10" i="1"/>
  <c r="M6" i="15"/>
  <c r="F43" i="15"/>
  <c r="D2" i="37"/>
  <c r="M26" i="67"/>
  <c r="M9" i="67"/>
  <c r="E8" i="76"/>
  <c r="E13" i="76"/>
  <c r="B13" i="76"/>
  <c r="M22" i="67"/>
  <c r="D2" i="21"/>
  <c r="F3" i="73"/>
  <c r="D7" i="73"/>
  <c r="F42" i="15"/>
  <c r="AO7" i="1"/>
  <c r="J15" i="15"/>
  <c r="F6" i="73"/>
  <c r="D2" i="35"/>
  <c r="F7" i="15"/>
  <c r="F16" i="67"/>
  <c r="F13" i="15"/>
  <c r="M29" i="67"/>
  <c r="L47" i="15"/>
  <c r="M8" i="67"/>
  <c r="F20" i="31"/>
  <c r="B10" i="76"/>
  <c r="F6" i="15"/>
  <c r="F38" i="67"/>
  <c r="E12" i="76"/>
  <c r="AO13" i="1"/>
  <c r="M24" i="67"/>
  <c r="M22" i="15"/>
  <c r="F7" i="73"/>
  <c r="D5" i="73"/>
  <c r="L48" i="15"/>
  <c r="M9" i="15"/>
  <c r="F26" i="67"/>
  <c r="F37" i="15"/>
  <c r="B12" i="76"/>
  <c r="AO11" i="1"/>
  <c r="F4" i="73"/>
  <c r="M27" i="15"/>
  <c r="J15" i="67"/>
  <c r="B8" i="76"/>
  <c r="F35" i="67"/>
  <c r="M28" i="15"/>
  <c r="F38" i="15"/>
  <c r="F26" i="15"/>
  <c r="M8" i="15"/>
  <c r="C76" i="67"/>
  <c r="B11" i="76"/>
  <c r="M21" i="67"/>
  <c r="M29" i="15"/>
  <c r="D4" i="73"/>
  <c r="U25" i="40" l="1"/>
  <c r="F90" i="40"/>
  <c r="G90" i="40" s="1"/>
  <c r="J21" i="40"/>
  <c r="W21" i="40" s="1"/>
  <c r="H21" i="40"/>
  <c r="S23" i="40"/>
  <c r="AC11" i="40"/>
  <c r="W25" i="40"/>
  <c r="U23" i="40"/>
  <c r="S25" i="40"/>
  <c r="AB37" i="40"/>
  <c r="W35" i="40"/>
  <c r="S30" i="40"/>
  <c r="AC21" i="40"/>
  <c r="S34" i="40"/>
  <c r="U9" i="40"/>
  <c r="AA9" i="40"/>
  <c r="AC32" i="40"/>
  <c r="W32" i="40"/>
  <c r="W13" i="40"/>
  <c r="AC13" i="40"/>
  <c r="AA12" i="40"/>
  <c r="S14" i="40"/>
  <c r="P61" i="15"/>
  <c r="D88" i="43"/>
  <c r="D86" i="43"/>
  <c r="D84" i="43"/>
  <c r="E81" i="43" s="1"/>
  <c r="B79" i="43" s="1"/>
  <c r="C24" i="43" s="1"/>
  <c r="T14" i="43" s="1"/>
  <c r="V14" i="43" s="1"/>
  <c r="D82" i="43"/>
  <c r="J83" i="43"/>
  <c r="J87" i="43"/>
  <c r="J81" i="43"/>
  <c r="E11" i="43"/>
  <c r="E9" i="43"/>
  <c r="E10" i="43"/>
  <c r="E8" i="43"/>
  <c r="H83" i="43"/>
  <c r="H86" i="43"/>
  <c r="H87" i="43"/>
  <c r="H81" i="43"/>
  <c r="H88" i="43"/>
  <c r="H82" i="43"/>
  <c r="H85" i="43"/>
  <c r="H84" i="43"/>
  <c r="E41" i="43"/>
  <c r="C41" i="43" s="1"/>
  <c r="G17" i="43"/>
  <c r="C16" i="43" s="1"/>
  <c r="C92" i="9"/>
  <c r="C94" i="9"/>
  <c r="C5" i="11"/>
  <c r="F30" i="69"/>
  <c r="C48" i="69" s="1"/>
  <c r="D68" i="9"/>
  <c r="M18" i="15"/>
  <c r="F52" i="9"/>
  <c r="C30" i="11"/>
  <c r="F32" i="15"/>
  <c r="F60" i="15" s="1"/>
  <c r="F32" i="67"/>
  <c r="F60" i="67" s="1"/>
  <c r="F28" i="67"/>
  <c r="C28" i="67" s="1"/>
  <c r="C24" i="12"/>
  <c r="C77" i="9"/>
  <c r="C74" i="9" s="1"/>
  <c r="C36" i="11"/>
  <c r="F54" i="9"/>
  <c r="F28" i="15"/>
  <c r="C28" i="15" s="1"/>
  <c r="M18" i="67"/>
  <c r="F31" i="12"/>
  <c r="C31" i="12" s="1"/>
  <c r="F30" i="68"/>
  <c r="F53" i="9"/>
  <c r="C21" i="68"/>
  <c r="C40" i="69"/>
  <c r="C21" i="69"/>
  <c r="D22" i="67"/>
  <c r="F27" i="69"/>
  <c r="C47" i="69" s="1"/>
  <c r="D45" i="69" s="1"/>
  <c r="F28" i="12"/>
  <c r="C29" i="12" s="1"/>
  <c r="D28" i="12" s="1"/>
  <c r="F27" i="11"/>
  <c r="C29" i="11" s="1"/>
  <c r="D27" i="11" s="1"/>
  <c r="C34" i="69"/>
  <c r="C35" i="69" s="1"/>
  <c r="P7" i="1"/>
  <c r="T9" i="1"/>
  <c r="AQ9" i="1"/>
  <c r="AR10" i="1"/>
  <c r="C47" i="11"/>
  <c r="D45" i="11" s="1"/>
  <c r="T7" i="1"/>
  <c r="F27" i="68"/>
  <c r="F45" i="68"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O14" i="1"/>
  <c r="P14" i="1" s="1"/>
  <c r="F22" i="43"/>
  <c r="F101" i="43"/>
  <c r="E22" i="43"/>
  <c r="H22" i="43"/>
  <c r="D101" i="43"/>
  <c r="I101" i="43"/>
  <c r="G22" i="43"/>
  <c r="S2" i="43"/>
  <c r="S5" i="43"/>
  <c r="S6" i="43"/>
  <c r="S4" i="43"/>
  <c r="S7" i="43"/>
  <c r="B113" i="43"/>
  <c r="K101" i="43"/>
  <c r="N101" i="43"/>
  <c r="G101" i="43"/>
  <c r="C101" i="43"/>
  <c r="J101" i="43"/>
  <c r="N104" i="46"/>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M16" i="1"/>
  <c r="C34" i="68" s="1"/>
  <c r="K16" i="1"/>
  <c r="E66" i="39"/>
  <c r="T6" i="1"/>
  <c r="AY6" i="3"/>
  <c r="E3" i="6"/>
  <c r="P11" i="1"/>
  <c r="K20" i="6"/>
  <c r="M20" i="6" s="1"/>
  <c r="I20" i="6" s="1"/>
  <c r="S20" i="6" s="1"/>
  <c r="K24" i="6"/>
  <c r="M24" i="6" s="1"/>
  <c r="I24" i="6" s="1"/>
  <c r="S24" i="6" s="1"/>
  <c r="K26" i="6"/>
  <c r="M26" i="6" s="1"/>
  <c r="I26" i="6" s="1"/>
  <c r="S26" i="6" s="1"/>
  <c r="K19" i="6"/>
  <c r="S6" i="1" s="1"/>
  <c r="O8" i="1"/>
  <c r="P8" i="1" s="1"/>
  <c r="O12" i="1"/>
  <c r="P12" i="1" s="1"/>
  <c r="O9" i="1"/>
  <c r="P9" i="1" s="1"/>
  <c r="T8" i="1"/>
  <c r="E56" i="40"/>
  <c r="H75" i="43"/>
  <c r="C21" i="40"/>
  <c r="C17" i="40"/>
  <c r="B63" i="43"/>
  <c r="B56" i="43"/>
  <c r="B49" i="43"/>
  <c r="B54" i="43"/>
  <c r="C19" i="39"/>
  <c r="C21" i="39"/>
  <c r="C25" i="39"/>
  <c r="B66" i="43"/>
  <c r="AA5" i="71"/>
  <c r="AB5" i="71"/>
  <c r="X5" i="71"/>
  <c r="Y5" i="71"/>
  <c r="Z5" i="71" s="1"/>
  <c r="D12" i="52"/>
  <c r="D127" i="9"/>
  <c r="D13" i="52" s="1"/>
  <c r="E70" i="39"/>
  <c r="C5" i="43"/>
  <c r="D5" i="43"/>
  <c r="F70" i="39"/>
  <c r="G68" i="39"/>
  <c r="G16" i="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16" i="15"/>
  <c r="C14" i="15"/>
  <c r="C14" i="67"/>
  <c r="C16" i="67"/>
  <c r="C17" i="67"/>
  <c r="AB21" i="40" l="1"/>
  <c r="U21" i="40"/>
  <c r="C36" i="43"/>
  <c r="E36" i="43" s="1"/>
  <c r="C35" i="43"/>
  <c r="E35" i="43" s="1"/>
  <c r="C34" i="43"/>
  <c r="T11" i="43"/>
  <c r="V11" i="43" s="1"/>
  <c r="C21" i="43"/>
  <c r="C38" i="43"/>
  <c r="G38" i="43" s="1"/>
  <c r="I38" i="43" s="1"/>
  <c r="C39" i="43"/>
  <c r="C33" i="43"/>
  <c r="E33" i="43" s="1"/>
  <c r="C37" i="43"/>
  <c r="E37" i="43" s="1"/>
  <c r="F48" i="69"/>
  <c r="C30" i="69"/>
  <c r="F48" i="68"/>
  <c r="C48" i="68"/>
  <c r="C30" i="68"/>
  <c r="C38" i="69"/>
  <c r="F45" i="69"/>
  <c r="C29" i="69"/>
  <c r="D27" i="69" s="1"/>
  <c r="C47" i="68"/>
  <c r="D45" i="68" s="1"/>
  <c r="C29" i="68"/>
  <c r="D27" i="68" s="1"/>
  <c r="AQ6" i="1"/>
  <c r="AR6" i="1"/>
  <c r="S16" i="1"/>
  <c r="C35" i="68"/>
  <c r="C38" i="68"/>
  <c r="AC6" i="3"/>
  <c r="E6" i="3" s="1"/>
  <c r="E104" i="43"/>
  <c r="E107" i="43"/>
  <c r="E105" i="43"/>
  <c r="E109" i="43"/>
  <c r="E102" i="43"/>
  <c r="E106" i="43"/>
  <c r="E103" i="43"/>
  <c r="H107" i="43"/>
  <c r="H106" i="43"/>
  <c r="H105" i="43"/>
  <c r="H102" i="43"/>
  <c r="H103" i="43"/>
  <c r="H104" i="43"/>
  <c r="H109" i="43"/>
  <c r="L16" i="1"/>
  <c r="C34" i="11"/>
  <c r="M109" i="43"/>
  <c r="M104" i="43"/>
  <c r="M107" i="43"/>
  <c r="M105" i="43"/>
  <c r="M102" i="43"/>
  <c r="M106" i="43"/>
  <c r="M103" i="43"/>
  <c r="L109" i="43"/>
  <c r="L102" i="43"/>
  <c r="L105" i="43"/>
  <c r="L104" i="43"/>
  <c r="L106" i="43"/>
  <c r="L107" i="43"/>
  <c r="L103" i="43"/>
  <c r="J104" i="43"/>
  <c r="J103" i="43"/>
  <c r="J109" i="43"/>
  <c r="J105" i="43"/>
  <c r="J107" i="43"/>
  <c r="J102" i="43"/>
  <c r="J106" i="43"/>
  <c r="G105" i="43"/>
  <c r="G102" i="43"/>
  <c r="G103" i="43"/>
  <c r="G106" i="43"/>
  <c r="G107" i="43"/>
  <c r="G104" i="43"/>
  <c r="G109" i="43"/>
  <c r="K103" i="43"/>
  <c r="K107" i="43"/>
  <c r="K104" i="43"/>
  <c r="K105" i="43"/>
  <c r="K109" i="43"/>
  <c r="K102" i="43"/>
  <c r="K106" i="43"/>
  <c r="I109" i="43"/>
  <c r="I102" i="43"/>
  <c r="I106" i="43"/>
  <c r="I103" i="43"/>
  <c r="I104" i="43"/>
  <c r="I107" i="43"/>
  <c r="I105" i="43"/>
  <c r="F104" i="43"/>
  <c r="F107" i="43"/>
  <c r="F106" i="43"/>
  <c r="F105" i="43"/>
  <c r="F109" i="43"/>
  <c r="F102" i="43"/>
  <c r="F103" i="43"/>
  <c r="N16" i="1"/>
  <c r="C104" i="43"/>
  <c r="C106" i="43"/>
  <c r="C105" i="43"/>
  <c r="C107" i="43"/>
  <c r="C103" i="43"/>
  <c r="C102" i="43"/>
  <c r="C109" i="43"/>
  <c r="N102" i="43"/>
  <c r="N103" i="43"/>
  <c r="N106" i="43"/>
  <c r="N104" i="43"/>
  <c r="N109" i="43"/>
  <c r="N105" i="43"/>
  <c r="N107" i="43"/>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3" i="43"/>
  <c r="D104" i="43"/>
  <c r="D107" i="43"/>
  <c r="D105" i="43"/>
  <c r="D106" i="43"/>
  <c r="D102" i="43"/>
  <c r="D22" i="43"/>
  <c r="C15" i="15"/>
  <c r="C18" i="15"/>
  <c r="O16" i="1"/>
  <c r="K27" i="6"/>
  <c r="M19" i="6"/>
  <c r="AY87" i="3"/>
  <c r="AY83" i="3"/>
  <c r="AY51" i="3"/>
  <c r="AY66" i="3"/>
  <c r="AY34" i="3"/>
  <c r="AY23" i="3"/>
  <c r="AY207" i="3"/>
  <c r="AY176" i="3"/>
  <c r="AY144" i="3"/>
  <c r="AY155" i="3"/>
  <c r="AY124" i="3"/>
  <c r="AY115" i="3"/>
  <c r="AY103" i="3"/>
  <c r="AY67" i="3"/>
  <c r="AY50" i="3"/>
  <c r="AY196" i="3"/>
  <c r="AY160" i="3"/>
  <c r="AY139"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2" i="3"/>
  <c r="AY191" i="3"/>
  <c r="AY132"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AY98" i="3"/>
  <c r="AY18" i="3"/>
  <c r="AY171"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17" i="4"/>
  <c r="B4" i="52" s="1"/>
  <c r="B43" i="72" s="1"/>
  <c r="L18" i="9"/>
  <c r="D19" i="11"/>
  <c r="C19" i="11" s="1"/>
  <c r="D3" i="37"/>
  <c r="D3" i="21"/>
  <c r="T16" i="1"/>
  <c r="T5" i="43"/>
  <c r="V5" i="43" s="1"/>
  <c r="T3" i="43"/>
  <c r="V3" i="43" s="1"/>
  <c r="T2" i="43"/>
  <c r="V2" i="43" s="1"/>
  <c r="T6" i="43"/>
  <c r="V6" i="43" s="1"/>
  <c r="T13" i="43"/>
  <c r="V13" i="43" s="1"/>
  <c r="T10" i="43"/>
  <c r="V10" i="43" s="1"/>
  <c r="T4" i="43"/>
  <c r="V4" i="43" s="1"/>
  <c r="T9" i="43"/>
  <c r="V9" i="43" s="1"/>
  <c r="T12" i="43"/>
  <c r="V12" i="43" s="1"/>
  <c r="J10" i="39"/>
  <c r="AC10" i="39" s="1"/>
  <c r="U10" i="40"/>
  <c r="H10" i="39"/>
  <c r="U10" i="39" s="1"/>
  <c r="W10" i="40"/>
  <c r="G36" i="43"/>
  <c r="I36" i="43" s="1"/>
  <c r="J7" i="37"/>
  <c r="H7" i="36"/>
  <c r="F7" i="34"/>
  <c r="T8" i="43"/>
  <c r="V8" i="43" s="1"/>
  <c r="T16" i="43"/>
  <c r="V16" i="43" s="1"/>
  <c r="T7" i="43"/>
  <c r="V7" i="43" s="1"/>
  <c r="C29" i="43"/>
  <c r="C30" i="43" s="1"/>
  <c r="E30" i="43" s="1"/>
  <c r="T15" i="43"/>
  <c r="V15" i="43" s="1"/>
  <c r="F59" i="67"/>
  <c r="G35" i="43"/>
  <c r="I35" i="43" s="1"/>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F50" i="11"/>
  <c r="F50" i="68"/>
  <c r="F50" i="69"/>
  <c r="C38" i="11"/>
  <c r="C35" i="11"/>
  <c r="C115" i="43"/>
  <c r="D113" i="43"/>
  <c r="C20" i="11"/>
  <c r="C28" i="11" s="1"/>
  <c r="C27" i="11" s="1"/>
  <c r="D17" i="12"/>
  <c r="C17" i="12" s="1"/>
  <c r="C14" i="12"/>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C8" i="74"/>
  <c r="C7" i="74"/>
  <c r="C15" i="12"/>
  <c r="C12" i="12"/>
  <c r="I19" i="6"/>
  <c r="H19" i="6" s="1"/>
  <c r="H27" i="6" s="1"/>
  <c r="M27" i="6"/>
  <c r="E29" i="43"/>
  <c r="C26" i="43" s="1"/>
  <c r="AB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C33" i="11"/>
  <c r="C39" i="11" s="1"/>
  <c r="C46" i="11" s="1"/>
  <c r="C45" i="11" s="1"/>
  <c r="D16" i="6"/>
  <c r="R25" i="6"/>
  <c r="C16" i="12"/>
  <c r="R23" i="6"/>
  <c r="D27" i="6"/>
  <c r="D31" i="6" s="1"/>
  <c r="R19" i="6"/>
  <c r="S19" i="6"/>
  <c r="S27" i="6" s="1"/>
  <c r="I27" i="6"/>
  <c r="R26" i="6"/>
  <c r="D8" i="74"/>
  <c r="D7" i="74"/>
  <c r="R20" i="6"/>
  <c r="R21" i="6"/>
  <c r="C10" i="69"/>
  <c r="C8" i="69" s="1"/>
  <c r="C5" i="69" s="1"/>
  <c r="D19" i="69"/>
  <c r="A7" i="51"/>
  <c r="B7" i="72" s="1"/>
  <c r="C4" i="52"/>
  <c r="B45" i="72" s="1"/>
  <c r="A10" i="51"/>
  <c r="B9" i="72" s="1"/>
  <c r="R24" i="6"/>
  <c r="R22" i="6"/>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C18" i="12" l="1"/>
  <c r="C21" i="12" s="1"/>
  <c r="C22" i="12" s="1"/>
  <c r="C27" i="12" s="1"/>
  <c r="C25" i="12" s="1"/>
  <c r="C42" i="11"/>
  <c r="C43" i="11"/>
  <c r="R27" i="6"/>
  <c r="R6" i="1"/>
  <c r="C19" i="68"/>
  <c r="D37" i="68"/>
  <c r="C37" i="68" s="1"/>
  <c r="C33" i="68" s="1"/>
  <c r="I5" i="6"/>
  <c r="I6" i="6"/>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M21" i="15"/>
  <c r="F35" i="15"/>
  <c r="J20" i="15" l="1"/>
  <c r="J17" i="15" s="1"/>
  <c r="F63" i="15"/>
  <c r="C62" i="15" s="1"/>
  <c r="C59" i="15" s="1"/>
  <c r="C34" i="15"/>
  <c r="C31" i="15" s="1"/>
  <c r="R16" i="1"/>
  <c r="C41" i="11"/>
  <c r="C49" i="11" s="1"/>
  <c r="C51" i="11" s="1"/>
  <c r="C52" i="11" s="1"/>
  <c r="B2" i="11" s="1"/>
  <c r="B3" i="11" s="1"/>
  <c r="C30" i="12"/>
  <c r="C28" i="12" s="1"/>
  <c r="C32" i="12" s="1"/>
  <c r="B2" i="12" s="1"/>
  <c r="B3" i="12" s="1"/>
  <c r="C20" i="69"/>
  <c r="C25" i="69" s="1"/>
  <c r="C22" i="69" s="1"/>
  <c r="C39" i="68"/>
  <c r="C42" i="68"/>
  <c r="C39" i="69"/>
  <c r="C43" i="69" s="1"/>
  <c r="C42" i="69"/>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1" i="69"/>
  <c r="C28" i="69"/>
  <c r="C27"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Q69" i="15" l="1"/>
  <c r="Q68" i="15" s="1"/>
  <c r="C80" i="15"/>
  <c r="C79" i="15" s="1"/>
  <c r="C49" i="69"/>
  <c r="C51" i="69" s="1"/>
  <c r="C52" i="69" s="1"/>
  <c r="B2" i="69" s="1"/>
  <c r="B3" i="69" s="1"/>
  <c r="C49" i="68"/>
  <c r="C51" i="68" s="1"/>
  <c r="J7" i="35"/>
  <c r="AC7" i="35" s="1"/>
  <c r="V38" i="35" s="1"/>
  <c r="I38" i="35" s="1"/>
  <c r="M70" i="39"/>
  <c r="N68" i="39"/>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L51" i="15"/>
  <c r="AO6" i="1"/>
  <c r="D19" i="9"/>
  <c r="Q67" i="15" l="1"/>
  <c r="D102" i="9"/>
  <c r="D21" i="9"/>
  <c r="B6" i="70"/>
  <c r="B2" i="70" s="1"/>
  <c r="B3" i="70" s="1"/>
  <c r="B3" i="15"/>
  <c r="C57" i="69"/>
  <c r="C56" i="69"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5" i="68" s="1"/>
  <c r="C28" i="68" l="1"/>
  <c r="C27" i="68" s="1"/>
  <c r="C22" i="68"/>
  <c r="C31" i="68" l="1"/>
  <c r="C52" i="68" s="1"/>
  <c r="B2" i="68" s="1"/>
  <c r="C19" i="9"/>
  <c r="C57" i="68" l="1"/>
  <c r="C56" i="68" s="1"/>
  <c r="G19" i="9"/>
  <c r="G21" i="9" s="1"/>
  <c r="C102" i="9"/>
  <c r="D22" i="9"/>
  <c r="C21" i="9"/>
  <c r="B3" i="68"/>
  <c r="C20" i="9"/>
  <c r="D35" i="9"/>
  <c r="D34" i="9"/>
  <c r="C103" i="9" l="1"/>
  <c r="G20" i="9"/>
  <c r="C32" i="9" s="1"/>
  <c r="C35" i="9" l="1"/>
  <c r="H118" i="9"/>
  <c r="C104" i="9" l="1"/>
  <c r="I118" i="9"/>
  <c r="H101" i="9"/>
  <c r="H4" i="52"/>
  <c r="H119" i="9"/>
  <c r="H5" i="52" s="1"/>
  <c r="D14" i="74"/>
  <c r="C34" i="9"/>
  <c r="D118" i="9" s="1"/>
  <c r="F118" i="9"/>
  <c r="D4" i="52" l="1"/>
  <c r="B47" i="72" s="1"/>
  <c r="D119" i="9"/>
  <c r="D5" i="52" s="1"/>
  <c r="B49" i="72" s="1"/>
  <c r="F4" i="52"/>
  <c r="B51" i="72" s="1"/>
  <c r="G118" i="9"/>
  <c r="G4" i="52" s="1"/>
  <c r="B52" i="72" s="1"/>
  <c r="F119" i="9"/>
  <c r="F5" i="52" s="1"/>
  <c r="B53" i="72" s="1"/>
  <c r="E14" i="74"/>
  <c r="B5" i="74"/>
  <c r="F14" i="74"/>
  <c r="I4" i="52"/>
  <c r="E118" i="9"/>
  <c r="E4" i="52" s="1"/>
  <c r="B48" i="72" s="1"/>
  <c r="C105" i="9"/>
  <c r="H102" i="9"/>
  <c r="D7" i="53" s="1"/>
  <c r="B21" i="72" s="1"/>
  <c r="M48" i="9"/>
  <c r="D45" i="9"/>
  <c r="D5" i="53"/>
  <c r="H107" i="9"/>
  <c r="D13" i="53" l="1"/>
  <c r="H108" i="9"/>
  <c r="D15" i="53" s="1"/>
  <c r="B31" i="72" s="1"/>
  <c r="M49" i="9"/>
  <c r="D122" i="9"/>
  <c r="D53" i="9"/>
  <c r="C78" i="9"/>
  <c r="C73" i="9" s="1"/>
  <c r="C64" i="9"/>
  <c r="C63" i="9" s="1"/>
  <c r="C67" i="9" s="1"/>
  <c r="D55" i="9"/>
  <c r="M53" i="9" s="1"/>
  <c r="D52" i="9"/>
  <c r="C93" i="9"/>
  <c r="C86" i="9" s="1"/>
  <c r="C85" i="9"/>
  <c r="C72" i="9"/>
  <c r="C79" i="9" s="1"/>
  <c r="D6" i="53"/>
  <c r="B22" i="72" s="1"/>
  <c r="B20" i="72"/>
  <c r="C5" i="74"/>
  <c r="D5" i="74"/>
  <c r="C95" i="9" l="1"/>
  <c r="C96" i="9" s="1"/>
  <c r="E96" i="9" s="1"/>
  <c r="E97" i="9" s="1"/>
  <c r="C80" i="9"/>
  <c r="E80" i="9" s="1"/>
  <c r="E81" i="9" s="1"/>
  <c r="D123" i="9"/>
  <c r="D9" i="52" s="1"/>
  <c r="D8" i="52"/>
  <c r="G14" i="74"/>
  <c r="B6" i="74" s="1"/>
  <c r="C68" i="9"/>
  <c r="D54" i="9" s="1"/>
  <c r="D59" i="9"/>
  <c r="M55" i="9" s="1"/>
  <c r="L67" i="9"/>
  <c r="M67" i="9" s="1"/>
  <c r="L66" i="9"/>
  <c r="M66" i="9" s="1"/>
  <c r="L68" i="9"/>
  <c r="M68" i="9" s="1"/>
  <c r="L65" i="9"/>
  <c r="M65" i="9" s="1"/>
  <c r="L64" i="9"/>
  <c r="M64" i="9" s="1"/>
  <c r="L63" i="9"/>
  <c r="M63" i="9" s="1"/>
  <c r="D14" i="53"/>
  <c r="B32" i="72" s="1"/>
  <c r="B30" i="72"/>
  <c r="C97" i="9" l="1"/>
  <c r="D58" i="9" s="1"/>
  <c r="D56" i="9" s="1"/>
  <c r="M54" i="9" s="1"/>
  <c r="M69" i="9"/>
  <c r="N69" i="9" s="1"/>
  <c r="N57" i="9"/>
  <c r="N58" i="9" s="1"/>
  <c r="C6" i="74"/>
  <c r="D6" i="74"/>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<sst xmlns="http://schemas.openxmlformats.org/spreadsheetml/2006/main" count="8239" uniqueCount="3428">
  <si>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</si>
  <si>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</si>
  <si>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</si>
  <si>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</si>
  <si>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</si>
  <si>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</si>
  <si>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</si>
  <si>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</si>
  <si>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</si>
  <si>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</si>
  <si>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</si>
  <si>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</si>
  <si>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</si>
  <si>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</si>
  <si>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</si>
  <si>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</si>
  <si>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</si>
  <si>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</si>
  <si>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</si>
  <si>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</si>
  <si>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</si>
  <si>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</si>
  <si>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</si>
  <si>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</si>
  <si>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</si>
  <si>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</si>
  <si>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</si>
  <si>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</si>
  <si>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</si>
  <si>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</si>
  <si>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</si>
  <si>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</si>
  <si>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</si>
  <si>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</si>
  <si>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</si>
  <si>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</si>
  <si>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</si>
  <si>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</si>
  <si>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</si>
  <si>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</si>
  <si>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</si>
  <si>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</si>
  <si>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</si>
  <si>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</si>
  <si>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</si>
  <si>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</si>
  <si>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</si>
  <si>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</si>
  <si>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</si>
  <si>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</si>
  <si>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</si>
  <si>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</si>
  <si>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</si>
  <si>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</si>
  <si>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</si>
  <si>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</si>
  <si>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</si>
  <si>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</si>
  <si>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</si>
  <si>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</si>
  <si>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</si>
  <si>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</si>
  <si>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</si>
  <si>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</si>
  <si>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</si>
  <si>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</si>
  <si>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</si>
  <si>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</si>
  <si>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</si>
  <si>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</si>
  <si>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</si>
  <si>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</si>
  <si>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</si>
  <si>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</si>
  <si>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</si>
  <si>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</si>
  <si>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</si>
  <si>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</si>
  <si>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</si>
  <si>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</si>
  <si>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</si>
  <si>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</si>
  <si>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</si>
  <si>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</si>
  <si>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</si>
  <si>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</si>
  <si>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</si>
  <si>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</si>
  <si>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</si>
  <si>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</si>
  <si>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</si>
  <si>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</si>
  <si>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</si>
  <si>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</si>
  <si>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</si>
  <si>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</si>
  <si>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</si>
  <si>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</si>
  <si>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</si>
  <si>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</si>
  <si>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</si>
  <si>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</si>
  <si>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</si>
  <si>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</si>
  <si>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</si>
  <si>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</si>
  <si>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</si>
  <si>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</si>
  <si>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</si>
  <si>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</si>
  <si>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</si>
  <si>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</si>
  <si>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</si>
  <si>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</si>
  <si>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</si>
  <si>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</si>
  <si>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</si>
  <si>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</si>
  <si>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</si>
  <si>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</si>
  <si>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</si>
  <si>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</si>
  <si>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</si>
  <si>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</si>
  <si>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</si>
  <si>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</si>
  <si>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</si>
  <si>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</si>
  <si>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</si>
  <si>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</si>
  <si>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</si>
  <si>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</si>
  <si>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</si>
  <si>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</si>
  <si>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</si>
  <si>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</si>
  <si>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</si>
  <si>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</si>
  <si>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</si>
  <si>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</si>
  <si>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</si>
  <si>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</si>
  <si>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</si>
  <si>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</si>
  <si>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</si>
  <si>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</si>
  <si>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</si>
  <si>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</si>
  <si>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</si>
  <si>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</si>
  <si>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</si>
  <si>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</si>
  <si>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</si>
  <si>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</si>
  <si>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</si>
  <si>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</si>
  <si>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</si>
  <si>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</si>
  <si>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</si>
  <si>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</si>
  <si>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</si>
  <si>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</si>
  <si>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</si>
  <si>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</si>
  <si>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</si>
  <si>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</si>
  <si>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</si>
  <si>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</si>
  <si>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</si>
  <si>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</si>
  <si>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</si>
  <si>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</si>
  <si>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</si>
  <si>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</si>
  <si>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</si>
  <si>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</si>
  <si>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</si>
  <si>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</si>
  <si>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</si>
  <si>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</si>
  <si>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</si>
  <si>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</si>
  <si>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</si>
  <si>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</si>
  <si>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</si>
  <si>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</si>
  <si>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</si>
  <si>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</si>
  <si>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</si>
  <si>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</si>
  <si>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</si>
  <si>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</si>
  <si>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</si>
  <si>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</si>
  <si>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</si>
  <si>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</si>
  <si>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</si>
  <si>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</si>
  <si>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</si>
  <si>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</si>
  <si>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</si>
  <si>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</si>
  <si>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</si>
  <si>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</si>
  <si>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</si>
  <si>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</si>
  <si>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</si>
  <si>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</si>
  <si>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</si>
  <si>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</si>
  <si>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</si>
  <si>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</si>
  <si>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</si>
  <si>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</si>
  <si>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</si>
  <si>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</si>
  <si>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</si>
  <si>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</si>
  <si>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</si>
  <si>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</si>
  <si>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</si>
  <si>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</si>
  <si>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</si>
  <si>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</si>
  <si>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</si>
  <si>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</si>
  <si>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</si>
  <si>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</si>
  <si>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</si>
  <si>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</si>
  <si>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</si>
  <si>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</si>
  <si>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</si>
  <si>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</si>
  <si>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</si>
  <si>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</si>
  <si>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</si>
  <si>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</si>
  <si>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</si>
  <si>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</si>
  <si>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</si>
  <si>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</si>
  <si>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</si>
  <si>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</si>
  <si>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</si>
  <si>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</si>
  <si>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</si>
  <si>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</si>
  <si>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</si>
  <si>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</si>
  <si>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</si>
  <si>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</si>
  <si>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</si>
  <si>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</si>
  <si>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</si>
  <si>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</si>
  <si>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</si>
  <si>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</si>
  <si>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</si>
  <si>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</si>
  <si>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</si>
  <si>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</si>
  <si>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</si>
  <si>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</si>
  <si>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</si>
  <si>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</si>
  <si>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</si>
  <si>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</si>
  <si>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</si>
  <si>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</si>
  <si>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</si>
  <si>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</si>
  <si>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</si>
  <si>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</si>
  <si>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</si>
  <si>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</si>
  <si>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</si>
  <si>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</si>
  <si>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</si>
  <si>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</si>
  <si>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</si>
  <si>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</si>
  <si>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</si>
  <si>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</si>
  <si>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</si>
  <si>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</si>
  <si>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</si>
  <si>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</si>
  <si>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</si>
  <si>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</si>
  <si>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</si>
  <si>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</si>
  <si>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</si>
  <si>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</si>
  <si>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</si>
  <si>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</si>
  <si>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</si>
  <si>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</si>
  <si>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</si>
  <si>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</si>
  <si>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</si>
  <si>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</si>
  <si>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</si>
  <si>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</si>
  <si>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</si>
  <si>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</si>
  <si>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</si>
  <si>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</si>
  <si>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</si>
  <si>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</si>
  <si>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</si>
  <si>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</si>
  <si>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</si>
  <si>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</si>
  <si>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</si>
  <si>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</si>
  <si>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</si>
  <si>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</si>
  <si>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</si>
  <si>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</si>
  <si>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</si>
  <si>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</si>
  <si>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</si>
  <si>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</si>
  <si>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</si>
  <si>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</si>
  <si>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</si>
  <si>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</si>
  <si>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</si>
  <si>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</si>
  <si>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</si>
  <si>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</si>
  <si>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</si>
  <si>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</si>
  <si>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</si>
  <si>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</si>
  <si>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</si>
  <si>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</si>
  <si>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</si>
  <si>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</si>
  <si>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</si>
  <si>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</si>
  <si>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</si>
  <si>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</si>
  <si>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</si>
  <si>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</si>
  <si>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</si>
  <si>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</si>
  <si>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</si>
  <si>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</si>
  <si>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</si>
  <si>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</si>
  <si>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</si>
  <si>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</si>
  <si>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</si>
  <si>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</si>
  <si>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</si>
  <si>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</si>
  <si>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</si>
  <si>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</si>
  <si>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</si>
  <si>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</si>
  <si>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</si>
  <si>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</si>
  <si>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</si>
  <si>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</si>
  <si>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</si>
  <si>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</si>
  <si>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</si>
  <si>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</si>
  <si>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</si>
  <si>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</si>
  <si>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</si>
  <si>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</si>
  <si>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</si>
  <si>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</si>
  <si>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</si>
  <si>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</si>
  <si>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</si>
  <si>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</si>
  <si>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</si>
  <si>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</si>
  <si>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</si>
  <si>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</si>
  <si>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</si>
  <si>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</si>
  <si>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</si>
  <si>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</si>
  <si>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</si>
  <si>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</si>
  <si>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</si>
  <si>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</si>
  <si>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</si>
  <si>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</si>
  <si>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</si>
  <si>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</si>
  <si>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</si>
  <si>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</si>
  <si>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</si>
  <si>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</si>
  <si>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</si>
  <si>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</si>
  <si>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</si>
  <si>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</si>
  <si>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</si>
  <si>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</si>
  <si>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</si>
  <si>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</si>
  <si>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</si>
  <si>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</si>
  <si>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</si>
  <si>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</si>
  <si>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</si>
  <si>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</si>
  <si>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</si>
  <si>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</si>
  <si>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</si>
  <si>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</si>
  <si>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</si>
  <si>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</si>
  <si>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</si>
  <si>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</si>
  <si>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</si>
  <si>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</si>
  <si>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</si>
  <si>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</si>
  <si>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</si>
  <si>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</si>
  <si>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</si>
  <si>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</si>
  <si>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</si>
  <si>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</si>
  <si>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</si>
  <si>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</si>
  <si>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</si>
  <si>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</si>
  <si>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</si>
  <si>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</si>
  <si>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</si>
  <si>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</si>
  <si>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</si>
  <si>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</si>
  <si>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</si>
  <si>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</si>
  <si>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</si>
  <si>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</si>
  <si>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</si>
  <si>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</si>
  <si>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</si>
  <si>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</si>
  <si>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</si>
  <si>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</si>
  <si>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</si>
  <si>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</si>
  <si>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</si>
  <si>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</si>
  <si>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</si>
  <si>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</si>
  <si>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</si>
  <si>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</si>
  <si>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</si>
  <si>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</si>
  <si>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</si>
  <si>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</si>
  <si>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</si>
  <si>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</si>
  <si>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</si>
  <si>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</si>
  <si>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</si>
  <si>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</si>
  <si>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</si>
  <si>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</si>
  <si>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</si>
  <si>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</si>
  <si>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</si>
  <si>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</si>
  <si>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</si>
  <si>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</si>
  <si>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</si>
  <si>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</si>
  <si>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</si>
  <si>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</si>
  <si>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</si>
  <si>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</si>
  <si>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</si>
  <si>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</si>
  <si>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</si>
  <si>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</si>
  <si>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</si>
  <si>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</si>
  <si>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</si>
  <si>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</si>
  <si>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</si>
  <si>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</si>
  <si>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</si>
  <si>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</si>
  <si>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</si>
  <si>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</si>
  <si>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</si>
  <si>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</si>
  <si>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</si>
  <si>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</si>
  <si>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</si>
  <si>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</si>
  <si>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</si>
  <si>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</si>
  <si>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</si>
  <si>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</si>
  <si>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</si>
  <si>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</si>
  <si>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</si>
  <si>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</si>
  <si>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</si>
  <si>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</si>
  <si>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</si>
  <si>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</si>
  <si>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</si>
  <si>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</si>
  <si>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</si>
  <si>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</si>
  <si>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</si>
  <si>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</si>
  <si>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</si>
  <si>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</si>
  <si>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</si>
  <si>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</si>
  <si>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</si>
  <si>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</si>
  <si>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</si>
  <si>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</si>
  <si>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</si>
  <si>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</si>
  <si>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</si>
  <si>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</si>
  <si>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</si>
  <si>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</si>
  <si>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</si>
  <si>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</si>
  <si>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</si>
  <si>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</si>
  <si>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</si>
  <si>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</si>
  <si>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</si>
  <si>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</si>
  <si>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</si>
  <si>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</si>
  <si>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</si>
  <si>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</si>
  <si>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</si>
  <si>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</si>
  <si>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</si>
  <si>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</si>
  <si>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</si>
  <si>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</si>
  <si>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</si>
  <si>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</si>
  <si>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</si>
  <si>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</si>
  <si>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</si>
  <si>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</si>
  <si>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</si>
  <si>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</si>
  <si>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</si>
  <si>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</si>
  <si>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</si>
  <si>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</si>
  <si>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</si>
  <si>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</si>
  <si>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</si>
  <si>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</si>
  <si>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</si>
  <si>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</si>
  <si>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</si>
  <si>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</si>
  <si>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</si>
  <si>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</si>
  <si>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</si>
  <si>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</si>
  <si>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</si>
  <si>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</si>
  <si>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</si>
  <si>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</si>
  <si>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</si>
  <si>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</si>
  <si>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</si>
  <si>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</si>
  <si>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</si>
  <si>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</si>
  <si>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</si>
  <si>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</si>
  <si>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</si>
  <si>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</si>
  <si>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</si>
  <si>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</si>
  <si>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</si>
  <si>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</si>
  <si>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</si>
  <si>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</si>
  <si>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</si>
  <si>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</si>
  <si>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</si>
  <si>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</si>
  <si>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</si>
  <si>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</si>
  <si>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</si>
  <si>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</si>
  <si>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</si>
  <si>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</si>
  <si>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</si>
  <si>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</si>
  <si>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</si>
  <si>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</si>
  <si>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</si>
  <si>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</si>
  <si>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</si>
  <si>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</si>
  <si>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</si>
  <si>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</si>
  <si>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</si>
  <si>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</si>
  <si>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</si>
  <si>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</si>
  <si>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</si>
  <si>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</si>
  <si>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</si>
  <si>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</si>
  <si>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</si>
  <si>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</si>
  <si>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</si>
  <si>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</si>
  <si>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</si>
  <si>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</si>
  <si>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</si>
  <si>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</si>
  <si>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</si>
  <si>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</si>
  <si>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</si>
  <si>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</si>
  <si>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</si>
  <si>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</si>
  <si>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</si>
  <si>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</si>
  <si>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</si>
  <si>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</si>
  <si>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</si>
  <si>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</si>
  <si>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</si>
  <si>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</si>
  <si>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</si>
  <si>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</si>
  <si>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</si>
  <si>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</si>
  <si>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</si>
  <si>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</si>
  <si>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</si>
  <si>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</si>
  <si>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</si>
  <si>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</si>
  <si>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</si>
  <si>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</si>
  <si>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</si>
  <si>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</si>
  <si>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</si>
  <si>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</si>
  <si>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</si>
  <si>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</si>
  <si>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</si>
  <si>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</si>
  <si>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</si>
  <si>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</si>
  <si>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</si>
  <si>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</si>
  <si>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</si>
  <si>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</si>
  <si>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</si>
  <si>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</si>
  <si>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</si>
  <si>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</si>
  <si>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</si>
  <si>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</si>
  <si>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</si>
  <si>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</si>
  <si>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</si>
  <si>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</si>
  <si>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</si>
  <si>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</si>
  <si>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</si>
  <si>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</si>
  <si>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</si>
  <si>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</si>
  <si>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</si>
  <si>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</si>
  <si>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</si>
  <si>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</si>
  <si>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</si>
  <si>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</si>
  <si>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</si>
  <si>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</si>
  <si>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</si>
  <si>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</si>
  <si>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</si>
  <si>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</si>
  <si>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</si>
  <si>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</si>
  <si>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</si>
  <si>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</si>
  <si>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</si>
  <si>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</si>
  <si>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</si>
  <si>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</si>
  <si>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</si>
  <si>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</si>
  <si>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</si>
  <si>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</si>
  <si>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</si>
  <si>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</si>
  <si>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</si>
  <si>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</si>
  <si>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</si>
  <si>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</si>
  <si>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</si>
  <si>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</si>
  <si>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</si>
  <si>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</si>
  <si>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</si>
  <si>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</si>
  <si>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</si>
  <si>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</si>
  <si>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</si>
  <si>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</si>
  <si>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</si>
  <si>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</si>
  <si>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</si>
  <si>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</si>
  <si>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</si>
  <si>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</si>
  <si>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</si>
  <si>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</si>
  <si>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</si>
  <si>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</si>
  <si>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</si>
  <si>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</si>
  <si>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</si>
  <si>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</si>
  <si>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</si>
  <si>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</si>
  <si>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</si>
  <si>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</si>
  <si>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</si>
  <si>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</si>
  <si>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</si>
  <si>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</si>
  <si>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</si>
  <si>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</si>
  <si>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</si>
  <si>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</si>
  <si>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</si>
  <si>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</si>
  <si>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</si>
  <si>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</si>
  <si>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</si>
  <si>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</si>
  <si>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</si>
  <si>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</si>
  <si>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</si>
  <si>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</si>
  <si>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</si>
  <si>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</si>
  <si>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</si>
  <si>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</si>
  <si>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</si>
  <si>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</si>
  <si>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</si>
  <si>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</si>
  <si>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</si>
  <si>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</si>
  <si>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</si>
  <si>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</si>
  <si>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</si>
  <si>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</si>
  <si>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</si>
  <si>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</si>
  <si>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</si>
  <si>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</si>
  <si>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</si>
  <si>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</si>
  <si>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</si>
  <si>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</si>
  <si>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</si>
  <si>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</si>
  <si>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</si>
  <si>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</si>
  <si>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</si>
  <si>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</si>
  <si>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</si>
  <si>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</si>
  <si>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</si>
  <si>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</si>
  <si>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</si>
  <si>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</si>
  <si>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</si>
  <si>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</si>
  <si>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</si>
  <si>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</si>
  <si>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</si>
  <si>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</si>
  <si>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</si>
  <si>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</si>
  <si>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</si>
  <si>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</si>
  <si>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</si>
  <si>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</si>
  <si>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</si>
  <si>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</si>
  <si>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</si>
  <si>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</si>
  <si>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</si>
  <si>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</si>
  <si>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</si>
  <si>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</si>
  <si>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</si>
  <si>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</si>
  <si>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</si>
  <si>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</si>
  <si>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</si>
  <si>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</si>
  <si>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</si>
  <si>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</si>
  <si>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</si>
  <si>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</si>
  <si>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</si>
  <si>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</si>
  <si>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</si>
  <si>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</si>
  <si>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</si>
  <si>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</si>
  <si>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</si>
  <si>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</si>
  <si>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</si>
  <si>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</si>
  <si>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</si>
  <si>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</si>
  <si>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</si>
  <si>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</si>
  <si>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</si>
  <si>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</si>
  <si>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</si>
  <si>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</si>
  <si>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</si>
  <si>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</si>
  <si>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</si>
  <si>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</si>
  <si>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</si>
  <si>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</si>
  <si>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</si>
  <si>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</si>
  <si>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</si>
  <si>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</si>
  <si>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</si>
  <si>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</si>
  <si>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</si>
  <si>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</si>
  <si>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</si>
  <si>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</si>
  <si>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</si>
  <si>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</si>
  <si>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</si>
  <si>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</si>
  <si>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</si>
  <si>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</si>
  <si>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</si>
  <si>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</si>
  <si>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</si>
  <si>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</si>
  <si>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</si>
  <si>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</si>
  <si>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</si>
  <si>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</si>
  <si>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</si>
  <si>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</si>
  <si>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</si>
  <si>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</si>
  <si>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</si>
  <si>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</si>
  <si>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</si>
  <si>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</si>
  <si>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</si>
  <si>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</si>
  <si>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</si>
  <si>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</si>
  <si>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</si>
  <si>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</si>
  <si>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</si>
  <si>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</si>
  <si>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</si>
  <si>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</si>
  <si>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</si>
  <si>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</si>
  <si>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</si>
  <si>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</si>
  <si>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</si>
  <si>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</si>
  <si>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</si>
  <si>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</si>
  <si>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</si>
  <si>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</si>
  <si>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</si>
  <si>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</si>
  <si>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</si>
  <si>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</si>
  <si>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</si>
  <si>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</si>
  <si>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</si>
  <si>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</si>
  <si>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</si>
  <si>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</si>
  <si>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</si>
  <si>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</si>
  <si>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</si>
  <si>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</si>
  <si>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</si>
  <si>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</si>
  <si>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</si>
  <si>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</si>
  <si>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</si>
  <si>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</si>
  <si>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</si>
  <si>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</si>
  <si>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</si>
  <si>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</si>
  <si>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</si>
  <si>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</si>
  <si>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</si>
  <si>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</si>
  <si>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</si>
  <si>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</si>
  <si>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</si>
  <si>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</si>
  <si>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</si>
  <si>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</si>
  <si>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</si>
  <si>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</si>
  <si>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</si>
  <si>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</si>
  <si>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</si>
  <si>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</si>
  <si>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</si>
  <si>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</si>
  <si>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</si>
  <si>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</si>
  <si>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</si>
  <si>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</si>
  <si>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</si>
  <si>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</si>
  <si>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</si>
  <si>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</si>
  <si>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</si>
  <si>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</si>
  <si>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</si>
  <si>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</si>
  <si>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</si>
  <si>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</si>
  <si>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</si>
  <si>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</si>
  <si>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</si>
  <si>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</si>
  <si>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</si>
  <si>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</si>
  <si>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</si>
  <si>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</si>
  <si>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</si>
  <si>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</si>
  <si>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</si>
  <si>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</si>
  <si>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</si>
  <si>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</si>
  <si>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</si>
  <si>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</si>
  <si>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</si>
  <si>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</si>
  <si>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</si>
  <si>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</si>
  <si>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</si>
  <si>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</si>
  <si>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</si>
  <si>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</si>
  <si>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</si>
  <si>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</si>
  <si>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</si>
  <si>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</si>
  <si>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</si>
  <si>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</si>
  <si>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</si>
  <si>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</si>
  <si>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</si>
  <si>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</si>
  <si>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</si>
  <si>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</si>
  <si>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</si>
  <si>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</si>
  <si>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</si>
  <si>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</si>
  <si>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</si>
  <si>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</si>
  <si>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</si>
  <si>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</si>
  <si>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</si>
  <si>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</si>
  <si>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</si>
  <si>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</si>
  <si>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</si>
  <si>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</si>
  <si>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</si>
  <si>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</si>
  <si>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</si>
  <si>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</si>
  <si>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</si>
  <si>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</si>
  <si>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</si>
  <si>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</si>
  <si>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</si>
  <si>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</si>
  <si>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</si>
  <si>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</si>
  <si>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</si>
  <si>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</si>
  <si>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</si>
  <si>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</si>
  <si>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</si>
  <si>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</si>
  <si>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</si>
  <si>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</si>
  <si>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</si>
  <si>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</si>
  <si>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</si>
  <si>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</si>
  <si>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</si>
  <si>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</si>
  <si>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</si>
  <si>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</si>
  <si>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</si>
  <si>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</si>
  <si>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</si>
  <si>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</si>
  <si>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</si>
  <si>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</si>
  <si>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</si>
  <si>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</si>
  <si>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</si>
  <si>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</si>
  <si>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</si>
  <si>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</si>
  <si>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</si>
  <si>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</si>
  <si>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</si>
  <si>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</si>
  <si>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</si>
  <si>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</si>
  <si>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</si>
  <si>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</si>
  <si>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</si>
  <si>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</si>
  <si>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</si>
  <si>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</si>
  <si>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</si>
  <si>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</si>
  <si>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</si>
  <si>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</si>
  <si>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</si>
  <si>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</si>
  <si>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</si>
  <si>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</si>
  <si>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</si>
  <si>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</si>
  <si>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</si>
  <si>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</si>
  <si>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</si>
  <si>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</si>
  <si>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</si>
  <si>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</si>
  <si>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</si>
  <si>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</si>
  <si>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</si>
  <si>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</si>
  <si>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</si>
  <si>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</si>
  <si>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</si>
  <si>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</si>
  <si>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</si>
  <si>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</si>
  <si>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</si>
  <si>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</si>
  <si>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</si>
  <si>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</si>
  <si>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</si>
  <si>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</si>
  <si>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</si>
  <si>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</si>
  <si>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</si>
  <si>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</si>
  <si>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</si>
  <si>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</si>
  <si>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</si>
  <si>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</si>
  <si>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</si>
  <si>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</si>
  <si>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</si>
  <si>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</si>
  <si>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</si>
  <si>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</si>
  <si>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</si>
  <si>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</si>
  <si>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</si>
  <si>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</si>
  <si>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</si>
  <si>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</si>
  <si>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</si>
  <si>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</si>
  <si>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</si>
  <si>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</si>
  <si>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</si>
  <si>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</si>
  <si>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</si>
  <si>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</si>
  <si>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</si>
  <si>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</si>
  <si>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</si>
  <si>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</si>
  <si>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</si>
  <si>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</si>
  <si>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</si>
  <si>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</si>
  <si>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</si>
  <si>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</si>
  <si>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</si>
  <si>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</si>
  <si>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</si>
  <si>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</si>
  <si>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</si>
  <si>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</si>
  <si>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</si>
  <si>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</si>
  <si>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</si>
  <si>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</si>
  <si>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</si>
  <si>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</si>
  <si>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</si>
  <si>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</si>
  <si>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</si>
  <si>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</si>
  <si>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</si>
  <si>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</si>
  <si>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</si>
  <si>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</si>
  <si>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</si>
  <si>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</si>
  <si>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</si>
  <si>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</si>
  <si>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</si>
  <si>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</si>
  <si>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</si>
  <si>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</si>
  <si>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</si>
  <si>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</si>
  <si>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</si>
  <si>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</si>
  <si>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</si>
  <si>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</si>
  <si>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</si>
  <si>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</si>
  <si>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</si>
  <si>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</si>
  <si>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</si>
  <si>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</si>
  <si>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</si>
  <si>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</si>
  <si>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</si>
  <si>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</si>
  <si>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</si>
  <si>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</si>
  <si>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</si>
  <si>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</si>
  <si>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</si>
  <si>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</si>
  <si>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</si>
  <si>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</si>
  <si>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</si>
  <si>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</si>
  <si>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</si>
  <si>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</si>
  <si>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</si>
  <si>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</si>
  <si>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</si>
  <si>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</si>
  <si>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</si>
  <si>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</si>
  <si>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</si>
  <si>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</si>
  <si>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</si>
  <si>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</si>
  <si>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</si>
  <si>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</si>
  <si>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</si>
  <si>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</si>
  <si>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</si>
  <si>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</si>
  <si>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</si>
  <si>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</si>
  <si>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</si>
  <si>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</si>
  <si>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</si>
  <si>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</si>
  <si>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</si>
  <si>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</si>
  <si>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</si>
  <si>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</si>
  <si>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</si>
  <si>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</si>
  <si>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</si>
  <si>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</si>
  <si>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</si>
  <si>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</si>
  <si>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</si>
  <si>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</si>
  <si>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</si>
  <si>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</si>
  <si>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</si>
  <si>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</si>
  <si>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</si>
  <si>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</si>
  <si>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</si>
  <si>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</si>
  <si>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</si>
  <si>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</si>
  <si>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</si>
  <si>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</si>
  <si>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</si>
  <si>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</si>
  <si>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</si>
  <si>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</si>
  <si>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</si>
  <si>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</si>
  <si>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</si>
  <si>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</si>
  <si>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</si>
  <si>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</si>
  <si>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</si>
  <si>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</si>
  <si>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</si>
  <si>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</si>
  <si>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</si>
  <si>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</si>
  <si>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</si>
  <si>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</si>
  <si>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</si>
  <si>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</si>
  <si>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</si>
  <si>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</si>
  <si>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</si>
  <si>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</si>
  <si>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</si>
  <si>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</si>
  <si>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</si>
  <si>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</si>
  <si>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</si>
  <si>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</si>
  <si>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</si>
  <si>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</si>
  <si>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</si>
  <si>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</si>
  <si>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</si>
  <si>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</si>
  <si>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</si>
  <si>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</si>
  <si>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</si>
  <si>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</si>
  <si>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</si>
  <si>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</si>
  <si>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</si>
  <si>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</si>
  <si>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</si>
  <si>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</si>
  <si>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</si>
  <si>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</si>
  <si>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</si>
  <si>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</si>
  <si>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</si>
  <si>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</si>
  <si>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</si>
  <si>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</si>
  <si>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</si>
  <si>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</si>
  <si>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</si>
  <si>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</si>
  <si>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</si>
  <si>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</si>
  <si>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</si>
  <si>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</si>
  <si>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</si>
  <si>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</si>
  <si>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</si>
  <si>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</si>
  <si>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</si>
  <si>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</si>
  <si>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</si>
  <si>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</si>
  <si>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</si>
  <si>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</si>
  <si>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</si>
  <si>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</si>
  <si>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</si>
  <si>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</si>
  <si>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</si>
  <si>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</si>
  <si>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</si>
  <si>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</si>
  <si>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</si>
  <si>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</si>
  <si>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</si>
  <si>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</si>
  <si>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</si>
  <si>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</si>
  <si>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</si>
  <si>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</si>
  <si>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</si>
  <si>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</si>
  <si>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</si>
  <si>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</si>
  <si>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</si>
  <si>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</si>
  <si>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</si>
  <si>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</si>
  <si>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</si>
  <si>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</si>
  <si>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</si>
  <si>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</si>
  <si>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</si>
  <si>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</si>
  <si>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</si>
  <si>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</si>
  <si>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</si>
  <si>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</si>
  <si>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</si>
  <si>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</si>
  <si>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</si>
  <si>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</si>
  <si>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</si>
  <si>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</si>
  <si>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</si>
  <si>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</si>
  <si>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</si>
  <si>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</si>
  <si>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</si>
  <si>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</si>
  <si>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</si>
  <si>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</si>
  <si>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</si>
  <si>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</si>
  <si>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</si>
  <si>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</si>
  <si>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</si>
  <si>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</si>
  <si>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</si>
  <si>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</si>
  <si>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</si>
  <si>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</si>
  <si>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</si>
  <si>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</si>
  <si>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</si>
  <si>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</si>
  <si>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</si>
  <si>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</si>
  <si>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</si>
  <si>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</si>
  <si>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</si>
  <si>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</si>
  <si>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</si>
  <si>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</si>
  <si>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</si>
  <si>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</si>
  <si>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</si>
  <si>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</si>
  <si>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</si>
  <si>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</si>
  <si>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</si>
  <si>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</si>
  <si>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</si>
  <si>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</si>
  <si>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</si>
  <si>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</si>
  <si>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</si>
  <si>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</si>
  <si>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</si>
  <si>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</si>
  <si>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</si>
  <si>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</si>
  <si>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</si>
  <si>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</si>
  <si>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</si>
  <si>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</si>
  <si>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</si>
  <si>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</si>
  <si>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</si>
  <si>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</si>
  <si>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</si>
  <si>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</si>
  <si>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</si>
  <si>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</si>
  <si>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</si>
  <si>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</si>
  <si>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</si>
  <si>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</si>
  <si>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</si>
  <si>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</si>
  <si>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</si>
  <si>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</si>
  <si>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</si>
  <si>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</si>
  <si>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</si>
  <si>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</si>
  <si>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</si>
  <si>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</si>
  <si>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</si>
  <si>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</si>
  <si>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</si>
  <si>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</si>
  <si>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</si>
  <si>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</si>
  <si>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</si>
  <si>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</si>
  <si>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</si>
  <si>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</si>
  <si>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</si>
  <si>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</si>
  <si>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</si>
  <si>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</si>
  <si>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</si>
  <si>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</si>
  <si>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</si>
  <si>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</si>
  <si>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</si>
  <si>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</si>
  <si>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</si>
  <si>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</si>
  <si>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</si>
  <si>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</si>
  <si>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</si>
  <si>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</si>
  <si>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</si>
  <si>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</si>
  <si>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</si>
  <si>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</si>
  <si>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</si>
  <si>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</si>
  <si>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</si>
  <si>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</si>
  <si>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</si>
  <si>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</si>
  <si>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</si>
  <si>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</si>
  <si>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</si>
  <si>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</si>
  <si>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</si>
  <si>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</si>
  <si>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</si>
  <si>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</si>
  <si>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</si>
  <si>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</si>
  <si>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</si>
  <si>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</si>
  <si>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</si>
  <si>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</si>
  <si>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</si>
  <si>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</si>
  <si>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</si>
  <si>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</si>
  <si>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</si>
  <si>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</si>
  <si>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</si>
  <si>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</si>
  <si>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</si>
  <si>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</si>
  <si>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</si>
  <si>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</si>
  <si>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</si>
  <si>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</si>
  <si>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</si>
  <si>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</si>
  <si>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</si>
  <si>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</si>
  <si>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</si>
  <si>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</si>
  <si>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</si>
  <si>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</si>
  <si>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</si>
  <si>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</si>
  <si>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</si>
  <si>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</si>
  <si>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</si>
  <si>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</si>
  <si>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</si>
  <si>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</si>
  <si>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</si>
  <si>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</si>
  <si>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</si>
  <si>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</si>
  <si>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</si>
  <si>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</si>
  <si>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</si>
  <si>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</si>
  <si>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</si>
  <si>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</si>
  <si>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</si>
  <si>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</si>
  <si>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</si>
  <si>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</si>
  <si>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</si>
  <si>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</si>
  <si>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</si>
  <si>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</si>
  <si>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</si>
  <si>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</si>
  <si>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</si>
  <si>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</si>
  <si>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</si>
  <si>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</si>
  <si>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</si>
  <si>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</si>
  <si>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</si>
  <si>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</si>
  <si>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</si>
  <si>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</si>
  <si>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</si>
  <si>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</si>
  <si>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</si>
  <si>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</si>
  <si>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</si>
  <si>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</si>
  <si>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</si>
  <si>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</si>
  <si>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</si>
  <si>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</si>
  <si>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</si>
  <si>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</si>
  <si>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</si>
  <si>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</si>
  <si>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</si>
  <si>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</si>
  <si>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</si>
  <si>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</si>
  <si>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</si>
  <si>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</si>
  <si>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</si>
  <si>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</si>
  <si>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</si>
  <si>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</si>
  <si>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</si>
  <si>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</si>
  <si>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</si>
  <si>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</si>
  <si>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</si>
  <si>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</si>
  <si>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</si>
  <si>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</si>
  <si>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</si>
  <si>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</si>
  <si>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</si>
  <si>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</si>
  <si>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</si>
  <si>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</si>
  <si>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</si>
  <si>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</si>
  <si>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</si>
  <si>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</si>
  <si>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</si>
  <si>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</si>
  <si>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</si>
  <si>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</si>
  <si>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</si>
  <si>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</si>
  <si>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</si>
  <si>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</si>
  <si>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</si>
  <si>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</si>
  <si>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</si>
  <si>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</si>
  <si>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</si>
  <si>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</si>
  <si>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</si>
  <si>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</si>
  <si>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</si>
  <si>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</si>
  <si>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</si>
  <si>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</si>
  <si>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</si>
  <si>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</si>
  <si>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</si>
  <si>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</si>
  <si>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</si>
  <si>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</si>
  <si>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</si>
  <si>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</si>
  <si>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</si>
  <si>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</si>
  <si>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</si>
  <si>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</si>
  <si>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</si>
  <si>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</si>
  <si>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</si>
  <si>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</si>
  <si>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</si>
  <si>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</si>
  <si>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</si>
  <si>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</si>
  <si>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</si>
  <si>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</si>
  <si>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</si>
  <si>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</si>
  <si>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</si>
  <si>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</si>
  <si>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</si>
  <si>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</si>
  <si>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</si>
  <si>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</si>
  <si>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</si>
  <si>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</si>
  <si>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</si>
  <si>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</si>
  <si>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</si>
  <si>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</si>
  <si>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</si>
  <si>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</si>
  <si>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</si>
  <si>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</si>
  <si>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</si>
  <si>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</si>
  <si>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</si>
  <si>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</si>
  <si>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</si>
  <si>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</si>
  <si>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</si>
  <si>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</si>
  <si>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</si>
  <si>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</si>
  <si>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</si>
  <si>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</si>
  <si>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</si>
  <si>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</si>
  <si>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</si>
  <si>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</si>
  <si>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</si>
  <si>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</si>
  <si>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</si>
  <si>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</si>
  <si>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</si>
  <si>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</si>
  <si>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</si>
  <si>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</si>
  <si>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</si>
  <si>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</si>
  <si>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</si>
  <si>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</si>
  <si>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</si>
  <si>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</si>
  <si>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</si>
  <si>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</si>
  <si>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</si>
  <si>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</si>
  <si>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</si>
  <si>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</si>
  <si>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</si>
  <si>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</si>
  <si>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</si>
  <si>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</si>
  <si>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</si>
  <si>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</si>
  <si>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</si>
  <si>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</si>
  <si>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</si>
  <si>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</si>
  <si>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</si>
  <si>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</si>
  <si>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</si>
  <si>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</si>
  <si>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</si>
  <si>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</si>
  <si>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</si>
  <si>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</si>
  <si>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</si>
  <si>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</si>
  <si>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</si>
  <si>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</si>
  <si>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</si>
  <si>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</si>
  <si>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</si>
  <si>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</si>
  <si>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</si>
  <si>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</si>
  <si>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</si>
  <si>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</si>
  <si>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</si>
  <si>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</si>
  <si>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</si>
  <si>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</si>
  <si>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</si>
  <si>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</si>
  <si>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</si>
  <si>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</si>
  <si>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</si>
  <si>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</si>
  <si>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</si>
  <si>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</si>
  <si>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</si>
  <si>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</si>
  <si>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</si>
  <si>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</si>
  <si>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</si>
  <si>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</si>
  <si>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</si>
  <si>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</si>
  <si>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</si>
  <si>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</si>
  <si>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</si>
  <si>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</si>
  <si>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</si>
  <si>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</si>
  <si>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</si>
  <si>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</si>
  <si>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</si>
  <si>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</si>
  <si>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</si>
  <si>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</si>
  <si>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</si>
  <si>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</si>
  <si>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</si>
  <si>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</si>
  <si>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</si>
  <si>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</si>
  <si>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</si>
  <si>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</si>
  <si>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</si>
  <si>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</si>
  <si>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</si>
  <si>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</si>
  <si>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</si>
  <si>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</si>
  <si>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</si>
  <si>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</si>
  <si>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</si>
  <si>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</si>
  <si>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</si>
  <si>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</si>
  <si>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</si>
  <si>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</si>
  <si>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</si>
  <si>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</si>
  <si>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</si>
  <si>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</si>
  <si>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</si>
  <si>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</si>
  <si>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</si>
  <si>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</si>
  <si>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</si>
  <si>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</si>
  <si>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</si>
  <si>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</si>
  <si>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</si>
  <si>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</si>
  <si>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</si>
  <si>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</si>
  <si>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</si>
  <si>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</si>
  <si>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</si>
  <si>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</si>
  <si>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</si>
  <si>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</si>
  <si>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</si>
  <si>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</si>
  <si>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</si>
  <si>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</si>
  <si>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</si>
  <si>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</si>
  <si>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</si>
  <si>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</si>
  <si>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</si>
  <si>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</si>
  <si>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</si>
  <si>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</si>
  <si>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</si>
  <si>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</si>
  <si>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</si>
  <si>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</si>
  <si>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</si>
  <si>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</si>
  <si>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</si>
  <si>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</si>
  <si>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</si>
  <si>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</si>
  <si>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</si>
  <si>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</si>
  <si>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</si>
  <si>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</si>
  <si>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</si>
  <si>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</si>
  <si>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</si>
  <si>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</si>
  <si>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</si>
  <si>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</si>
  <si>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</si>
  <si>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</si>
  <si>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</si>
  <si>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</si>
  <si>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</si>
  <si>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</si>
  <si>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</si>
  <si>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</si>
  <si>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</si>
  <si>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</si>
  <si>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</si>
  <si>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</si>
  <si>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</si>
  <si>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</si>
  <si>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</si>
  <si>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</si>
  <si>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</si>
  <si>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</si>
  <si>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</si>
  <si>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</si>
  <si>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</si>
  <si>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</si>
  <si>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</si>
  <si>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</si>
  <si>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</si>
  <si>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</si>
  <si>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</si>
  <si>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</si>
  <si>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</si>
  <si>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</si>
  <si>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</si>
  <si>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</si>
  <si>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</si>
  <si>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</si>
  <si>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</si>
  <si>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</si>
  <si>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</si>
  <si>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</si>
  <si>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</si>
  <si>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</si>
  <si>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</si>
  <si>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</si>
  <si>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</si>
  <si>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</si>
  <si>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</si>
  <si>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</si>
  <si>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</si>
  <si>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</si>
  <si>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</si>
  <si>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</si>
  <si>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</si>
  <si>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</si>
  <si>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</si>
  <si>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</si>
  <si>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</si>
  <si>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</si>
  <si>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</si>
  <si>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</si>
  <si>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</si>
  <si>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</si>
  <si>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</si>
  <si>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</si>
  <si>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</si>
  <si>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</si>
  <si>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</si>
  <si>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</si>
  <si>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</si>
  <si>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</si>
  <si>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</si>
  <si>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</si>
  <si>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</si>
  <si>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</si>
  <si>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</si>
  <si>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</si>
  <si>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</si>
  <si>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</si>
  <si>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</si>
  <si>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</si>
  <si>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</si>
  <si>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</si>
  <si>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</si>
  <si>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</si>
  <si>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</si>
  <si>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</si>
  <si>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</si>
  <si>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</si>
  <si>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</si>
  <si>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</si>
  <si>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</si>
  <si>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</si>
  <si>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</si>
  <si>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</si>
  <si>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</si>
  <si>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</si>
  <si>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</si>
  <si>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</si>
  <si>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</si>
  <si>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</si>
  <si>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</si>
  <si>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</si>
  <si>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</si>
  <si>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</si>
  <si>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</si>
  <si>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</si>
  <si>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</si>
  <si>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</si>
  <si>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</si>
  <si>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</si>
  <si>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</si>
  <si>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</si>
  <si>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</si>
  <si>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</si>
  <si>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</si>
  <si>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</si>
  <si>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</si>
  <si>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</si>
  <si>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</si>
  <si>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</si>
  <si>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</si>
  <si>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</si>
  <si>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</si>
  <si>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</si>
  <si>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</si>
  <si>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</si>
  <si>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</si>
  <si>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</si>
  <si>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</si>
  <si>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</si>
  <si>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</si>
  <si>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</si>
  <si>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</si>
  <si>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</si>
  <si>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</si>
  <si>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</si>
  <si>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</si>
  <si>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</si>
  <si>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</si>
  <si>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</si>
  <si>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</si>
  <si>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</si>
  <si>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</si>
  <si>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</si>
  <si>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</si>
  <si>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</si>
  <si>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</si>
  <si>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</si>
  <si>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</si>
  <si>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</si>
  <si>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</si>
  <si>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</si>
  <si>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</si>
  <si>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</si>
  <si>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</si>
  <si>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</si>
  <si>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</si>
  <si>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</si>
  <si>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</si>
  <si>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</si>
  <si>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</si>
  <si>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</si>
  <si>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</si>
  <si>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</si>
  <si>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</si>
  <si>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</si>
  <si>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</si>
  <si>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</si>
  <si>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</si>
  <si>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</si>
  <si>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</si>
  <si>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</si>
  <si>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</si>
  <si>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</si>
  <si>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</si>
  <si>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</si>
  <si>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</si>
  <si>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</si>
  <si>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</si>
  <si>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</si>
  <si>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</si>
  <si>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</si>
  <si>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</si>
  <si>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</si>
  <si>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</si>
  <si>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</si>
  <si>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</si>
  <si>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</si>
  <si>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</si>
  <si>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</si>
  <si>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</si>
  <si>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</si>
  <si>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</si>
  <si>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</si>
  <si>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</si>
  <si>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</si>
  <si>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</si>
  <si>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</si>
  <si>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</si>
  <si>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</si>
  <si>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</si>
  <si>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</si>
  <si>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</si>
  <si>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</si>
  <si>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</si>
  <si>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</si>
  <si>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</si>
  <si>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</si>
  <si>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</si>
  <si>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</si>
  <si>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</si>
  <si>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</si>
  <si>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</si>
  <si>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</si>
  <si>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</si>
  <si>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</si>
  <si>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</si>
  <si>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</si>
  <si>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</si>
  <si>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</si>
  <si>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</si>
  <si>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</si>
  <si>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</si>
  <si>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</si>
  <si>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</si>
  <si>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</si>
  <si>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</si>
  <si>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</si>
  <si>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</si>
  <si>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</si>
  <si>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</si>
  <si>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</si>
  <si>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</si>
  <si>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</si>
  <si>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</si>
  <si>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</si>
  <si>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</si>
  <si>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</si>
  <si>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</si>
  <si>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</si>
  <si>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</si>
  <si>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</si>
  <si>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</si>
  <si>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</si>
  <si>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</si>
  <si>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</si>
  <si>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</si>
  <si>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</si>
  <si>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</si>
  <si>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</si>
  <si>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</si>
  <si>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</si>
  <si>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</si>
  <si>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</si>
  <si>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</si>
  <si>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</si>
  <si>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</si>
  <si>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</si>
  <si>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</si>
  <si>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</si>
  <si>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</si>
  <si>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</si>
  <si>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</si>
  <si>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</si>
  <si>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</si>
  <si>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</si>
  <si>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</si>
  <si>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</si>
  <si>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</si>
  <si>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</si>
  <si>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</si>
  <si>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</si>
  <si>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</si>
  <si>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</si>
  <si>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</si>
  <si>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</si>
  <si>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</si>
  <si>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</si>
  <si>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</si>
  <si>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</si>
  <si>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</si>
  <si>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</si>
  <si>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</si>
  <si>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</si>
  <si>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</si>
  <si>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</si>
  <si>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</si>
  <si>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</si>
  <si>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</si>
  <si>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</si>
  <si>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</si>
  <si>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</si>
  <si>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</si>
  <si>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</si>
  <si>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</si>
  <si>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</si>
  <si>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</si>
  <si>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</si>
  <si>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</si>
  <si>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</si>
  <si>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</si>
  <si>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</si>
  <si>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</si>
  <si>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</si>
  <si>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</si>
  <si>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</si>
  <si>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</si>
  <si>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</si>
  <si>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</si>
  <si>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</si>
  <si>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</si>
  <si>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</si>
  <si>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</si>
  <si>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</si>
  <si>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</si>
  <si>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</si>
  <si>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</si>
  <si>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</si>
  <si>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</si>
  <si>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</si>
  <si>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</si>
  <si>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</si>
  <si>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</si>
  <si>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</si>
  <si>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</si>
  <si>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</si>
  <si>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</si>
  <si>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</si>
  <si>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</si>
  <si>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</si>
  <si>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</si>
  <si>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</si>
  <si>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</si>
  <si>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</si>
  <si>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</si>
  <si>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</si>
  <si>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</si>
  <si>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</si>
  <si>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</si>
  <si>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</si>
  <si>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</si>
  <si>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</si>
  <si>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</si>
  <si>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</si>
  <si>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</si>
  <si>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</si>
  <si>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</si>
  <si>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</si>
  <si>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</si>
  <si>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</si>
  <si>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</si>
  <si>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</si>
  <si>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</si>
  <si>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</si>
  <si>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</si>
  <si>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</si>
  <si>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</si>
  <si>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</si>
  <si>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</si>
  <si>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</si>
  <si>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</si>
  <si>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</si>
  <si>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</si>
  <si>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</si>
  <si>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</si>
  <si>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</si>
  <si>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</si>
  <si>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</si>
  <si>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</si>
  <si>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</si>
  <si>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</si>
  <si>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</si>
  <si>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</si>
  <si>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</si>
  <si>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</si>
  <si>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</si>
  <si>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</si>
  <si>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</si>
  <si>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</si>
  <si>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</si>
  <si>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</si>
  <si>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</si>
  <si>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</si>
  <si>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</si>
  <si>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</si>
  <si>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</si>
  <si>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</si>
  <si>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</si>
  <si>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</si>
  <si>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</si>
  <si>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</si>
  <si>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</si>
  <si>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</si>
  <si>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</si>
  <si>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</si>
  <si>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</si>
  <si>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</si>
  <si>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</si>
  <si>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</si>
  <si>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</si>
  <si>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</si>
  <si>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</si>
  <si>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</si>
  <si>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</si>
  <si>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</si>
  <si>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</si>
  <si>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</si>
  <si>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</si>
  <si>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</si>
  <si>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</si>
  <si>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</si>
  <si>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</si>
  <si>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</si>
  <si>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</si>
  <si>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</si>
  <si>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</si>
  <si>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</si>
  <si>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</si>
  <si>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</si>
  <si>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</si>
  <si>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</si>
  <si>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</si>
  <si>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</si>
  <si>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</si>
  <si>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</si>
  <si>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</si>
  <si>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</si>
  <si>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</si>
  <si>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</si>
  <si>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</si>
  <si>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</si>
  <si>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</si>
  <si>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</si>
  <si>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</si>
  <si>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</si>
  <si>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</si>
  <si>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</si>
  <si>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</si>
  <si>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</si>
  <si>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</si>
  <si>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</si>
  <si>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</si>
  <si>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</si>
  <si>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</si>
  <si>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</si>
  <si>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</si>
  <si>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</si>
  <si>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</si>
  <si>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</si>
  <si>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</si>
  <si>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</si>
  <si>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</si>
  <si>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</si>
  <si>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</si>
  <si>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</si>
  <si>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</si>
  <si>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</si>
  <si>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</si>
  <si>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</si>
  <si>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</si>
  <si>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</si>
  <si>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</si>
  <si>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</si>
  <si>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</si>
  <si>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</si>
  <si>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</si>
  <si>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</si>
  <si>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</si>
  <si>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</si>
  <si>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</si>
  <si>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</si>
  <si>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</si>
  <si>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</si>
  <si>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</si>
  <si>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</si>
  <si>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</si>
  <si>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</si>
  <si>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</si>
  <si>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</si>
  <si>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</si>
  <si>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</si>
  <si>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</si>
  <si>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</si>
  <si>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</si>
  <si>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</si>
  <si>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</si>
  <si>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</si>
  <si>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</si>
  <si>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</si>
  <si>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</si>
  <si>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</si>
  <si>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</si>
  <si>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</si>
  <si>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</si>
  <si>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</si>
  <si>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</si>
  <si>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</si>
  <si>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</si>
  <si>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</si>
  <si>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</si>
  <si>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</si>
  <si>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</si>
  <si>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</si>
  <si>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</si>
  <si>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</si>
  <si>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</si>
  <si>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</si>
  <si>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</si>
  <si>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</si>
  <si>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</si>
  <si>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</si>
  <si>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</si>
  <si>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</si>
  <si>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</si>
  <si>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</si>
  <si>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</si>
  <si>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</si>
  <si>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</si>
  <si>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</si>
  <si>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</si>
  <si>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</si>
  <si>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</si>
  <si>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</si>
  <si>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</si>
  <si>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</si>
  <si>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</si>
  <si>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</si>
  <si>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</si>
  <si>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</si>
  <si>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</si>
  <si>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</si>
  <si>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</si>
  <si>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</si>
  <si>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</si>
  <si>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</si>
  <si>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</si>
  <si>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</si>
  <si>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</si>
  <si>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</si>
  <si>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</si>
  <si>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</si>
  <si>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</si>
  <si>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</si>
  <si>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</si>
  <si>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</si>
  <si>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</si>
  <si>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</si>
  <si>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</si>
  <si>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</si>
  <si>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</si>
  <si>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</si>
  <si>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</si>
  <si>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</si>
  <si>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</si>
  <si>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</si>
  <si>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</si>
  <si>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</si>
  <si>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</si>
  <si>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</si>
  <si>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</si>
  <si>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</si>
  <si>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</si>
  <si>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</si>
  <si>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</si>
  <si>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</si>
  <si>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</si>
  <si>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</si>
  <si>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</si>
  <si>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</si>
  <si>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</si>
  <si>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</si>
  <si>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</si>
  <si>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</si>
  <si>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</si>
  <si>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</si>
  <si>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</si>
  <si>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</si>
  <si>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</si>
  <si>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</si>
  <si>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</si>
  <si>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</si>
  <si>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</si>
  <si>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</si>
  <si>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</si>
  <si>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</si>
  <si>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</si>
  <si>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</si>
  <si>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</si>
  <si>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</si>
  <si>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</si>
  <si>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</si>
  <si>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</si>
  <si>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</si>
  <si>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</si>
  <si>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</si>
  <si>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</si>
  <si>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</si>
  <si>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</si>
  <si>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</si>
  <si>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</si>
  <si>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</si>
  <si>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</si>
  <si>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</si>
  <si>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</si>
  <si>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</si>
  <si>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</si>
  <si>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</si>
  <si>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</si>
  <si>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</si>
  <si>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</si>
  <si>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</si>
  <si>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</si>
  <si>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</si>
  <si>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</si>
  <si>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</si>
  <si>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</si>
  <si>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</si>
  <si>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</si>
  <si>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</si>
  <si>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</si>
  <si>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</si>
  <si>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</si>
  <si>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</si>
  <si>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</si>
  <si>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</si>
  <si>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</si>
  <si>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</si>
  <si>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</si>
  <si>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</si>
  <si>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</si>
  <si>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</si>
  <si>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</si>
  <si>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</si>
  <si>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</si>
  <si>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</si>
  <si>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</si>
  <si>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</si>
  <si>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</si>
  <si>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</si>
  <si>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</si>
  <si>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</si>
  <si>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</si>
  <si>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</si>
  <si>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</si>
  <si>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</si>
  <si>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</si>
  <si>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</si>
  <si>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</si>
  <si>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</si>
  <si>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</si>
  <si>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</si>
  <si>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</si>
  <si>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</si>
  <si>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</si>
  <si>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</si>
  <si>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</si>
  <si>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</si>
  <si>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</si>
  <si>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</si>
  <si>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</si>
  <si>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</si>
  <si>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</si>
  <si>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</si>
  <si>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</si>
  <si>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</si>
  <si>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</si>
  <si>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</si>
  <si>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</si>
  <si>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</si>
  <si>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</si>
  <si>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</si>
  <si>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</si>
  <si>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</si>
  <si>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</si>
  <si>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</si>
  <si>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</si>
  <si>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</si>
  <si>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</si>
  <si>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</si>
  <si>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</si>
  <si>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</si>
  <si>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</si>
  <si>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</si>
  <si>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</si>
  <si>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</si>
  <si>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</si>
  <si>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</si>
  <si>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</si>
  <si>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</si>
  <si>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</si>
  <si>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</si>
  <si>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</si>
  <si>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</si>
  <si>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</si>
  <si>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</si>
  <si>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</si>
  <si>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</si>
  <si>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</si>
  <si>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</si>
  <si>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</si>
  <si>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</si>
  <si>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</si>
  <si>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</si>
  <si>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</si>
  <si>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</si>
  <si>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</si>
  <si>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</si>
  <si>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</si>
  <si>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</si>
  <si>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</si>
  <si>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</si>
  <si>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</si>
  <si>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</si>
  <si>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</si>
  <si>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</si>
  <si>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</si>
  <si>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</si>
  <si>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</si>
  <si>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</si>
  <si>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</si>
  <si>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</si>
  <si>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</si>
  <si>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</si>
  <si>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</si>
  <si>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</si>
  <si>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</si>
  <si>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</si>
  <si>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</si>
  <si>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</si>
  <si>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</si>
  <si>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</si>
  <si>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</si>
  <si>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</si>
  <si>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</si>
  <si>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</si>
  <si>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</si>
  <si>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</si>
  <si>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</si>
  <si>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</si>
  <si>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</si>
  <si>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</si>
  <si>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</si>
  <si>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</si>
  <si>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</si>
  <si>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</si>
  <si>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</si>
  <si>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</si>
  <si>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</si>
  <si>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</si>
  <si>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</si>
  <si>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</si>
  <si>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</si>
  <si>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</si>
  <si>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</si>
  <si>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</si>
  <si>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</si>
  <si>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</si>
  <si>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</si>
  <si>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</si>
  <si>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</si>
  <si>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</si>
  <si>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</si>
  <si>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</si>
  <si>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</si>
  <si>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</si>
  <si>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</si>
  <si>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</si>
  <si>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</si>
  <si>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</si>
  <si>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</si>
  <si>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</si>
  <si>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</si>
  <si>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</si>
  <si>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</si>
  <si>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</si>
  <si>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</si>
  <si>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</si>
  <si>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</si>
  <si>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</si>
  <si>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</si>
  <si>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</si>
  <si>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</si>
  <si>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</si>
  <si>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</si>
  <si>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</si>
  <si>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</si>
  <si>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</si>
  <si>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</si>
  <si>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</si>
  <si>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</si>
  <si>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</si>
  <si>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</si>
  <si>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</si>
  <si>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</si>
  <si>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</si>
  <si>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</si>
  <si>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</si>
  <si>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</si>
  <si>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</si>
  <si>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</si>
  <si>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</si>
  <si>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</si>
  <si>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</si>
  <si>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</si>
  <si>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</si>
  <si>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</si>
  <si>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</si>
  <si>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</si>
  <si>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</si>
  <si>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</si>
  <si>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</si>
  <si>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</si>
  <si>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</si>
  <si>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</si>
  <si>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</si>
  <si>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</si>
  <si>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</si>
  <si>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</si>
  <si>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</si>
  <si>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</si>
  <si>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</si>
  <si>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</si>
  <si>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</si>
  <si>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</si>
  <si>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</si>
  <si>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</si>
  <si>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</si>
  <si>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</si>
  <si>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</si>
  <si>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</si>
  <si>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</si>
  <si>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</si>
  <si>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</si>
  <si>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</si>
  <si>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</si>
  <si>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</si>
  <si>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</si>
  <si>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</si>
  <si>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</si>
  <si>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</si>
  <si>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</si>
  <si>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</si>
  <si>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</si>
  <si>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</si>
  <si>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</si>
  <si>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</si>
  <si>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</si>
  <si>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</si>
  <si>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</si>
  <si>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</si>
  <si>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</si>
  <si>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</si>
  <si>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</si>
  <si>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</si>
  <si>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</si>
  <si>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</si>
  <si>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</si>
  <si>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</si>
  <si>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</si>
  <si>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</si>
  <si>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</si>
  <si>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</si>
  <si>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</si>
  <si>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</si>
  <si>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</si>
  <si>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</si>
  <si>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</si>
  <si>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</si>
  <si>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</si>
  <si>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</si>
  <si>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</si>
  <si>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</si>
  <si>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</si>
  <si>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</si>
  <si>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</si>
  <si>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</si>
  <si>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</si>
  <si>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</si>
  <si>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</si>
  <si>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</si>
  <si>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</si>
  <si>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</si>
  <si>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</si>
  <si>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</si>
  <si>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</si>
  <si>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</si>
  <si>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</si>
  <si>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</si>
  <si>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</si>
  <si>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</si>
  <si>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</si>
  <si>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</si>
  <si>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</si>
  <si>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</si>
  <si>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</si>
  <si>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</si>
  <si>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</si>
  <si>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</si>
  <si>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</si>
  <si>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</si>
  <si>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</si>
  <si>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</si>
  <si>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</si>
  <si>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</si>
  <si>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</si>
  <si>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</si>
  <si>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</si>
  <si>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</si>
  <si>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</si>
  <si>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</si>
  <si>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</si>
  <si>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</si>
  <si>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</si>
  <si>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</si>
  <si>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</si>
  <si>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</si>
  <si>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</si>
  <si>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</si>
  <si>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</si>
  <si>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</si>
  <si>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</si>
  <si>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</si>
  <si>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</si>
  <si>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</si>
  <si>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</si>
  <si>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</si>
  <si>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</si>
  <si>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</si>
  <si>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</si>
  <si>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</si>
  <si>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</si>
  <si>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</si>
  <si>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</si>
  <si>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</si>
  <si>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</si>
  <si>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</si>
  <si>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</si>
  <si>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</si>
  <si>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</si>
  <si>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</si>
  <si>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</si>
  <si>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</si>
  <si>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</si>
  <si>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</si>
  <si>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</si>
  <si>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</si>
  <si>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</si>
  <si>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</si>
  <si>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</si>
  <si>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</si>
  <si>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</si>
  <si>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</si>
  <si>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</si>
  <si>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</si>
  <si>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</si>
  <si>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</si>
  <si>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</si>
  <si>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</si>
  <si>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</si>
  <si>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</si>
  <si>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</si>
  <si>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</si>
  <si>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</si>
  <si>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</si>
  <si>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</si>
  <si>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</si>
  <si>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</si>
  <si>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</si>
  <si>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</si>
  <si>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</si>
  <si>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</si>
  <si>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</si>
  <si>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</si>
  <si>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</si>
  <si>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</si>
  <si>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</si>
  <si>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</si>
  <si>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</si>
  <si>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</si>
  <si>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</si>
  <si>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</si>
  <si>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</si>
  <si>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</si>
  <si>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</si>
  <si>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</si>
  <si>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</si>
  <si>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</si>
  <si>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</si>
  <si>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</si>
  <si>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</si>
  <si>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</si>
  <si>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</si>
  <si>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</si>
  <si>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</si>
  <si>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</si>
  <si>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</si>
  <si>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</si>
  <si>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</si>
  <si>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</si>
  <si>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</si>
  <si>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</si>
  <si>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</si>
  <si>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</si>
  <si>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</si>
  <si>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</si>
  <si>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</si>
  <si>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</si>
  <si>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</si>
  <si>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</si>
  <si>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</si>
  <si>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</si>
  <si>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</si>
  <si>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</si>
  <si>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</si>
  <si>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</si>
  <si>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</si>
  <si>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</si>
  <si>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</si>
  <si>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</si>
  <si>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</si>
  <si>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</si>
  <si>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</si>
  <si>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</si>
  <si>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</si>
  <si>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</si>
  <si>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</si>
  <si>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</si>
  <si>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</si>
  <si>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</si>
  <si>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</si>
  <si>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</si>
  <si>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</si>
  <si>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</si>
  <si>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</si>
  <si>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</si>
  <si>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</si>
  <si>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</si>
  <si>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</si>
  <si>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</si>
  <si>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</si>
  <si>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</si>
  <si>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</si>
  <si>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</si>
  <si>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</si>
  <si>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</si>
  <si>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</si>
  <si>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</si>
  <si>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</si>
  <si>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</si>
  <si>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</si>
  <si>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</si>
  <si>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</si>
  <si>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</si>
  <si>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</si>
  <si>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</si>
  <si>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</si>
  <si>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</si>
  <si>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</si>
  <si>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</si>
  <si>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</si>
  <si>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</si>
  <si>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</si>
  <si>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</si>
  <si>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</si>
  <si>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</si>
  <si>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</si>
  <si>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</si>
  <si>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</si>
  <si>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</si>
  <si>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</si>
  <si>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</si>
  <si>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</si>
  <si>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</si>
  <si>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</si>
  <si>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</si>
  <si>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</si>
  <si>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</si>
  <si>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</si>
  <si>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</si>
  <si>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</si>
  <si>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</si>
  <si>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</si>
  <si>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</si>
  <si>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</si>
  <si>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</si>
  <si>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</si>
  <si>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</si>
  <si>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</si>
  <si>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</si>
  <si>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</si>
  <si>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</si>
  <si>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</si>
  <si>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</si>
  <si>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</si>
  <si>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</si>
  <si>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</si>
  <si>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</si>
  <si>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</si>
  <si>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</si>
  <si>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</si>
  <si>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</si>
  <si>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</si>
  <si>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</si>
  <si>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</si>
  <si>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</si>
  <si>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</si>
  <si>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</si>
  <si>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</si>
  <si>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</si>
  <si>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</si>
  <si>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</si>
  <si>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</si>
  <si>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</si>
  <si>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</si>
  <si>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</si>
  <si>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</si>
  <si>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</si>
  <si>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</si>
  <si>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</si>
  <si>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</si>
  <si>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</si>
  <si>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</si>
  <si>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</si>
  <si>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</si>
  <si>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</si>
  <si>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</si>
  <si>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</si>
  <si>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</si>
  <si>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</si>
  <si>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</si>
  <si>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</si>
  <si>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</si>
  <si>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</si>
  <si>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</si>
  <si>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</si>
  <si>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</si>
  <si>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</si>
  <si>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</si>
  <si>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</si>
  <si>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</si>
  <si>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</si>
  <si>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</si>
  <si>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</si>
  <si>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</si>
  <si>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</si>
  <si>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</si>
  <si>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</si>
  <si>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</si>
  <si>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</si>
  <si>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</si>
  <si>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</si>
  <si>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</si>
  <si>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</si>
  <si>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</si>
  <si>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</si>
  <si>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</si>
  <si>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</si>
  <si>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</si>
  <si>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</si>
  <si>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</si>
  <si>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</si>
  <si>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</si>
  <si>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</si>
  <si>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</si>
  <si>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</si>
  <si>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</si>
  <si>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</si>
  <si>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</si>
  <si>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</si>
  <si>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</si>
  <si>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</si>
  <si>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</si>
  <si>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</si>
  <si>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</si>
  <si>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</si>
  <si>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</si>
  <si>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</si>
  <si>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</si>
  <si>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</si>
  <si>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</si>
  <si>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</si>
  <si>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</si>
  <si>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</si>
  <si>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</si>
  <si>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</si>
  <si>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</si>
  <si>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</si>
  <si>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</si>
  <si>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</si>
  <si>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</si>
  <si>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</si>
  <si>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</si>
  <si>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</si>
  <si>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</si>
  <si>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</si>
  <si>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</si>
  <si>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</si>
  <si>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</si>
  <si>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</si>
  <si>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</si>
  <si>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</si>
  <si>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</si>
  <si>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</si>
  <si>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</si>
  <si>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</si>
  <si>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</si>
  <si>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</si>
  <si>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</si>
  <si>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</si>
  <si>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</si>
  <si>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</si>
  <si>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</si>
  <si>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</si>
  <si>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</si>
  <si>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</si>
  <si>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</si>
  <si>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</si>
  <si>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</si>
  <si>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</si>
  <si>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</si>
  <si>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</si>
  <si>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</si>
  <si>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</si>
  <si>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</si>
  <si>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</si>
  <si>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</si>
  <si>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</si>
  <si>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</si>
  <si>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</si>
  <si>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</si>
  <si>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</si>
  <si>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</si>
  <si>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</si>
  <si>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</si>
  <si>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</si>
  <si>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</si>
  <si>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</si>
  <si>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</si>
  <si>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</si>
  <si>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</si>
  <si>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</si>
  <si>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</si>
  <si>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</si>
  <si>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</si>
  <si>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</si>
  <si>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</si>
  <si>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</si>
  <si>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</si>
  <si>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</si>
  <si>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</si>
  <si>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</si>
  <si>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</si>
  <si>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</si>
  <si>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</si>
  <si>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</si>
  <si>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</si>
  <si>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</si>
  <si>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</si>
  <si>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</si>
  <si>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</si>
  <si>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</si>
  <si>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</si>
  <si>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</si>
  <si>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</si>
  <si>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</si>
  <si>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</si>
  <si>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</si>
  <si>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</si>
  <si>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</si>
  <si>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</si>
  <si>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</si>
  <si>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</si>
  <si>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</si>
  <si>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</si>
  <si>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</si>
  <si>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</si>
  <si>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</si>
  <si>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</si>
  <si>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</si>
  <si>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</si>
  <si>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</si>
  <si>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</si>
  <si>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</si>
  <si>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</si>
  <si>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</si>
  <si>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</si>
  <si>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</si>
  <si>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</si>
  <si>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</si>
  <si>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</si>
  <si>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</si>
  <si>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</si>
  <si>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</si>
  <si>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</si>
  <si>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</si>
  <si>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</si>
  <si>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</si>
  <si>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</si>
  <si>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</si>
  <si>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</si>
  <si>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</si>
  <si>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</si>
  <si>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</si>
  <si>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</si>
  <si>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</si>
  <si>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</si>
  <si>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</si>
  <si>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</si>
  <si>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</si>
  <si>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</si>
  <si>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</si>
  <si>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王鹏</t>
  </si>
  <si>
    <t>郑燚</t>
  </si>
  <si>
    <t>抵押</t>
  </si>
  <si>
    <t>房地产抵押价值</t>
  </si>
  <si>
    <t>北京市</t>
  </si>
  <si>
    <t>企业</t>
  </si>
  <si>
    <t>出让</t>
  </si>
  <si>
    <t>Ⅶ-BDA东</t>
  </si>
  <si>
    <t>是</t>
  </si>
  <si>
    <t>独栋</t>
    <phoneticPr fontId="3" type="noConversion"/>
  </si>
  <si>
    <t>地上</t>
  </si>
  <si>
    <t>成新度</t>
  </si>
  <si>
    <t>收益法</t>
  </si>
  <si>
    <t>利息：取LPR加浮动点数</t>
  </si>
  <si>
    <t>未包含在土地购买价格中</t>
  </si>
  <si>
    <t>全部缴纳</t>
  </si>
  <si>
    <t>已包含在土地取得成本中</t>
  </si>
  <si>
    <t>工业用地</t>
  </si>
  <si>
    <t>不临58条商业街</t>
  </si>
  <si>
    <t>与级别开发程度不一致</t>
  </si>
  <si>
    <t>通路</t>
  </si>
  <si>
    <t>通电</t>
  </si>
  <si>
    <t>通讯</t>
  </si>
  <si>
    <t>通上水</t>
  </si>
  <si>
    <t>通下水</t>
  </si>
  <si>
    <t>通热</t>
  </si>
  <si>
    <t>平整</t>
  </si>
  <si>
    <t>容积率修正</t>
  </si>
  <si>
    <t>自定义容积率</t>
  </si>
  <si>
    <t>按公示增长率计算</t>
  </si>
  <si>
    <t>较好</t>
  </si>
  <si>
    <t>一般</t>
  </si>
  <si>
    <t>成本法</t>
  </si>
  <si>
    <t>总价</t>
  </si>
  <si>
    <t>成本比率</t>
  </si>
  <si>
    <t>独栋</t>
    <phoneticPr fontId="3" type="noConversion"/>
  </si>
  <si>
    <t>押一</t>
  </si>
  <si>
    <t>按租金收入计税</t>
  </si>
  <si>
    <t>钢混</t>
  </si>
  <si>
    <t>非生产用房</t>
  </si>
  <si>
    <t>地块名称</t>
  </si>
  <si>
    <t>用地性质</t>
  </si>
  <si>
    <t>建设用地面积</t>
  </si>
  <si>
    <t>规划建筑面积</t>
  </si>
  <si>
    <t>容积率</t>
  </si>
  <si>
    <t>出让方式</t>
  </si>
  <si>
    <t>详细规划</t>
  </si>
  <si>
    <t>集中供地</t>
  </si>
  <si>
    <t>成交日期</t>
  </si>
  <si>
    <t>成交状态</t>
  </si>
  <si>
    <t>受让单位</t>
  </si>
  <si>
    <t>成交价</t>
  </si>
  <si>
    <t>成交楼面价</t>
  </si>
  <si>
    <t>溢价率</t>
  </si>
  <si>
    <t>出让年限</t>
  </si>
  <si>
    <t>大兴区庞各庄镇区DX06-0103-6078地块(原PGZ03-78地块)项目工业用地国有建设用地使用权出让挂牌文件</t>
  </si>
  <si>
    <t>挂牌</t>
  </si>
  <si>
    <t>2022/3/100:00:43</t>
  </si>
  <si>
    <t>已成交</t>
  </si>
  <si>
    <t>国家电投集团氢能科技发展有限公司</t>
  </si>
  <si>
    <t>50年</t>
  </si>
  <si>
    <t>北京经济技术开发区0606街区YZ00-0606-0012地块工业项目国有建设用地使用权供应</t>
  </si>
  <si>
    <t>2022/2/80:00:43</t>
  </si>
  <si>
    <t>华海清科(北京)科技有限公司</t>
  </si>
  <si>
    <t>20年</t>
  </si>
  <si>
    <t>大兴新城东南片区0605-015E地块</t>
  </si>
  <si>
    <t>M2工业用地</t>
  </si>
  <si>
    <t>2021/12/310:00:43</t>
  </si>
  <si>
    <t>北京海德利森科技有限公司</t>
  </si>
  <si>
    <t>M1工业</t>
  </si>
  <si>
    <t>2021/12/240:00:43</t>
  </si>
  <si>
    <t>北京华封集芯电子有限公司</t>
  </si>
  <si>
    <t>大兴区庞各庄镇DX06-0103-6022地块一类工业用地</t>
  </si>
  <si>
    <t>招标</t>
  </si>
  <si>
    <t>2021/10/180:00:43</t>
  </si>
  <si>
    <t>北京安盾兰达智能科技有限公司</t>
  </si>
  <si>
    <t>北京市永乐经济开发区TZ10-0300-6009地块</t>
  </si>
  <si>
    <t>工业研发用地(M4)</t>
  </si>
  <si>
    <t>2021/10/120:00:43</t>
  </si>
  <si>
    <t>北京泰利数据科技发展有限公司</t>
  </si>
  <si>
    <t>大兴生物医药产业基地DX00-0501-0057地块M1一类工业用地国有建设用地使用权出让挂牌文件</t>
  </si>
  <si>
    <t>≤1.5</t>
  </si>
  <si>
    <t>2021/10/110:00:43</t>
  </si>
  <si>
    <t>北京谊安和瑞技术有限公司</t>
  </si>
  <si>
    <t>大兴生物医药产业基地DX00-0502-0045地块M1一类工业用地国有建设用地使用权出让挂牌文件</t>
  </si>
  <si>
    <t>≤0.8</t>
  </si>
  <si>
    <t>北京生物医药产业基地发展有限公司</t>
  </si>
  <si>
    <t>大兴生物医药产业基地DX00-0501-0051-1地块M1一类工业用地国有建设用地使用权出让挂牌文件</t>
  </si>
  <si>
    <t>北京巴瑞医疗器械有限公司</t>
  </si>
  <si>
    <t>大兴生物医药产业基地DX00-0501-0061地块M1一类工业用地国有建设用地使用权出让挂牌文件</t>
  </si>
  <si>
    <t>亦庄新城0302街区B9M1地块</t>
  </si>
  <si>
    <t>2021/9/270:00:43</t>
  </si>
  <si>
    <t>北京集电控股有限公司</t>
  </si>
  <si>
    <t>北京经济技术开发区路东区D9M3地块</t>
  </si>
  <si>
    <t>俐玛光电科技(北京)有限公司</t>
  </si>
  <si>
    <t>亦庄新城0803街区YZ00-0803-0405地块</t>
  </si>
  <si>
    <t>东南西北四至分别为瀛祥路、瀛元街、公园绿地、瀛腾巷</t>
  </si>
  <si>
    <t>2021/9/150:00:43</t>
  </si>
  <si>
    <t>艾美疫苗股份有限公司</t>
  </si>
  <si>
    <t>北京经济技术开发区0606街区YZ00-0606-0060地块</t>
  </si>
  <si>
    <t>≤0.7</t>
  </si>
  <si>
    <t>工业(M1)</t>
  </si>
  <si>
    <t>2021/9/70:00:43</t>
  </si>
  <si>
    <t>联华林德工业气体(北京)有限公司</t>
  </si>
  <si>
    <t>大兴生物医药产业基地DX00-0502-0029地块M1一类工业用地</t>
  </si>
  <si>
    <t>2021/8/250:00:43</t>
  </si>
  <si>
    <t>北京药康生物科技有限公司</t>
  </si>
  <si>
    <t>亦庄新城0104街区42M1地块工业项目</t>
  </si>
  <si>
    <t>≤2.0</t>
  </si>
  <si>
    <t>2021/8/160:00:43</t>
  </si>
  <si>
    <t>北京盛迪医药有限公司</t>
  </si>
  <si>
    <t>北京市通州区西集镇TZ07-0102-0052地块</t>
  </si>
  <si>
    <t>等于1.2</t>
  </si>
  <si>
    <t>M4工业研发用地</t>
  </si>
  <si>
    <t>2021/7/90:00:43</t>
  </si>
  <si>
    <t>北京通州发展集团有限公司</t>
  </si>
  <si>
    <t>北京市通州区西集镇TZ07-0102-0069地块国有建设用地使用权出让</t>
  </si>
  <si>
    <t>≤2</t>
  </si>
  <si>
    <t>北京市通州区西集镇TZ07-0102-0060地块</t>
  </si>
  <si>
    <t>2021/6/290:00:43</t>
  </si>
  <si>
    <t>西北工业大学</t>
  </si>
  <si>
    <t>北京大兴国际机场综合保税区0107-037地块M1工业用地国有建设用地使用权出让</t>
  </si>
  <si>
    <t>≤1</t>
  </si>
  <si>
    <t>M1工业用地</t>
  </si>
  <si>
    <t>2021/6/30:00:43</t>
  </si>
  <si>
    <t>北京航城兴达建设实业有限公司</t>
  </si>
  <si>
    <t>亦庄新城0606街区YZ00-0606-0032地块工业项目国有建设用地使用权挂牌供应公告</t>
  </si>
  <si>
    <t>2021/6/20:00:43</t>
  </si>
  <si>
    <t>北京北方华创微电子装备有限公司</t>
  </si>
  <si>
    <t>北京市经济技术开发区金桥产业基地B2-3-3-1地块</t>
  </si>
  <si>
    <t>≤1.2</t>
  </si>
  <si>
    <t>工业用地M1</t>
  </si>
  <si>
    <t>2021/5/190:00:43</t>
  </si>
  <si>
    <t>宝健(中国)有限公司</t>
  </si>
  <si>
    <t>北京经济技术开发区路东区B13M1、B14M1地块</t>
  </si>
  <si>
    <t>≤2.44</t>
  </si>
  <si>
    <t>工业用地(M1)</t>
  </si>
  <si>
    <t>2021/5/130:00:43</t>
  </si>
  <si>
    <t>北京经济技术开发区0701街区N5M5地块工业项目</t>
  </si>
  <si>
    <t>2021/4/200:00:43</t>
  </si>
  <si>
    <t>北京唯源立康生物科技有限公司</t>
  </si>
  <si>
    <t>亦庄新城0605街区B4-2-5-1地块</t>
  </si>
  <si>
    <t>2021/4/10:00:43</t>
  </si>
  <si>
    <t>北京亦庄京广科技创新有限公司</t>
  </si>
  <si>
    <t>2021/3/110:00:43</t>
  </si>
  <si>
    <t>北京科益虹源光电技术有限公司</t>
  </si>
  <si>
    <t>北京大兴国际机场综合保税区0107-106地块W1一类物流仓储用地国有建设用地使用权出让</t>
  </si>
  <si>
    <t>≤1.35</t>
  </si>
  <si>
    <t>2021/3/80:00:43</t>
  </si>
  <si>
    <t>北京航城兴晟商贸有限责任公司</t>
  </si>
  <si>
    <t>亦庄新城0605街区D1-4-4-1地块工业项目用地</t>
  </si>
  <si>
    <t>2021/2/20:00:43</t>
  </si>
  <si>
    <t>北京九州恒盛电力科技有限公司</t>
  </si>
  <si>
    <t>大兴区孙村组团产业区D-15-1地块工业用地国有建设用地使用权出让挂牌文件</t>
  </si>
  <si>
    <t>中科伟通(北京)科技发展有限公司</t>
  </si>
  <si>
    <t>北京市通州区漷县镇中心区西区产业用地TZ05-0101-6100、6104地块工业用地国有建设用地使用权出让挂牌文件</t>
  </si>
  <si>
    <t>M1一类工业用地</t>
  </si>
  <si>
    <t>2021/1/80:00:43</t>
  </si>
  <si>
    <t>北京福元医药股份有限公司</t>
  </si>
  <si>
    <t>亦庄新城0606街区YZ00-0606-0001地块M1一类工业用地国有建设用地使用权出让公告</t>
  </si>
  <si>
    <t>2020/12/290:00:43</t>
  </si>
  <si>
    <t>中芯京城集成电路制造(北京)有限公司</t>
  </si>
  <si>
    <t>北京经济技术开发区核心区34M3地块M1一类工业用地国有建设用地使用权出让公告</t>
  </si>
  <si>
    <t>≤1.8</t>
  </si>
  <si>
    <t>2020/12/240:00:43</t>
  </si>
  <si>
    <t>北京屹唐科技有限公司</t>
  </si>
  <si>
    <t>亦庄新城0605街区C1-3-2-1地块M1一类工业用地国有建设用地使用权出让公告</t>
  </si>
  <si>
    <t>2020/12/80:00:43</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</si>
  <si>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</si>
  <si>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</si>
  <si>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</si>
  <si>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</si>
  <si>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</si>
  <si>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</si>
  <si>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</si>
  <si>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2020/12/30:00:43</t>
  </si>
  <si>
    <t>北京智飞绿竹生物制药有限公司</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</si>
  <si>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</si>
  <si>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</si>
  <si>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</si>
  <si>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</si>
  <si>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</si>
  <si>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2020/11/230:00:43</t>
  </si>
  <si>
    <t>北京国望光学科技有限公司</t>
  </si>
  <si>
    <t>北京经济技术开发区0606街区YZ00-0606-0012地块M1一类工业用地国有建设用地使用权出让公告</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</si>
  <si>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</si>
  <si>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</si>
  <si>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</si>
  <si>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</si>
  <si>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</si>
  <si>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2020/11/40:00:43</t>
  </si>
  <si>
    <t>北京热景生物技术股份有限公司</t>
  </si>
  <si>
    <t>大兴生物医药产业基地DX00-0502-6016地块M1一类工业用地国有建设用地使用权出让</t>
  </si>
  <si>
    <t>北京沃森创新生物技术有限公司</t>
  </si>
  <si>
    <t>北京经济技术开发区国有建设用地使用权挂牌供应公告</t>
  </si>
  <si>
    <t>2020/11/30:00:43</t>
  </si>
  <si>
    <t>北京亦盛精密半导体有限公司</t>
  </si>
  <si>
    <t>北京经济技术开发区路东区A12-1地块工业项目国有建设用地使用权挂牌出让公告</t>
  </si>
  <si>
    <t>2020/9/100:00:43</t>
  </si>
  <si>
    <t>北京亦城坤元投资管理有限公司</t>
  </si>
  <si>
    <t>北京经济技术开发区路东区A11-2地块工业项目国有建设用地使用权挂牌出让公告</t>
  </si>
  <si>
    <t>大兴生物医药产业基地DX00-0502-6004-1地块M1工业项目用地</t>
  </si>
  <si>
    <t>2020/7/290:00:43</t>
  </si>
  <si>
    <t>北京三元基因药业股份有限公司</t>
  </si>
  <si>
    <t>大兴生物医药产业基地DX00-0502-6004-2地块工业用地国有建设用地使用权出让</t>
  </si>
  <si>
    <t>2020/5/210:00:43</t>
  </si>
  <si>
    <t>北京赛诺希德医疗科技有限公司</t>
  </si>
  <si>
    <t>大兴生物医药产业基地DX00-0502-6014-3地块工业用地</t>
  </si>
  <si>
    <t>工业厂房</t>
  </si>
  <si>
    <t>2020/4/60:00:43</t>
  </si>
  <si>
    <t>北京本草方源药业集团有限公司</t>
  </si>
  <si>
    <t>北京经济技术开发区路南区N5M4地块工业项目</t>
  </si>
  <si>
    <t>≤2.37</t>
  </si>
  <si>
    <t>北京永泰生物制品有限公司</t>
  </si>
  <si>
    <t>北京经济技术开发区路东区E7M1地块工业项目</t>
  </si>
  <si>
    <t>≤1.7</t>
  </si>
  <si>
    <t>2020/3/260:00:43</t>
  </si>
  <si>
    <t>北京华卓精科科技股份有限公司</t>
  </si>
  <si>
    <t>北京经济技术开发区河西区X61M4地块工业项目</t>
  </si>
  <si>
    <t>2019/12/250:00:43</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</si>
  <si>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</si>
  <si>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</si>
  <si>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</si>
  <si>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</si>
  <si>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</si>
  <si>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</si>
  <si>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</si>
  <si>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2019/12/220:00:43</t>
  </si>
  <si>
    <t>北京费森尤斯卡比医药有限公司</t>
  </si>
  <si>
    <t>北京经济技术开发区核心区76M2地块工业项目</t>
  </si>
  <si>
    <t>2019/11/270:00:43</t>
  </si>
  <si>
    <t>北京中金瑞丰环保科技有限公司</t>
  </si>
  <si>
    <t>北京经济技术开发区路东区C9M2地块工业项目</t>
  </si>
  <si>
    <t>北京亦庄盛元投资开发有限公司</t>
  </si>
  <si>
    <t>北京经济技术开发区路南区N5M1地块工业项目国有建设用地</t>
  </si>
  <si>
    <t>2019/9/260:00:43</t>
  </si>
  <si>
    <t>北京七星恒盛导航科技有限公司</t>
  </si>
  <si>
    <t>北京经济技术开发区路南区N2M3地块</t>
  </si>
  <si>
    <t>2019/7/60:00:43</t>
  </si>
  <si>
    <t>福瑞博达(北京)自动化设备有限公司</t>
  </si>
  <si>
    <t>大兴新城东南片区0605-022B地块工业用地</t>
  </si>
  <si>
    <t>MI一类工业用地</t>
  </si>
  <si>
    <t>2019/6/280:00:43</t>
  </si>
  <si>
    <t>北京天科合达半导体股份有限公司</t>
  </si>
  <si>
    <t>北京经济技术开发区核心区66M2地块工业项目国有建设用地</t>
  </si>
  <si>
    <t>2019/4/220:00:43</t>
  </si>
  <si>
    <t>北京经济技术开发区河西区X62M4地块工业项目</t>
  </si>
  <si>
    <t>2019/4/100:00:43</t>
  </si>
  <si>
    <t>北京卡达克汽车检测技术中心有限公司</t>
  </si>
  <si>
    <t>北京经济技术开发区路南区N9M1地块工业项目</t>
  </si>
  <si>
    <t>2019/4/30:00:43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</si>
  <si>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</si>
  <si>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</si>
  <si>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</si>
  <si>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</si>
  <si>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</si>
  <si>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</si>
  <si>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</si>
  <si>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2019/1/170:00:43</t>
  </si>
  <si>
    <t>中关村医疗器械园有限公司</t>
  </si>
  <si>
    <t>大兴生物医药产业基地0503-039、040、043、044地块工业用地</t>
  </si>
  <si>
    <t>北京民海生物科技有限公司</t>
  </si>
  <si>
    <t>北京经济技术开发区路南区N43M1地块工业项目国有建设用地</t>
  </si>
  <si>
    <t>2019/1/160:00:43</t>
  </si>
  <si>
    <t>大兴生物医药产业基地0503-011-1、014-1、016-1地块工业用地国有建设用地使用权出让</t>
  </si>
  <si>
    <t>2018/12/290:00:43</t>
  </si>
  <si>
    <t>北京经济技术开发区路南区N12M1地块</t>
  </si>
  <si>
    <t>2018/9/30:00:43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</si>
  <si>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</si>
  <si>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</si>
  <si>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</si>
  <si>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</si>
  <si>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</si>
  <si>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2018/7/260:00:43</t>
  </si>
  <si>
    <t>中化岩土集团股份有限公司</t>
  </si>
  <si>
    <t>北京经济技术开发区河西区X55M1地块</t>
  </si>
  <si>
    <t>≥1.5且≤1.7</t>
  </si>
  <si>
    <t>2018/6/60:00:43</t>
  </si>
  <si>
    <t>北京康弘生物医药有限公司</t>
  </si>
  <si>
    <t>北京经济技术开发区路东区B5M4地块</t>
  </si>
  <si>
    <t>神州细胞工程有限公司</t>
  </si>
  <si>
    <t>北京经济技术开发区0606街区YZ00-0606-0051地块M1一类工业用地国有建设用地使用权出让公告</t>
    <phoneticPr fontId="140" type="noConversion"/>
  </si>
  <si>
    <t>正常</t>
  </si>
  <si>
    <t>工业</t>
    <phoneticPr fontId="33" type="noConversion"/>
  </si>
  <si>
    <t>楼面地价</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</si>
  <si>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</si>
  <si>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</si>
  <si>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</si>
  <si>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</si>
  <si>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</si>
  <si>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</si>
  <si>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</si>
  <si>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</si>
  <si>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</si>
  <si>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</si>
  <si>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</si>
  <si>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</si>
  <si>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</si>
  <si>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</si>
  <si>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</si>
  <si>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</si>
  <si>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</si>
  <si>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</si>
  <si>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六通</t>
  </si>
  <si>
    <t>较规则</t>
    <phoneticPr fontId="33" type="noConversion"/>
  </si>
  <si>
    <t>六通</t>
    <phoneticPr fontId="33" type="noConversion"/>
  </si>
  <si>
    <t>较好</t>
    <phoneticPr fontId="33" type="noConversion"/>
  </si>
  <si>
    <t>北京经济技术开发区路东区0302街区B11M2地块</t>
    <phoneticPr fontId="3" type="noConversion"/>
  </si>
  <si>
    <t>北京经济技术开发区路东区A12-1地块</t>
    <phoneticPr fontId="3" type="noConversion"/>
  </si>
  <si>
    <t>北京经济技术开发区河西区X6-1M3地块工业项目</t>
    <phoneticPr fontId="140" type="noConversion"/>
  </si>
  <si>
    <t>北京经济技术开发区河西区X6-1M3地块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</si>
</sst>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49" fontId="141" fillId="2" borderId="27" xfId="0" applyNumberFormat="1" applyFont="1" applyFill="1" applyBorder="1" applyAlignment="1" applyProtection="1">
      <alignment horizontal="right"/>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applyFont="1"/>
    <xf numFmtId="14" fontId="111" fillId="0" borderId="0" xfId="17" applyNumberFormat="1" applyFont="1"/>
    <xf numFmtId="0" fontId="256" fillId="5" borderId="0" xfId="17" applyNumberFormat="1" applyFont="1" applyFill="1"/>
    <xf numFmtId="14" fontId="111" fillId="5" borderId="0" xfId="17" applyNumberFormat="1" applyFont="1" applyFill="1"/>
    <xf numFmtId="0" fontId="256" fillId="0" borderId="0" xfId="17" applyNumberFormat="1" applyFont="1" applyFill="1"/>
    <xf numFmtId="14" fontId="111" fillId="0" borderId="0" xfId="17" applyNumberFormat="1" applyFont="1" applyFill="1"/>
    <xf numFmtId="0" fontId="257" fillId="6" borderId="63" xfId="2" applyFont="1" applyFill="1" applyBorder="1" applyAlignment="1">
      <alignment horizontal="center"/>
    </xf>
    <xf numFmtId="0" fontId="257" fillId="6" borderId="64" xfId="2" applyFont="1" applyFill="1" applyBorder="1" applyAlignment="1">
      <alignment horizontal="center"/>
    </xf>
    <xf numFmtId="0" fontId="55" fillId="16" borderId="0" xfId="0"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41</xdr:row>
      <xdr:rowOff>46741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286" cy="7076191"/>
        </a:xfrm>
        <a:prstGeom prst="rect">
          <a:avLst/>
        </a:prstGeom>
      </xdr:spPr>
    </xdr:pic>
    <xdr:clientData/>
  </xdr:twoCellAnchor>
  <xdr:twoCellAnchor editAs="oneCell">
    <xdr:from>
      <xdr:col>0</xdr:col>
      <xdr:colOff>0</xdr:colOff>
      <xdr:row>41</xdr:row>
      <xdr:rowOff>0</xdr:rowOff>
    </xdr:from>
    <xdr:to>
      <xdr:col>4</xdr:col>
      <xdr:colOff>637753</xdr:colOff>
      <xdr:row>55</xdr:row>
      <xdr:rowOff>123510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3380953" cy="2523810"/>
        </a:xfrm>
        <a:prstGeom prst="rect">
          <a:avLst/>
        </a:prstGeom>
      </xdr:spPr>
    </xdr:pic>
    <xdr:clientData/>
  </xdr:twoCellAnchor>
  <xdr:twoCellAnchor editAs="oneCell">
    <xdr:from>
      <xdr:col>5</xdr:col>
      <xdr:colOff>0</xdr:colOff>
      <xdr:row>0</xdr:row>
      <xdr:rowOff>0</xdr:rowOff>
    </xdr:from>
    <xdr:to>
      <xdr:col>10</xdr:col>
      <xdr:colOff>104334</xdr:colOff>
      <xdr:row>40</xdr:row>
      <xdr:rowOff>132477</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533334" cy="6990477"/>
        </a:xfrm>
        <a:prstGeom prst="rect">
          <a:avLst/>
        </a:prstGeom>
      </xdr:spPr>
    </xdr:pic>
    <xdr:clientData/>
  </xdr:twoCellAnchor>
  <xdr:twoCellAnchor editAs="oneCell">
    <xdr:from>
      <xdr:col>10</xdr:col>
      <xdr:colOff>0</xdr:colOff>
      <xdr:row>0</xdr:row>
      <xdr:rowOff>0</xdr:rowOff>
    </xdr:from>
    <xdr:to>
      <xdr:col>15</xdr:col>
      <xdr:colOff>9095</xdr:colOff>
      <xdr:row>41</xdr:row>
      <xdr:rowOff>65789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0"/>
          <a:ext cx="3438095" cy="7095239"/>
        </a:xfrm>
        <a:prstGeom prst="rect">
          <a:avLst/>
        </a:prstGeom>
      </xdr:spPr>
    </xdr:pic>
    <xdr:clientData/>
  </xdr:twoCellAnchor>
  <xdr:twoCellAnchor editAs="oneCell">
    <xdr:from>
      <xdr:col>15</xdr:col>
      <xdr:colOff>0</xdr:colOff>
      <xdr:row>0</xdr:row>
      <xdr:rowOff>0</xdr:rowOff>
    </xdr:from>
    <xdr:to>
      <xdr:col>20</xdr:col>
      <xdr:colOff>28143</xdr:colOff>
      <xdr:row>41</xdr:row>
      <xdr:rowOff>151503</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0"/>
          <a:ext cx="3457143" cy="7180953"/>
        </a:xfrm>
        <a:prstGeom prst="rect">
          <a:avLst/>
        </a:prstGeom>
      </xdr:spPr>
    </xdr:pic>
    <xdr:clientData/>
  </xdr:twoCellAnchor>
  <xdr:twoCellAnchor editAs="oneCell">
    <xdr:from>
      <xdr:col>20</xdr:col>
      <xdr:colOff>0</xdr:colOff>
      <xdr:row>0</xdr:row>
      <xdr:rowOff>0</xdr:rowOff>
    </xdr:from>
    <xdr:to>
      <xdr:col>25</xdr:col>
      <xdr:colOff>94810</xdr:colOff>
      <xdr:row>41</xdr:row>
      <xdr:rowOff>122931</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3523810"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0</xdr:rowOff>
    </xdr:from>
    <xdr:to>
      <xdr:col>9</xdr:col>
      <xdr:colOff>389482</xdr:colOff>
      <xdr:row>115</xdr:row>
      <xdr:rowOff>75462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86850"/>
          <a:ext cx="8352382"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王鹏（注册号：0)、郑燚（注册号：1120070131)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估价对象为北京市房地产，为所有。根据《国有土地使用证》[]，估价对象（分摊）出让国有建设用地使用权面积为0平方米，建筑面积为3519.53平方米。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估价对象为北京市房地产,属开发建设的，该项目尚在开发建设中。根据《国有土地使用证》[]，估价对象（分摊）出让国有建设用地使用权面积为0平方米，规划建筑面积为3519.53平方米。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2022年3月18日（评估专业人员实地查勘之日）</v>
      </c>
    </row>
    <row r="13" spans="1:2" s="1336" customFormat="1">
      <c r="A13" s="1334" t="s">
        <v>1135</v>
      </c>
      <c r="B13" s="1335"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2888</v>
      </c>
    </row>
    <row r="21" spans="1:2" s="1336" customFormat="1">
      <c r="A21" s="1334" t="s">
        <v>1143</v>
      </c>
      <c r="B21" s="1335">
        <f ca="1">'预评函-2'!D7</f>
        <v>8206</v>
      </c>
    </row>
    <row r="22" spans="1:2" s="1336" customFormat="1">
      <c r="A22" s="1334" t="s">
        <v>1144</v>
      </c>
      <c r="B22" s="1335" t="str">
        <f ca="1">'预评函-2'!D6</f>
        <v>贰仟捌佰捌拾捌万元整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2888</v>
      </c>
    </row>
    <row r="31" spans="1:2" s="1336" customFormat="1">
      <c r="A31" s="1334" t="s">
        <v>1182</v>
      </c>
      <c r="B31" s="1335">
        <f ca="1">'预评函-2'!D15</f>
        <v>8206</v>
      </c>
    </row>
    <row r="32" spans="1:2" s="1336" customFormat="1">
      <c r="A32" s="1334" t="s">
        <v>1149</v>
      </c>
      <c r="B32" s="1335" t="str">
        <f ca="1">'预评函-2'!D14</f>
        <v>贰仟捌佰捌拾捌万元整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3519.53</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921</v>
      </c>
    </row>
    <row r="48" spans="1:2" s="1336" customFormat="1">
      <c r="A48" s="1334" t="s">
        <v>1155</v>
      </c>
      <c r="B48" s="1335">
        <f ca="1">'预评函-3'!E4</f>
        <v>2617</v>
      </c>
    </row>
    <row r="49" spans="1:2" s="1336" customFormat="1">
      <c r="A49" s="1334" t="s">
        <v>1156</v>
      </c>
      <c r="B49" s="1335" t="str">
        <f ca="1">'预评函-3'!D5</f>
        <v>玖佰贰拾壹万元整</v>
      </c>
    </row>
    <row r="50" spans="1:2" s="1336" customFormat="1">
      <c r="A50" s="1334" t="s">
        <v>1180</v>
      </c>
      <c r="B50" s="1335" t="str">
        <f>'预评函-3'!F2</f>
        <v>在建建筑物价值</v>
      </c>
    </row>
    <row r="51" spans="1:2" s="1336" customFormat="1">
      <c r="A51" s="1334" t="s">
        <v>1157</v>
      </c>
      <c r="B51" s="1335">
        <f ca="1">'预评函-3'!F4</f>
        <v>1967</v>
      </c>
    </row>
    <row r="52" spans="1:2" s="1336" customFormat="1">
      <c r="A52" s="1334" t="s">
        <v>1158</v>
      </c>
      <c r="B52" s="1335">
        <f ca="1">'预评函-3'!G4</f>
        <v>5589</v>
      </c>
    </row>
    <row r="53" spans="1:2" s="1336" customFormat="1">
      <c r="A53" s="1334" t="s">
        <v>1186</v>
      </c>
      <c r="B53" s="1335" t="str">
        <f ca="1">'预评函-3'!F5</f>
        <v>壹仟玖佰陆拾柒万元整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王鹏</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2968</v>
      </c>
      <c r="C17" s="1701"/>
    </row>
    <row r="18" spans="1:3">
      <c r="A18" s="1700" t="s">
        <v>1672</v>
      </c>
      <c r="B18" s="1700" t="s">
        <v>3112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708" t="s">
        <v>832</v>
      </c>
      <c r="C54" s="1705" t="s">
        <v>1189</v>
      </c>
    </row>
    <row r="55" spans="1:4">
      <c r="A55" s="3292"/>
      <c r="B55" s="1708" t="s">
        <v>833</v>
      </c>
      <c r="C55" s="1705" t="s">
        <v>1190</v>
      </c>
    </row>
    <row r="56" spans="1:4">
      <c r="A56" s="3292"/>
      <c r="B56" s="1708" t="s">
        <v>834</v>
      </c>
      <c r="C56" s="1705" t="s">
        <v>1194</v>
      </c>
    </row>
    <row r="57" spans="1:4">
      <c r="A57" s="329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9" sqref="K3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01" t="str">
        <f>IF(B10="北京市","北京市",C10)&amp;F10&amp;IF(结果表!G1="在建","出让国有建设用地使用权及在建建筑物",IF(结果表!G1="土地","出让国有建设用地使用权",))&amp;B9&amp;"预评估"</f>
        <v>北京市房地产抵押价值预评估</v>
      </c>
      <c r="C1" s="3302"/>
      <c r="D1" s="3302"/>
      <c r="E1" s="3302"/>
      <c r="F1" s="3302"/>
      <c r="G1" s="3302"/>
      <c r="H1" s="3302"/>
      <c r="I1" s="330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v>44638</v>
      </c>
      <c r="C3" s="2567" t="s">
        <v>2855</v>
      </c>
      <c r="D3" s="2566">
        <v>44638</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3117</v>
      </c>
      <c r="C4" s="2569">
        <f ca="1">SUMIF(注册房地产估价师,B4,估价师及机构信息!B3:B24)</f>
        <v>0</v>
      </c>
      <c r="D4" s="2568" t="s">
        <v>3118</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王鹏（注册号：0)、郑燚（注册号：1120070131)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3119</v>
      </c>
      <c r="C8" s="2583"/>
      <c r="D8" s="3304" t="s">
        <v>2861</v>
      </c>
      <c r="E8" s="2584" t="s">
        <v>3120</v>
      </c>
      <c r="F8" s="2585"/>
      <c r="G8" s="2859"/>
      <c r="H8" s="2859"/>
      <c r="I8" s="2859"/>
      <c r="J8" s="2634"/>
      <c r="K8" s="2809"/>
      <c r="L8" s="2808"/>
      <c r="M8" s="2808"/>
      <c r="N8" s="2634"/>
      <c r="O8" s="2645"/>
      <c r="P8" s="2634"/>
      <c r="Q8" s="2634"/>
      <c r="R8" s="2634"/>
    </row>
    <row r="9" spans="1:28" ht="13.5" thickBot="1">
      <c r="A9" s="2586" t="s">
        <v>2862</v>
      </c>
      <c r="B9" s="2587" t="s">
        <v>3120</v>
      </c>
      <c r="C9" s="2588"/>
      <c r="D9" s="3305"/>
      <c r="E9" s="2587" t="s">
        <v>70</v>
      </c>
      <c r="F9" s="2589"/>
      <c r="G9" s="2861"/>
      <c r="H9" s="2861"/>
      <c r="I9" s="2861"/>
      <c r="J9" s="2634"/>
      <c r="K9" s="2811"/>
      <c r="L9" s="2808"/>
      <c r="M9" s="2808"/>
      <c r="N9" s="2634"/>
      <c r="O9" s="2645"/>
      <c r="P9" s="2634"/>
      <c r="Q9" s="2634"/>
      <c r="R9" s="2634"/>
    </row>
    <row r="10" spans="1:28" ht="13.5" thickTop="1">
      <c r="A10" s="2590" t="s">
        <v>2863</v>
      </c>
      <c r="B10" s="2591" t="s">
        <v>3121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3122</v>
      </c>
      <c r="C11" s="2596"/>
      <c r="D11" s="2597"/>
      <c r="E11" s="2563"/>
      <c r="F11" s="2563"/>
      <c r="G11" s="2563"/>
      <c r="H11" s="2563"/>
      <c r="I11" s="2563"/>
      <c r="J11" s="2634"/>
      <c r="K11" s="2811"/>
      <c r="L11" s="2808"/>
      <c r="M11" s="2808"/>
      <c r="N11" s="2634"/>
      <c r="O11" s="2645"/>
      <c r="P11" s="2634"/>
      <c r="Q11" s="2634"/>
      <c r="R11" s="2634"/>
    </row>
    <row r="12" spans="1:28">
      <c r="A12" s="2598" t="s">
        <v>2866</v>
      </c>
      <c r="B12" s="2595" t="s">
        <v>3123</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58676</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38.46</v>
      </c>
      <c r="J15" s="2634"/>
      <c r="K15" s="2813"/>
      <c r="L15" s="2646"/>
      <c r="M15" s="2646"/>
      <c r="N15" s="2704"/>
      <c r="O15" s="2646"/>
      <c r="P15" s="2704"/>
      <c r="Q15" s="2634"/>
      <c r="R15" s="2634"/>
    </row>
    <row r="16" spans="1:28">
      <c r="A16" s="2593" t="s">
        <v>2877</v>
      </c>
      <c r="B16" s="3311"/>
      <c r="C16" s="3312"/>
      <c r="D16" s="3313"/>
      <c r="E16" s="2608" t="s">
        <v>2878</v>
      </c>
      <c r="F16" s="3314"/>
      <c r="G16" s="3315"/>
      <c r="H16" s="3315"/>
      <c r="I16" s="3316"/>
      <c r="J16" s="2634"/>
      <c r="K16" s="2813"/>
      <c r="L16" s="2646"/>
      <c r="M16" s="2646"/>
      <c r="N16" s="2704"/>
      <c r="O16" s="2646"/>
      <c r="P16" s="2704"/>
      <c r="Q16" s="2634"/>
      <c r="R16" s="2634"/>
    </row>
    <row r="17" spans="1:28">
      <c r="A17" s="319" t="s">
        <v>2879</v>
      </c>
      <c r="B17" s="308" t="s">
        <v>2880</v>
      </c>
      <c r="C17" s="11">
        <f>'数据-汇总表'!E3</f>
        <v>3519.53</v>
      </c>
      <c r="D17" s="2514" t="s">
        <v>2881</v>
      </c>
      <c r="E17" s="3317" t="s">
        <v>2882</v>
      </c>
      <c r="F17" s="3318"/>
      <c r="G17" s="3318"/>
      <c r="H17" s="3318"/>
      <c r="I17" s="3319"/>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0</v>
      </c>
      <c r="D18" s="1224" t="s">
        <v>2885</v>
      </c>
      <c r="E18" s="3320" t="s">
        <v>2886</v>
      </c>
      <c r="F18" s="3321"/>
      <c r="G18" s="3321"/>
      <c r="H18" s="3321"/>
      <c r="I18" s="3322"/>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07" t="s">
        <v>2890</v>
      </c>
      <c r="C20" s="3308"/>
      <c r="D20" s="3309" t="s">
        <v>2891</v>
      </c>
      <c r="E20" s="3310"/>
      <c r="F20" s="2843" t="s">
        <v>1682</v>
      </c>
      <c r="G20" s="2860"/>
      <c r="H20" s="2860"/>
      <c r="I20" s="2860"/>
      <c r="J20" s="2634"/>
      <c r="K20" s="3306"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94"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94"/>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94"/>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95"/>
      <c r="B30" s="308" t="s">
        <v>2902</v>
      </c>
      <c r="C30" s="3296"/>
      <c r="D30" s="3297"/>
      <c r="E30" s="2860"/>
      <c r="F30" s="2860"/>
      <c r="G30" s="2860"/>
      <c r="H30" s="2860"/>
      <c r="I30" s="2860"/>
      <c r="J30" s="2634"/>
      <c r="K30" s="2811"/>
      <c r="L30" s="2808"/>
      <c r="M30" s="2808"/>
      <c r="N30" s="2634"/>
      <c r="O30" s="2645"/>
      <c r="P30" s="2634"/>
      <c r="Q30" s="2634"/>
      <c r="R30" s="2634"/>
      <c r="S30" s="2634"/>
      <c r="T30" s="2634"/>
      <c r="U30" s="2634"/>
      <c r="V30" s="2634"/>
    </row>
    <row r="31" spans="1:28">
      <c r="A31" s="3298"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9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9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293" t="s">
        <v>2912</v>
      </c>
      <c r="T34" s="2623" t="str">
        <f>NUMBERSTRING(7-K34,1)&amp;"通"</f>
        <v>七通</v>
      </c>
      <c r="U34" s="2634"/>
      <c r="V34" s="2634"/>
    </row>
    <row r="35" spans="1:30">
      <c r="A35" s="2624"/>
      <c r="B35" s="3300" t="s">
        <v>2913</v>
      </c>
      <c r="C35" s="3300"/>
      <c r="D35" s="3300"/>
      <c r="E35" s="3300"/>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3"/>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3124</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3519.53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3519.53</v>
      </c>
      <c r="H5" s="16">
        <f t="shared" ref="H5:AT5" si="0">SUM(H13:H656)</f>
        <v>3519.53</v>
      </c>
      <c r="I5" s="16">
        <f t="shared" si="0"/>
        <v>3519.53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3519.53</v>
      </c>
      <c r="BA5" s="18">
        <f t="shared" si="1"/>
        <v>3519.53</v>
      </c>
      <c r="BB5" s="18">
        <f t="shared" si="1"/>
        <v>3519.53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3127</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3126</v>
      </c>
      <c r="D13" s="1779" t="s">
        <v>3125</v>
      </c>
      <c r="E13" s="16">
        <f>IF($C$3="是",ROUND($A$3*G13/$B$3,2),ROUND($A$3*(G13-AT13)/$B$3,2))</f>
        <v>0</v>
      </c>
      <c r="F13" s="32"/>
      <c r="G13" s="33">
        <f>H13+AC13+AT13</f>
        <v>3519.53</v>
      </c>
      <c r="H13" s="20">
        <f>SUMIF(I$12:AB$12,"总值",I13:AB13)</f>
        <v>3519.53</v>
      </c>
      <c r="I13" s="1780">
        <v>3519.53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独栋</v>
      </c>
      <c r="AY13" s="1502">
        <f>ROUND($AY$6*AZ13/$AZ$5,2)</f>
        <v>0</v>
      </c>
      <c r="AZ13" s="16">
        <f>BA13+BL13</f>
        <v>3519.53</v>
      </c>
      <c r="BA13" s="16">
        <f>SUM(BB13:BK13)</f>
        <v>3519.53</v>
      </c>
      <c r="BB13" s="16">
        <f>IF($D13="是",I13-J13,0)</f>
        <v>3519.53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A11:G18"/>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34" t="s">
        <v>1757</v>
      </c>
      <c r="B2" s="3334"/>
      <c r="C2" s="3334"/>
      <c r="D2" s="904" t="s">
        <v>1733</v>
      </c>
      <c r="E2" s="1793" t="s">
        <v>1734</v>
      </c>
      <c r="F2" s="2855"/>
      <c r="G2" s="2846"/>
      <c r="H2" s="2847"/>
      <c r="I2" s="2517" t="s">
        <v>1758</v>
      </c>
      <c r="J2" s="2855"/>
      <c r="K2" s="2855"/>
      <c r="L2" s="2855"/>
      <c r="M2" s="2855"/>
      <c r="N2" s="2857"/>
      <c r="O2" s="2855"/>
      <c r="P2" s="2855"/>
    </row>
    <row r="3" spans="1:16" ht="15.75" thickBot="1">
      <c r="A3" s="3335" t="s">
        <v>1731</v>
      </c>
      <c r="B3" s="3335"/>
      <c r="C3" s="3335"/>
      <c r="D3" s="46">
        <f>'数据-基础表'!AY6</f>
        <v>0</v>
      </c>
      <c r="E3" s="46">
        <f>'数据-基础表'!AZ5</f>
        <v>3519.53</v>
      </c>
      <c r="F3" s="2855"/>
      <c r="G3" s="1279"/>
      <c r="H3" s="1157" t="s">
        <v>1732</v>
      </c>
      <c r="I3" s="964" t="e">
        <f>ROUND('数据-基础表'!B3/'数据-基础表'!A3,2)</f>
        <v>#DIV/0!</v>
      </c>
      <c r="J3" s="2855"/>
      <c r="K3" s="2855"/>
      <c r="L3" s="2855"/>
      <c r="M3" s="2855"/>
      <c r="N3" s="2857"/>
      <c r="O3" s="2855"/>
      <c r="P3" s="2855"/>
    </row>
    <row r="4" spans="1:16" ht="15">
      <c r="A4" s="3336"/>
      <c r="B4" s="3337"/>
      <c r="C4" s="3338"/>
      <c r="D4" s="1795" t="s">
        <v>1733</v>
      </c>
      <c r="E4" s="1796"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39" t="s">
        <v>1736</v>
      </c>
      <c r="C5" s="3339"/>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8"/>
      <c r="B6" s="3339" t="s">
        <v>1737</v>
      </c>
      <c r="C6" s="3339"/>
      <c r="D6" s="48">
        <f>ROUND($D$3*E6/$E$3,2)</f>
        <v>0</v>
      </c>
      <c r="E6" s="49">
        <f>E3-E5</f>
        <v>3519.53</v>
      </c>
      <c r="F6" s="2855"/>
      <c r="G6" s="2849" t="s">
        <v>1738</v>
      </c>
      <c r="H6" s="1280" t="s">
        <v>1739</v>
      </c>
      <c r="I6" s="2850" t="e">
        <f>ROUND(F31/D31,2)</f>
        <v>#DIV/0!</v>
      </c>
      <c r="J6" s="2855"/>
      <c r="K6" s="2855"/>
      <c r="L6" s="2855"/>
      <c r="M6" s="2855"/>
      <c r="N6" s="2855"/>
      <c r="O6" s="2855"/>
      <c r="P6" s="2855"/>
    </row>
    <row r="7" spans="1:16" ht="15.75" thickBot="1">
      <c r="A7" s="3331"/>
      <c r="B7" s="3332"/>
      <c r="C7" s="3333"/>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3519.53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0</v>
      </c>
      <c r="E16" s="53">
        <f>SUM(E8:E15)</f>
        <v>3519.53</v>
      </c>
      <c r="F16" s="2855"/>
      <c r="G16" s="2856"/>
      <c r="H16" s="1802" t="s">
        <v>1761</v>
      </c>
      <c r="I16" s="1803"/>
      <c r="J16" s="1273"/>
      <c r="K16" s="3328" t="s">
        <v>1761</v>
      </c>
      <c r="L16" s="3329"/>
      <c r="M16" s="3329"/>
      <c r="N16" s="3329"/>
      <c r="O16" s="3329"/>
      <c r="P16" s="3330"/>
    </row>
    <row r="17" spans="1:19" ht="15">
      <c r="A17" s="1804" t="s">
        <v>1762</v>
      </c>
      <c r="B17" s="1805" t="s">
        <v>1763</v>
      </c>
      <c r="C17" s="1806" t="s">
        <v>1764</v>
      </c>
      <c r="D17" s="1807" t="s">
        <v>1752</v>
      </c>
      <c r="E17" s="1808" t="s">
        <v>1753</v>
      </c>
      <c r="F17" s="1809"/>
      <c r="G17" s="1810"/>
      <c r="H17" s="1811" t="s">
        <v>1765</v>
      </c>
      <c r="I17" s="1812" t="s">
        <v>1750</v>
      </c>
      <c r="J17" s="1273"/>
      <c r="K17" s="3325" t="s">
        <v>1766</v>
      </c>
      <c r="L17" s="3326"/>
      <c r="M17" s="3327"/>
      <c r="N17" s="3325" t="s">
        <v>1767</v>
      </c>
      <c r="O17" s="3326"/>
      <c r="P17" s="3327"/>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1822" t="str">
        <f>'数据-基础表'!C13</f>
        <v>独栋</v>
      </c>
      <c r="D19" s="48">
        <f>ROUND($D$3*E19/$E$3,2)</f>
        <v>0</v>
      </c>
      <c r="E19" s="56">
        <f t="shared" ref="E19:E26" si="1">SUM(F19:G19)</f>
        <v>3519.53</v>
      </c>
      <c r="F19" s="2995">
        <f>'数据-基础表'!I13</f>
        <v>3519.53</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0</v>
      </c>
      <c r="S19" s="1158">
        <f t="shared" si="5"/>
        <v>3519.53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0</v>
      </c>
      <c r="E27" s="1275">
        <f>IF(SUM(E19:E26)='数据-基础表'!BA5,SUM(E19:E26),IF(F27="地上面积有误","面积有误","地下面积有误"))</f>
        <v>3519.53</v>
      </c>
      <c r="F27" s="1274">
        <f>IF(SUM(F19:F26)=E8,SUM(F19:F26),"地上面积有误")</f>
        <v>3519.53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3519.53</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0</v>
      </c>
      <c r="E31" s="685">
        <f>E27+E30</f>
        <v>3519.53</v>
      </c>
      <c r="F31" s="686">
        <f>F27+F30</f>
        <v>3519.53</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44638</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3128</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独栋</v>
      </c>
      <c r="B6" s="1868" t="str">
        <f>IF(A6=0,"","经营性")</f>
        <v>经营性</v>
      </c>
      <c r="C6" s="1869" t="s">
        <v>6</v>
      </c>
      <c r="D6" s="967">
        <f>SUMIF(项目基本情况!D$12:I$12,C6,项目基本情况!D$14:I$14)</f>
        <v>50</v>
      </c>
      <c r="E6" s="966">
        <f>IF(B6="","",SUMIF(项目基本情况!D$12:I$12,C6,项目基本情况!D$13:I$13))</f>
        <v>58676</v>
      </c>
      <c r="F6" s="68">
        <f>SUMIF(项目基本情况!D$12:I$12,C6,项目基本情况!D$15:I$15)</f>
        <v>38.46</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3519.53</v>
      </c>
      <c r="L6" s="742">
        <v>3000</v>
      </c>
      <c r="M6" s="71">
        <f t="shared" ref="M6:M14" si="0">ROUND(K6*L6/10000,0)</f>
        <v>1056</v>
      </c>
      <c r="N6" s="740">
        <f>ROUND(1-(2022-2013)/60,2)</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1.8</v>
      </c>
      <c r="V6" s="75">
        <v>2.5000000000000001E-2</v>
      </c>
      <c r="W6" s="75">
        <v>0.1</v>
      </c>
      <c r="X6" s="1171"/>
      <c r="Y6" s="76">
        <f>N6</f>
        <v>0.85</v>
      </c>
      <c r="Z6" s="77"/>
      <c r="AA6" s="70"/>
      <c r="AB6" s="70"/>
      <c r="AC6" s="1171"/>
      <c r="AD6" s="78"/>
      <c r="AE6" s="1172">
        <f ca="1">IF(AN6="",0,SUMIF(INDIRECT("'"&amp;AN6&amp;"'"&amp;"!E:E"),$AE$5,INDIRECT("'"&amp;AN6&amp;"'"&amp;"!F:F")))</f>
        <v>38.46</v>
      </c>
      <c r="AF6" s="1501"/>
      <c r="AG6" s="143">
        <f>IF(AF6="",0,AE6-AF6)</f>
        <v>0</v>
      </c>
      <c r="AH6" s="79"/>
      <c r="AI6" s="81">
        <v>365</v>
      </c>
      <c r="AJ6" s="82"/>
      <c r="AK6" s="83">
        <v>1.4999999999999999E-2</v>
      </c>
      <c r="AL6" s="84">
        <v>1.5E-3</v>
      </c>
      <c r="AM6" s="85">
        <v>0.01</v>
      </c>
      <c r="AN6" s="1870" t="s">
        <v>3129</v>
      </c>
      <c r="AO6" s="55">
        <f ca="1">SUMIF(INDIRECT("'"&amp;AN6&amp;"'"&amp;"!A:A"),"总价",INDIRECT("'"&amp;AN6&amp;"'"&amp;"!B:B"))</f>
        <v>3504</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hidden="1">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hidden="1">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hidden="1">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hidden="1">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hidden="1">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hidden="1">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hidden="1">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0.91800000000000004</v>
      </c>
      <c r="H16" s="95">
        <f>ROUND(SUMPRODUCT(H6:H13,K6:K13)/SUMPRODUCT((H6:H13&gt;0)*(K6:K13)),3)</f>
        <v>4.4999999999999998E-2</v>
      </c>
      <c r="I16" s="96"/>
      <c r="J16" s="96"/>
      <c r="K16" s="97">
        <f>SUM(K6:K15)</f>
        <v>3519.53</v>
      </c>
      <c r="L16" s="98">
        <f>ROUND(M16*10000/SUM(K6:K14),0)</f>
        <v>3000</v>
      </c>
      <c r="M16" s="98">
        <f>SUM(M6:M14)</f>
        <v>1056</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2978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2982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70</v>
      </c>
      <c r="C29" s="3002" t="s">
        <v>2969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2971</v>
      </c>
      <c r="D34" s="2882" t="s">
        <v>2979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2972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2973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2.5000000000000001E-2</v>
      </c>
      <c r="C37" s="3003" t="s">
        <v>2974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2974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2983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2975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2976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v>0</v>
      </c>
      <c r="C47" s="3005" t="s">
        <v>2984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2975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2977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2981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v>30</v>
      </c>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v>24</v>
      </c>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v>18</v>
      </c>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5" sqref="F3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0" t="s">
        <v>2961</v>
      </c>
      <c r="B1" s="3341"/>
      <c r="C1" s="3341"/>
      <c r="D1" s="3341"/>
      <c r="E1" s="3341"/>
      <c r="F1" s="3341"/>
      <c r="G1" s="334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2958</v>
      </c>
      <c r="D2" s="2656"/>
      <c r="E2" s="2653"/>
      <c r="F2" s="2657"/>
      <c r="G2" s="2655" t="s">
        <v>2959</v>
      </c>
      <c r="H2" s="907"/>
      <c r="I2" s="907"/>
      <c r="J2" s="907"/>
      <c r="K2" s="907"/>
      <c r="L2" s="907"/>
      <c r="M2" s="907"/>
      <c r="N2" s="907"/>
      <c r="O2" s="907"/>
      <c r="P2" s="907"/>
      <c r="Q2" s="907"/>
      <c r="R2" s="907"/>
    </row>
    <row r="3" spans="1:29" ht="24">
      <c r="A3" s="2636" t="s">
        <v>2960</v>
      </c>
      <c r="B3" s="2658" t="s">
        <v>2936</v>
      </c>
      <c r="C3" s="2659"/>
      <c r="D3" s="2660"/>
      <c r="E3" s="2637" t="s">
        <v>2960</v>
      </c>
      <c r="F3" s="2661" t="s">
        <v>2937</v>
      </c>
      <c r="G3" s="2662"/>
      <c r="H3" s="907"/>
      <c r="I3" s="907"/>
      <c r="J3" s="907"/>
      <c r="K3" s="907"/>
      <c r="L3" s="907"/>
      <c r="M3" s="907"/>
      <c r="N3" s="907"/>
      <c r="O3" s="907"/>
      <c r="P3" s="907"/>
      <c r="Q3" s="907"/>
      <c r="R3" s="907"/>
    </row>
    <row r="4" spans="1:29">
      <c r="A4" s="2637"/>
      <c r="B4" s="329" t="s">
        <v>2938</v>
      </c>
      <c r="C4" s="2663"/>
      <c r="D4" s="2660"/>
      <c r="E4" s="2664"/>
      <c r="F4" s="1526" t="s">
        <v>2939</v>
      </c>
      <c r="G4" s="2665"/>
      <c r="H4" s="907"/>
      <c r="I4" s="907"/>
      <c r="J4" s="907"/>
      <c r="K4" s="907"/>
      <c r="L4" s="907"/>
      <c r="M4" s="907"/>
      <c r="N4" s="907"/>
      <c r="O4" s="907"/>
      <c r="P4" s="907"/>
      <c r="Q4" s="907"/>
      <c r="R4" s="907"/>
    </row>
    <row r="5" spans="1:29">
      <c r="A5" s="2637"/>
      <c r="B5" s="329" t="s">
        <v>2940</v>
      </c>
      <c r="C5" s="2663"/>
      <c r="D5" s="2660"/>
      <c r="E5" s="2664"/>
      <c r="F5" s="329" t="s">
        <v>2941</v>
      </c>
      <c r="G5" s="2665"/>
      <c r="H5" s="907"/>
      <c r="I5" s="907"/>
      <c r="J5" s="907"/>
      <c r="K5" s="907"/>
      <c r="L5" s="907"/>
      <c r="M5" s="907"/>
      <c r="N5" s="907"/>
      <c r="O5" s="907"/>
      <c r="P5" s="907"/>
      <c r="Q5" s="907"/>
      <c r="R5" s="907"/>
    </row>
    <row r="6" spans="1:29">
      <c r="A6" s="2637"/>
      <c r="B6" s="329" t="s">
        <v>2942</v>
      </c>
      <c r="C6" s="2665"/>
      <c r="D6" s="2660"/>
      <c r="E6" s="2664"/>
      <c r="F6" s="329" t="s">
        <v>2943</v>
      </c>
      <c r="G6" s="2665"/>
      <c r="H6" s="907"/>
      <c r="I6" s="907"/>
      <c r="J6" s="907"/>
      <c r="K6" s="907"/>
      <c r="L6" s="907"/>
      <c r="M6" s="907"/>
      <c r="N6" s="907"/>
      <c r="O6" s="907"/>
      <c r="P6" s="907"/>
      <c r="Q6" s="907"/>
      <c r="R6" s="907"/>
    </row>
    <row r="7" spans="1:29" ht="15" thickBot="1">
      <c r="A7" s="2637"/>
      <c r="B7" s="329" t="s">
        <v>2941</v>
      </c>
      <c r="C7" s="2665"/>
      <c r="D7" s="2666"/>
      <c r="E7" s="2667"/>
      <c r="F7" s="2668" t="s">
        <v>2944</v>
      </c>
      <c r="G7" s="2669"/>
      <c r="H7" s="907"/>
      <c r="I7" s="907"/>
      <c r="J7" s="907"/>
      <c r="K7" s="907"/>
      <c r="L7" s="907"/>
      <c r="M7" s="907"/>
      <c r="N7" s="907"/>
      <c r="O7" s="907"/>
      <c r="P7" s="907"/>
      <c r="Q7" s="907"/>
      <c r="R7" s="907"/>
    </row>
    <row r="8" spans="1:29">
      <c r="A8" s="2637"/>
      <c r="B8" s="329" t="s">
        <v>2943</v>
      </c>
      <c r="C8" s="2665"/>
      <c r="D8" s="2666"/>
      <c r="E8" s="2666"/>
      <c r="F8" s="2670"/>
      <c r="G8" s="2670"/>
      <c r="H8" s="907"/>
      <c r="I8" s="907"/>
      <c r="J8" s="907"/>
      <c r="K8" s="907"/>
      <c r="L8" s="907"/>
      <c r="M8" s="907"/>
      <c r="N8" s="907"/>
      <c r="O8" s="907"/>
      <c r="P8" s="907"/>
      <c r="Q8" s="907"/>
      <c r="R8" s="907"/>
    </row>
    <row r="9" spans="1:29">
      <c r="A9" s="2637"/>
      <c r="B9" s="329" t="s">
        <v>2945</v>
      </c>
      <c r="C9" s="2663"/>
      <c r="D9" s="2660"/>
      <c r="E9" s="2666"/>
      <c r="F9" s="2670"/>
      <c r="G9" s="2670"/>
      <c r="H9" s="907"/>
      <c r="I9" s="907"/>
      <c r="J9" s="907"/>
      <c r="K9" s="907"/>
      <c r="L9" s="907"/>
      <c r="M9" s="907"/>
      <c r="N9" s="907"/>
      <c r="O9" s="907"/>
      <c r="P9" s="907"/>
      <c r="Q9" s="907"/>
      <c r="R9" s="907"/>
    </row>
    <row r="10" spans="1:29" s="2676" customFormat="1" ht="15" thickBot="1">
      <c r="A10" s="2638"/>
      <c r="B10" s="2671" t="s">
        <v>2946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2962</v>
      </c>
      <c r="B13" s="2679"/>
      <c r="C13" s="2679"/>
      <c r="D13" s="2677"/>
      <c r="E13" s="2679"/>
      <c r="F13" s="2679"/>
      <c r="G13" s="2679"/>
    </row>
    <row r="14" spans="1:29" ht="15" thickBot="1">
      <c r="A14" s="2689"/>
      <c r="B14" s="2689"/>
      <c r="C14" s="2690" t="s">
        <v>2947</v>
      </c>
      <c r="D14" s="2660"/>
      <c r="E14" s="2691"/>
      <c r="F14" s="2691"/>
      <c r="G14" s="2655" t="s">
        <v>2948</v>
      </c>
    </row>
    <row r="15" spans="1:29" ht="24">
      <c r="A15" s="2639" t="s">
        <v>2949</v>
      </c>
      <c r="B15" s="2692" t="s">
        <v>2936</v>
      </c>
      <c r="C15" s="2693">
        <f>C3</f>
        <v>0</v>
      </c>
      <c r="D15" s="2660"/>
      <c r="E15" s="2640" t="s">
        <v>2950</v>
      </c>
      <c r="F15" s="2692" t="s">
        <v>2951</v>
      </c>
      <c r="G15" s="2694">
        <f>G3</f>
        <v>0</v>
      </c>
    </row>
    <row r="16" spans="1:29">
      <c r="A16" s="2641"/>
      <c r="B16" s="2695" t="s">
        <v>2938</v>
      </c>
      <c r="C16" s="2696">
        <f>C4</f>
        <v>0</v>
      </c>
      <c r="D16" s="2660"/>
      <c r="E16" s="2642"/>
      <c r="F16" s="2697" t="s">
        <v>2939</v>
      </c>
      <c r="G16" s="2698">
        <f>G4</f>
        <v>0</v>
      </c>
    </row>
    <row r="17" spans="1:18">
      <c r="A17" s="2641"/>
      <c r="B17" s="2695" t="s">
        <v>2940</v>
      </c>
      <c r="C17" s="2696">
        <f>C5</f>
        <v>0</v>
      </c>
      <c r="D17" s="2666"/>
      <c r="E17" s="2642"/>
      <c r="F17" s="2697" t="s">
        <v>2952</v>
      </c>
      <c r="G17" s="2699"/>
    </row>
    <row r="18" spans="1:18">
      <c r="A18" s="2641"/>
      <c r="B18" s="2697" t="s">
        <v>2942</v>
      </c>
      <c r="C18" s="2698">
        <f>C6</f>
        <v>0</v>
      </c>
      <c r="D18" s="2666"/>
      <c r="E18" s="2642"/>
      <c r="F18" s="2697" t="s">
        <v>2944</v>
      </c>
      <c r="G18" s="2698">
        <f>G7</f>
        <v>0</v>
      </c>
    </row>
    <row r="19" spans="1:18">
      <c r="A19" s="2641"/>
      <c r="B19" s="2697" t="s">
        <v>2953</v>
      </c>
      <c r="C19" s="2699"/>
      <c r="D19" s="2660"/>
      <c r="E19" s="2642"/>
      <c r="F19" s="329" t="s">
        <v>2941</v>
      </c>
      <c r="G19" s="2698">
        <f>G5</f>
        <v>0</v>
      </c>
    </row>
    <row r="20" spans="1:18">
      <c r="A20" s="2641"/>
      <c r="B20" s="2697" t="s">
        <v>2954</v>
      </c>
      <c r="C20" s="2696">
        <f>C9</f>
        <v>0</v>
      </c>
      <c r="D20" s="2666"/>
      <c r="E20" s="2642"/>
      <c r="F20" s="329" t="s">
        <v>2943</v>
      </c>
      <c r="G20" s="2698">
        <f>G6</f>
        <v>0</v>
      </c>
    </row>
    <row r="21" spans="1:18">
      <c r="A21" s="2641"/>
      <c r="B21" s="329" t="s">
        <v>2941</v>
      </c>
      <c r="C21" s="2698">
        <f>C7</f>
        <v>0</v>
      </c>
      <c r="D21" s="2660"/>
      <c r="E21" s="2642"/>
      <c r="F21" s="2697" t="s">
        <v>2955</v>
      </c>
      <c r="G21" s="2700"/>
    </row>
    <row r="22" spans="1:18" ht="13.5" customHeight="1">
      <c r="A22" s="2641"/>
      <c r="B22" s="329" t="s">
        <v>2943</v>
      </c>
      <c r="C22" s="2698">
        <f>C8</f>
        <v>0</v>
      </c>
      <c r="D22" s="2660"/>
      <c r="E22" s="2642"/>
      <c r="F22" s="2697" t="s">
        <v>2946</v>
      </c>
      <c r="G22" s="2699"/>
    </row>
    <row r="23" spans="1:18" s="907" customFormat="1" ht="15" thickBot="1">
      <c r="A23" s="2641"/>
      <c r="B23" s="2697" t="s">
        <v>2955</v>
      </c>
      <c r="C23" s="2700"/>
      <c r="D23" s="1896"/>
      <c r="E23" s="2643"/>
      <c r="F23" s="2701" t="s">
        <v>2956</v>
      </c>
      <c r="G23" s="2702"/>
      <c r="H23" s="2686"/>
      <c r="I23" s="2687"/>
      <c r="J23" s="2686"/>
      <c r="K23" s="2686"/>
      <c r="L23" s="2687"/>
      <c r="M23" s="2686"/>
      <c r="N23" s="2686"/>
      <c r="O23" s="2687"/>
      <c r="P23" s="2686"/>
      <c r="Q23" s="2686"/>
      <c r="R23" s="2688"/>
    </row>
    <row r="24" spans="1:18" s="907" customFormat="1" ht="15" thickBot="1">
      <c r="A24" s="2644"/>
      <c r="B24" s="2701" t="s">
        <v>2957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3519.53</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44638</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2888</v>
      </c>
      <c r="C5" s="2707">
        <f ca="1">ROUND(B5*10000/$B$1,0)</f>
        <v>8206</v>
      </c>
      <c r="D5" s="2707" t="e">
        <f ca="1">ROUND(B5*10000/$B$2,0)</f>
        <v>#DIV/0!</v>
      </c>
      <c r="E5" s="2884"/>
      <c r="F5" s="2885"/>
      <c r="G5" s="2885"/>
      <c r="H5" s="2886"/>
      <c r="I5" s="2886"/>
      <c r="J5" s="2886"/>
      <c r="K5" s="2886"/>
    </row>
    <row r="6" spans="1:11" ht="16.5">
      <c r="A6" s="2707" t="s">
        <v>1262</v>
      </c>
      <c r="B6" s="2707">
        <f ca="1">SUM(G14:G23)</f>
        <v>2888</v>
      </c>
      <c r="C6" s="2707">
        <f ca="1">ROUND(B6*10000/$B$1,0)</f>
        <v>8206</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3519.53</v>
      </c>
      <c r="C14" s="2713">
        <f>结果表!C118</f>
        <v>0</v>
      </c>
      <c r="D14" s="2713">
        <f ca="1">结果表!H118</f>
        <v>2888</v>
      </c>
      <c r="E14" s="2713">
        <f ca="1">ROUND(D14*10000/B14,0)</f>
        <v>8206</v>
      </c>
      <c r="F14" s="2713" t="e">
        <f ca="1">ROUND(D14*10000/C14,0)</f>
        <v>#DIV/0!</v>
      </c>
      <c r="G14" s="2713">
        <f ca="1">结果表!D122</f>
        <v>2888</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3" sqref="F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76" t="str">
        <f>项目基本情况!S2</f>
        <v>北京市房地产</v>
      </c>
      <c r="B2" s="3377"/>
      <c r="C2" s="3377"/>
      <c r="D2" s="3377"/>
      <c r="E2" s="3377"/>
      <c r="F2" s="3377"/>
      <c r="G2" s="3377"/>
      <c r="H2" s="3377"/>
      <c r="I2" s="3378"/>
    </row>
    <row r="3" spans="1:12" ht="12.75">
      <c r="A3" s="3380" t="s">
        <v>1890</v>
      </c>
      <c r="B3" s="3381"/>
      <c r="C3" s="3381"/>
      <c r="D3" s="3381"/>
      <c r="E3" s="3381"/>
      <c r="F3" s="3381"/>
      <c r="G3" s="3381"/>
      <c r="H3" s="3381"/>
      <c r="I3" s="3381"/>
    </row>
    <row r="4" spans="1:12" ht="14.25">
      <c r="A4" s="1909" t="s">
        <v>1891</v>
      </c>
      <c r="B4" s="1910" t="s">
        <v>1892</v>
      </c>
      <c r="C4" s="1911" t="s">
        <v>3149</v>
      </c>
      <c r="D4" s="1911" t="s">
        <v>3129</v>
      </c>
      <c r="E4" s="3382" t="s">
        <v>1893</v>
      </c>
      <c r="F4" s="3383"/>
      <c r="G4" s="3383"/>
      <c r="H4" s="3383"/>
      <c r="I4" s="338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6" t="s">
        <v>1894</v>
      </c>
      <c r="B5" s="3343">
        <v>25</v>
      </c>
      <c r="C5" s="3359"/>
      <c r="D5" s="3379"/>
      <c r="E5" s="136" t="s">
        <v>1895</v>
      </c>
      <c r="F5" s="1912"/>
      <c r="G5" s="1912"/>
      <c r="H5" s="1912"/>
      <c r="I5" s="1526"/>
    </row>
    <row r="6" spans="1:12" ht="12.75">
      <c r="A6" s="3356"/>
      <c r="B6" s="3343"/>
      <c r="C6" s="3360"/>
      <c r="D6" s="3379"/>
      <c r="E6" s="136" t="s">
        <v>1896</v>
      </c>
      <c r="F6" s="1912"/>
      <c r="G6" s="1912"/>
      <c r="H6" s="1912"/>
      <c r="I6" s="1526"/>
    </row>
    <row r="7" spans="1:12" ht="12.75">
      <c r="A7" s="3356"/>
      <c r="B7" s="3343"/>
      <c r="C7" s="3361"/>
      <c r="D7" s="3379"/>
      <c r="E7" s="136" t="s">
        <v>1897</v>
      </c>
      <c r="F7" s="1912"/>
      <c r="G7" s="1912"/>
      <c r="H7" s="1912"/>
      <c r="I7" s="1526"/>
    </row>
    <row r="8" spans="1:12" ht="12.75">
      <c r="A8" s="3356" t="s">
        <v>1898</v>
      </c>
      <c r="B8" s="3343">
        <v>15</v>
      </c>
      <c r="C8" s="3359"/>
      <c r="D8" s="3379"/>
      <c r="E8" s="136" t="s">
        <v>1899</v>
      </c>
      <c r="F8" s="1912"/>
      <c r="G8" s="1912"/>
      <c r="H8" s="1912"/>
      <c r="I8" s="1526"/>
    </row>
    <row r="9" spans="1:12" ht="12.75">
      <c r="A9" s="3356"/>
      <c r="B9" s="3343"/>
      <c r="C9" s="3361"/>
      <c r="D9" s="3379"/>
      <c r="E9" s="136" t="s">
        <v>1900</v>
      </c>
      <c r="F9" s="1912"/>
      <c r="G9" s="1912"/>
      <c r="H9" s="1912"/>
      <c r="I9" s="1526"/>
    </row>
    <row r="10" spans="1:12" ht="12.75">
      <c r="A10" s="3356" t="s">
        <v>1901</v>
      </c>
      <c r="B10" s="3343">
        <v>15</v>
      </c>
      <c r="C10" s="3359"/>
      <c r="D10" s="3379"/>
      <c r="E10" s="136" t="s">
        <v>1902</v>
      </c>
      <c r="F10" s="1912"/>
      <c r="G10" s="1912"/>
      <c r="H10" s="1912"/>
      <c r="I10" s="1526"/>
    </row>
    <row r="11" spans="1:12" ht="12.75">
      <c r="A11" s="3356"/>
      <c r="B11" s="3343"/>
      <c r="C11" s="3361"/>
      <c r="D11" s="3379"/>
      <c r="E11" s="136" t="s">
        <v>1903</v>
      </c>
      <c r="F11" s="1912"/>
      <c r="G11" s="1912"/>
      <c r="H11" s="1912"/>
      <c r="I11" s="1526"/>
    </row>
    <row r="12" spans="1:12" ht="12.75">
      <c r="A12" s="3356" t="s">
        <v>1904</v>
      </c>
      <c r="B12" s="3343">
        <v>15</v>
      </c>
      <c r="C12" s="3359"/>
      <c r="D12" s="3379"/>
      <c r="E12" s="136" t="s">
        <v>1905</v>
      </c>
      <c r="F12" s="1912"/>
      <c r="G12" s="1912"/>
      <c r="H12" s="1912"/>
      <c r="I12" s="1526"/>
    </row>
    <row r="13" spans="1:12" ht="12.75">
      <c r="A13" s="3356"/>
      <c r="B13" s="3343"/>
      <c r="C13" s="3361"/>
      <c r="D13" s="3379"/>
      <c r="E13" s="136" t="s">
        <v>1906</v>
      </c>
      <c r="F13" s="1912"/>
      <c r="G13" s="1912"/>
      <c r="H13" s="1912"/>
      <c r="I13" s="1526"/>
    </row>
    <row r="14" spans="1:12" ht="12.75">
      <c r="A14" s="3356" t="s">
        <v>1907</v>
      </c>
      <c r="B14" s="3343">
        <v>30</v>
      </c>
      <c r="C14" s="3359">
        <v>4</v>
      </c>
      <c r="D14" s="3379">
        <v>6</v>
      </c>
      <c r="E14" s="136" t="s">
        <v>1908</v>
      </c>
      <c r="F14" s="1912"/>
      <c r="G14" s="1912"/>
      <c r="H14" s="1912"/>
      <c r="I14" s="1526"/>
    </row>
    <row r="15" spans="1:12" ht="12.75">
      <c r="A15" s="3356"/>
      <c r="B15" s="3343"/>
      <c r="C15" s="3360"/>
      <c r="D15" s="3379"/>
      <c r="E15" s="136" t="s">
        <v>1909</v>
      </c>
      <c r="F15" s="1912"/>
      <c r="G15" s="1912"/>
      <c r="H15" s="1912"/>
      <c r="I15" s="1526"/>
    </row>
    <row r="16" spans="1:12" ht="12.75">
      <c r="A16" s="3356"/>
      <c r="B16" s="3343"/>
      <c r="C16" s="3361"/>
      <c r="D16" s="3379"/>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366" t="s">
        <v>2811</v>
      </c>
      <c r="F18" s="3367"/>
      <c r="G18" s="3367"/>
      <c r="H18" s="3367"/>
      <c r="I18" s="3367"/>
      <c r="K18" s="308" t="s">
        <v>1915</v>
      </c>
      <c r="L18" s="308">
        <f>IF(C1="",'数据-汇总表'!E3,SUMIF(项目类型,C1,'数据-汇总表'!E17:E26)+SUMIF(项目类型,C1,'数据-汇总表'!I17:I26))</f>
        <v>3519.53</v>
      </c>
      <c r="M18" s="308">
        <f>IF(C1="",'数据-汇总表'!E3,SUMIF(项目类型,C1,'数据-汇总表'!E17:E26))</f>
        <v>3519.53</v>
      </c>
    </row>
    <row r="19" spans="1:36" ht="15">
      <c r="A19" s="1916" t="s">
        <v>1916</v>
      </c>
      <c r="B19" s="1917" t="s">
        <v>1917</v>
      </c>
      <c r="C19" s="139">
        <f ca="1">SUMIF(INDIRECT("'"&amp;C4&amp;"'"&amp;"!A:A"),结果表!B19,INDIRECT("'"&amp;C4&amp;"'"&amp;"!B:B"))</f>
        <v>1963</v>
      </c>
      <c r="D19" s="140">
        <f ca="1">SUMIF(INDIRECT("'"&amp;D4&amp;"'"&amp;"!A:A"),结果表!B19,INDIRECT("'"&amp;D4&amp;"'"&amp;"!B:B"))</f>
        <v>3504</v>
      </c>
      <c r="E19" s="1916" t="s">
        <v>1918</v>
      </c>
      <c r="F19" s="1917" t="s">
        <v>1917</v>
      </c>
      <c r="G19" s="141">
        <f ca="1">ROUND(C19*$C$18+D19*$D$18,0)</f>
        <v>2888</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7" t="s">
        <v>1921</v>
      </c>
      <c r="C20" s="142">
        <f ca="1">SUMIF(INDIRECT("'"&amp;C4&amp;"'"&amp;"!A:A"),结果表!B20,INDIRECT("'"&amp;C4&amp;"'"&amp;"!B:B"))</f>
        <v>5577</v>
      </c>
      <c r="D20" s="143">
        <f ca="1">SUMIF(INDIRECT("'"&amp;D4&amp;"'"&amp;"!A:A"),结果表!B20,INDIRECT("'"&amp;D4&amp;"'"&amp;"!B:B"))</f>
        <v>9956</v>
      </c>
      <c r="E20" s="1919"/>
      <c r="F20" s="1157" t="s">
        <v>1921</v>
      </c>
      <c r="G20" s="144">
        <f ca="1">ROUND(C20*$C$18+D20*$D$18,0)</f>
        <v>8204</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0.78502292409577179</v>
      </c>
      <c r="E22" s="134"/>
      <c r="F22" s="134"/>
      <c r="G22" s="134"/>
      <c r="H22" s="134"/>
      <c r="I22" s="134"/>
    </row>
    <row r="23" spans="1:36" ht="13.5" thickBot="1">
      <c r="A23" s="1902"/>
      <c r="B23" s="1902"/>
      <c r="C23" s="1902"/>
      <c r="D23" s="1902"/>
      <c r="E23" s="134"/>
      <c r="F23" s="134"/>
      <c r="G23" s="134"/>
      <c r="H23" s="134"/>
      <c r="I23" s="134"/>
    </row>
    <row r="24" spans="1:36" ht="14.25">
      <c r="A24" s="3350" t="s">
        <v>1925</v>
      </c>
      <c r="B24" s="1917" t="s">
        <v>1917</v>
      </c>
      <c r="C24" s="141">
        <f>IF(B30=0,0,D30)</f>
        <v>0</v>
      </c>
      <c r="D24" s="1924"/>
      <c r="E24" s="134"/>
      <c r="F24" s="134"/>
      <c r="G24" s="134"/>
      <c r="H24" s="134"/>
      <c r="I24" s="134"/>
    </row>
    <row r="25" spans="1:36" ht="14.25">
      <c r="A25" s="3351"/>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2888</v>
      </c>
      <c r="D32" s="1930" t="s">
        <v>3150</v>
      </c>
      <c r="E32" s="134"/>
      <c r="F32" s="134"/>
      <c r="G32" s="134"/>
      <c r="H32" s="134"/>
      <c r="I32" s="134"/>
    </row>
    <row r="33" spans="1:15" ht="15">
      <c r="A33" s="894" t="s">
        <v>1932</v>
      </c>
      <c r="B33" s="1931"/>
      <c r="C33" s="1932" t="s">
        <v>3151</v>
      </c>
      <c r="D33" s="1933" t="s">
        <v>3149</v>
      </c>
      <c r="E33" s="1934" t="s">
        <v>1933</v>
      </c>
      <c r="F33" s="1935" t="str">
        <f>IF(D32="楼面单价","取值（单价）","取值（总价）")</f>
        <v>取值（总价）</v>
      </c>
      <c r="G33" s="134"/>
      <c r="H33" s="134"/>
      <c r="I33" s="134"/>
    </row>
    <row r="34" spans="1:15" ht="15">
      <c r="A34" s="1936"/>
      <c r="B34" s="1937" t="s">
        <v>1934</v>
      </c>
      <c r="C34" s="153">
        <f ca="1">IF(C33="自定义",F34,C32-C35)</f>
        <v>921</v>
      </c>
      <c r="D34" s="970">
        <f ca="1">IF(C33="自定义",ROUND(C34/C32,3),IF(C33="收益比率",SUMIF(INDIRECT("'"&amp;D33&amp;"'"&amp;"!b:b"),"土地收益比率",INDIRECT("'"&amp;D33&amp;"'"&amp;"!c:c")),SUMIF(INDIRECT("'"&amp;D33&amp;"'"&amp;"!b:b"),"土地成本比率",INDIRECT("'"&amp;D33&amp;"'"&amp;"!c:c"))))</f>
        <v>0.31899999999999995</v>
      </c>
      <c r="E34" s="1938" t="s">
        <v>1935</v>
      </c>
      <c r="F34" s="1469"/>
      <c r="G34" s="134"/>
      <c r="H34" s="134"/>
      <c r="I34" s="134"/>
    </row>
    <row r="35" spans="1:15" ht="15.75" thickBot="1">
      <c r="A35" s="1939"/>
      <c r="B35" s="1940" t="s">
        <v>1936</v>
      </c>
      <c r="C35" s="1304">
        <f ca="1">IF(C33="自定义",F35,ROUND(C32*D35,0))</f>
        <v>1967</v>
      </c>
      <c r="D35" s="1305">
        <f ca="1">IF(C33="自定义",ROUND(C35/C32,3),IF(C33="收益比率",SUMIF(INDIRECT("'"&amp;D33&amp;"'"&amp;"!b:b"),"建筑物收益比率",INDIRECT("'"&amp;D33&amp;"'"&amp;"!c:c")),SUMIF(INDIRECT("'"&amp;D33&amp;"'"&amp;"!b:b"),"建筑物成本比率",INDIRECT("'"&amp;D33&amp;"'"&amp;"!c:c"))))</f>
        <v>0.68100000000000005</v>
      </c>
      <c r="E35" s="1941" t="s">
        <v>1937</v>
      </c>
      <c r="F35" s="159"/>
      <c r="G35" s="134"/>
      <c r="H35" s="134"/>
      <c r="I35" s="134"/>
    </row>
    <row r="36" spans="1:15" ht="15.75" thickBot="1">
      <c r="A36" s="3370" t="s">
        <v>1938</v>
      </c>
      <c r="B36" s="1942" t="s">
        <v>1939</v>
      </c>
      <c r="C36" s="150"/>
      <c r="D36" s="1943"/>
      <c r="E36" s="1944"/>
      <c r="F36" s="1945"/>
      <c r="G36" s="134"/>
      <c r="H36" s="134"/>
      <c r="I36" s="134"/>
    </row>
    <row r="37" spans="1:15" ht="15.75" thickBot="1">
      <c r="A37" s="3371"/>
      <c r="B37" s="1829" t="s">
        <v>1940</v>
      </c>
      <c r="C37" s="152"/>
      <c r="D37" s="1273"/>
      <c r="E37" s="1273"/>
      <c r="F37" s="1945"/>
      <c r="G37" s="134"/>
      <c r="H37" s="134"/>
      <c r="I37" s="134"/>
    </row>
    <row r="38" spans="1:15" ht="15.75" thickBot="1">
      <c r="A38" s="337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47" t="s">
        <v>1952</v>
      </c>
      <c r="B45" s="3348"/>
      <c r="C45" s="3349"/>
      <c r="D45" s="160">
        <f ca="1">ROUND(H101*F45,0)</f>
        <v>2888</v>
      </c>
      <c r="E45" s="161" t="s">
        <v>1953</v>
      </c>
      <c r="F45" s="162">
        <v>1</v>
      </c>
      <c r="G45" s="163" t="s">
        <v>1954</v>
      </c>
      <c r="H45" s="134"/>
      <c r="I45" s="134"/>
      <c r="J45" s="3428" t="s">
        <v>1955</v>
      </c>
      <c r="K45" s="3428"/>
      <c r="L45" s="3428"/>
      <c r="M45" s="3428"/>
      <c r="N45" s="3428"/>
      <c r="O45" s="3428"/>
    </row>
    <row r="46" spans="1:15" ht="14.25" customHeight="1">
      <c r="A46" s="3344" t="s">
        <v>1956</v>
      </c>
      <c r="B46" s="3345"/>
      <c r="C46" s="3345"/>
      <c r="D46" s="3345"/>
      <c r="E46" s="3345"/>
      <c r="F46" s="3345"/>
      <c r="G46" s="3346"/>
      <c r="H46" s="1961"/>
      <c r="I46" s="164"/>
      <c r="J46" s="2718">
        <v>1</v>
      </c>
      <c r="K46" s="3409" t="s">
        <v>1957</v>
      </c>
      <c r="L46" s="3409"/>
      <c r="M46" s="3429"/>
      <c r="N46" s="3429"/>
      <c r="O46" s="3429"/>
    </row>
    <row r="47" spans="1:15" ht="12" customHeight="1">
      <c r="A47" s="165" t="s">
        <v>1958</v>
      </c>
      <c r="B47" s="166"/>
      <c r="C47" s="167"/>
      <c r="D47" s="1219" t="s">
        <v>1959</v>
      </c>
      <c r="E47" s="308" t="s">
        <v>1960</v>
      </c>
      <c r="F47" s="168" t="s">
        <v>1961</v>
      </c>
      <c r="G47" s="2741" t="s">
        <v>1962</v>
      </c>
      <c r="H47" s="2742"/>
      <c r="I47" s="164"/>
      <c r="J47" s="2718">
        <v>2</v>
      </c>
      <c r="K47" s="3409" t="s">
        <v>1963</v>
      </c>
      <c r="L47" s="3409"/>
      <c r="M47" s="3430">
        <f>'数据-取费表'!B2</f>
        <v>44638</v>
      </c>
      <c r="N47" s="3430"/>
      <c r="O47" s="3430"/>
    </row>
    <row r="48" spans="1:15" ht="25.5">
      <c r="A48" s="3375" t="s">
        <v>1964</v>
      </c>
      <c r="B48" s="3358"/>
      <c r="C48" s="3358"/>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409" t="s">
        <v>1966</v>
      </c>
      <c r="L48" s="3409"/>
      <c r="M48" s="3431">
        <f ca="1">H101</f>
        <v>2888</v>
      </c>
      <c r="N48" s="3431"/>
      <c r="O48" s="3431"/>
    </row>
    <row r="49" spans="1:35" ht="25.5" customHeight="1">
      <c r="A49" s="2525" t="s">
        <v>1967</v>
      </c>
      <c r="B49" s="3342" t="s">
        <v>1968</v>
      </c>
      <c r="C49" s="3342"/>
      <c r="D49" s="1744">
        <v>0</v>
      </c>
      <c r="E49" s="330" t="s">
        <v>1969</v>
      </c>
      <c r="F49" s="2619" t="s">
        <v>34</v>
      </c>
      <c r="G49" s="3415"/>
      <c r="H49" s="2497" t="s">
        <v>2814</v>
      </c>
      <c r="I49" s="2498"/>
      <c r="J49" s="2718">
        <v>4</v>
      </c>
      <c r="K49" s="3409" t="str">
        <f>IF(项目基本情况!E8="房地产抵押价值","房地产抵押价值","抵押担保权已注销时的房地产抵押价值")</f>
        <v>房地产抵押价值</v>
      </c>
      <c r="L49" s="3409"/>
      <c r="M49" s="3431">
        <f ca="1">IF(项目基本情况!E8="房地产抵押价值",H107,H109)</f>
        <v>2888</v>
      </c>
      <c r="N49" s="3431"/>
      <c r="O49" s="3431"/>
    </row>
    <row r="50" spans="1:35" ht="25.5" customHeight="1">
      <c r="A50" s="2746"/>
      <c r="B50" s="3342" t="s">
        <v>1970</v>
      </c>
      <c r="C50" s="3342"/>
      <c r="D50" s="2747"/>
      <c r="E50" s="338"/>
      <c r="F50" s="2619"/>
      <c r="G50" s="3416"/>
      <c r="H50" s="2499" t="s">
        <v>2815</v>
      </c>
      <c r="I50" s="2498"/>
      <c r="J50" s="3428" t="s">
        <v>1971</v>
      </c>
      <c r="K50" s="3428"/>
      <c r="L50" s="3428"/>
      <c r="M50" s="3428"/>
      <c r="N50" s="3428"/>
      <c r="O50" s="3428"/>
    </row>
    <row r="51" spans="1:35" ht="20.45" customHeight="1">
      <c r="A51" s="2748"/>
      <c r="B51" s="3342" t="s">
        <v>1972</v>
      </c>
      <c r="C51" s="3342"/>
      <c r="D51" s="1219"/>
      <c r="E51" s="333"/>
      <c r="F51" s="2619"/>
      <c r="G51" s="3417"/>
      <c r="H51" s="2499" t="s">
        <v>2816</v>
      </c>
      <c r="I51" s="2498"/>
      <c r="J51" s="2719" t="s">
        <v>1973</v>
      </c>
      <c r="K51" s="3409" t="s">
        <v>1974</v>
      </c>
      <c r="L51" s="3409"/>
      <c r="M51" s="2719" t="s">
        <v>1975</v>
      </c>
      <c r="N51" s="2719" t="s">
        <v>1976</v>
      </c>
      <c r="O51" s="2719" t="s">
        <v>1977</v>
      </c>
    </row>
    <row r="52" spans="1:35" ht="24" customHeight="1">
      <c r="A52" s="2527" t="s">
        <v>1978</v>
      </c>
      <c r="B52" s="3342" t="s">
        <v>1979</v>
      </c>
      <c r="C52" s="3342"/>
      <c r="D52" s="1219">
        <f ca="1">ROUND(D45*'数据-取费表'!B41/(1+'数据-取费表'!C42),0)</f>
        <v>154</v>
      </c>
      <c r="E52" s="2526" t="s">
        <v>1980</v>
      </c>
      <c r="F52" s="2749">
        <f>'数据-取费表'!B41</f>
        <v>5.6000000000000001E-2</v>
      </c>
      <c r="G52" s="2750"/>
      <c r="H52" s="2739"/>
      <c r="I52" s="1962"/>
      <c r="J52" s="2718">
        <v>1</v>
      </c>
      <c r="K52" s="3410" t="s">
        <v>1981</v>
      </c>
      <c r="L52" s="3410"/>
      <c r="M52" s="2720" t="b">
        <f>D48</f>
        <v>0</v>
      </c>
      <c r="N52" s="2718" t="str">
        <f>E48</f>
        <v>销售额×税（费）率</v>
      </c>
      <c r="O52" s="2721">
        <f>F48</f>
        <v>5.6000000000000001E-2</v>
      </c>
    </row>
    <row r="53" spans="1:35" ht="12" customHeight="1">
      <c r="A53" s="2527" t="s">
        <v>1982</v>
      </c>
      <c r="B53" s="3368" t="s">
        <v>2966</v>
      </c>
      <c r="C53" s="3369"/>
      <c r="D53" s="1219">
        <f ca="1">ROUND(D45*'数据-取费表'!B41/(1+'数据-取费表'!C42),0)</f>
        <v>154</v>
      </c>
      <c r="E53" s="2526" t="s">
        <v>1980</v>
      </c>
      <c r="F53" s="2749">
        <f>'数据-取费表'!B41</f>
        <v>5.6000000000000001E-2</v>
      </c>
      <c r="G53" s="2750"/>
      <c r="H53" s="2739"/>
      <c r="I53" s="1962"/>
      <c r="J53" s="2718">
        <v>2</v>
      </c>
      <c r="K53" s="3410" t="s">
        <v>1983</v>
      </c>
      <c r="L53" s="3410"/>
      <c r="M53" s="2720">
        <f t="shared" ref="M53:O54" ca="1" si="0">D55</f>
        <v>1</v>
      </c>
      <c r="N53" s="2718" t="str">
        <f t="shared" si="0"/>
        <v>销售额×税（费）率</v>
      </c>
      <c r="O53" s="2721" t="str">
        <f t="shared" si="0"/>
        <v>免征</v>
      </c>
    </row>
    <row r="54" spans="1:35" ht="12" customHeight="1">
      <c r="A54" s="2527" t="s">
        <v>1984</v>
      </c>
      <c r="B54" s="3368" t="s">
        <v>2967</v>
      </c>
      <c r="C54" s="3369"/>
      <c r="D54" s="1219">
        <f ca="1">C68</f>
        <v>154</v>
      </c>
      <c r="E54" s="333" t="s">
        <v>1985</v>
      </c>
      <c r="F54" s="2749">
        <f>'数据-取费表'!B41</f>
        <v>5.6000000000000001E-2</v>
      </c>
      <c r="G54" s="2750"/>
      <c r="H54" s="2751"/>
      <c r="I54" s="1962"/>
      <c r="J54" s="2718">
        <v>3</v>
      </c>
      <c r="K54" s="3410" t="s">
        <v>1986</v>
      </c>
      <c r="L54" s="3410"/>
      <c r="M54" s="2720">
        <f t="shared" ca="1" si="0"/>
        <v>1634</v>
      </c>
      <c r="N54" s="2718" t="str">
        <f t="shared" si="0"/>
        <v>增值额×税（费）率</v>
      </c>
      <c r="O54" s="2722" t="str">
        <f t="shared" si="0"/>
        <v>免征</v>
      </c>
    </row>
    <row r="55" spans="1:35" ht="24" customHeight="1">
      <c r="A55" s="3357" t="s">
        <v>1987</v>
      </c>
      <c r="B55" s="3358"/>
      <c r="C55" s="3358"/>
      <c r="D55" s="2516">
        <f ca="1">IF(H55="个人住宅",0,ROUND(D45*I55,0))</f>
        <v>1</v>
      </c>
      <c r="E55" s="2526" t="s">
        <v>1988</v>
      </c>
      <c r="F55" s="2749" t="str">
        <f>IF(H55="正常",I55,"免征")</f>
        <v>免征</v>
      </c>
      <c r="G55" s="2750"/>
      <c r="H55" s="2745"/>
      <c r="I55" s="170">
        <f>'数据-取费表'!B49</f>
        <v>5.0000000000000001E-4</v>
      </c>
      <c r="J55" s="2718">
        <f>IF(H59="非个人房产","",4)</f>
        <v>4</v>
      </c>
      <c r="K55" s="3410" t="str">
        <f>IF(H59="非个人房产","——","个人所得税")</f>
        <v>个人所得税</v>
      </c>
      <c r="L55" s="3410"/>
      <c r="M55" s="2723">
        <f ca="1">D59</f>
        <v>28</v>
      </c>
      <c r="N55" s="2197" t="str">
        <f>E59</f>
        <v>差额计税</v>
      </c>
      <c r="O55" s="2724">
        <f>F59</f>
        <v>0.01</v>
      </c>
    </row>
    <row r="56" spans="1:35" ht="24.75">
      <c r="A56" s="3357" t="s">
        <v>1989</v>
      </c>
      <c r="B56" s="3358"/>
      <c r="C56" s="3358"/>
      <c r="D56" s="2516">
        <f ca="1">IF(H56="个人住宅",D57,D58)</f>
        <v>1634</v>
      </c>
      <c r="E56" s="2526" t="s">
        <v>1990</v>
      </c>
      <c r="F56" s="2749" t="str">
        <f>IF(H56="正常",F58,"免征")</f>
        <v>免征</v>
      </c>
      <c r="G56" s="2752" t="s">
        <v>1991</v>
      </c>
      <c r="H56" s="2753"/>
      <c r="I56" s="1963"/>
      <c r="J56" s="2718" t="str">
        <f>IF(项目基本情况!K6="上海银行",IF(J55="",4,J55+1),"")</f>
        <v/>
      </c>
      <c r="K56" s="3433" t="str">
        <f>IF(项目基本情况!K6="上海银行","其他处置费用","")</f>
        <v/>
      </c>
      <c r="L56" s="3434"/>
      <c r="M56" s="2720" t="str">
        <f>IF(项目基本情况!K6="上海银行",M69,"")</f>
        <v/>
      </c>
      <c r="N56" s="3433" t="str">
        <f>IF(项目基本情况!K6="上海银行","包含处置中涉及的律师、诉讼、拍卖、评估等费用","")</f>
        <v/>
      </c>
      <c r="O56" s="3436"/>
    </row>
    <row r="57" spans="1:35" ht="12.75">
      <c r="A57" s="2527" t="s">
        <v>1967</v>
      </c>
      <c r="B57" s="3368" t="s">
        <v>1992</v>
      </c>
      <c r="C57" s="3369"/>
      <c r="D57" s="1744">
        <v>0</v>
      </c>
      <c r="E57" s="330" t="s">
        <v>1969</v>
      </c>
      <c r="F57" s="308"/>
      <c r="G57" s="2750"/>
      <c r="H57" s="2754"/>
      <c r="I57" s="1963"/>
      <c r="J57" s="3410">
        <f>IF(AND(J55="",J56=""),4,IF(项目基本情况!K6="上海银行",结果表!J56+1,结果表!J55+1))</f>
        <v>5</v>
      </c>
      <c r="K57" s="3410" t="s">
        <v>1993</v>
      </c>
      <c r="L57" s="2725" t="s">
        <v>1994</v>
      </c>
      <c r="M57" s="2726"/>
      <c r="N57" s="2727">
        <f ca="1">SUMIF(M52:M56,"&lt;9e307")</f>
        <v>1663</v>
      </c>
      <c r="O57" s="2728"/>
      <c r="P57" s="2888">
        <f ca="1">N57/M49</f>
        <v>0.57583102493074789</v>
      </c>
    </row>
    <row r="58" spans="1:35" ht="24.75">
      <c r="A58" s="2527" t="s">
        <v>1978</v>
      </c>
      <c r="B58" s="3368" t="s">
        <v>1995</v>
      </c>
      <c r="C58" s="3342"/>
      <c r="D58" s="2516">
        <f ca="1">IF(H58="转让取得",C81,C97)</f>
        <v>1634</v>
      </c>
      <c r="E58" s="2526" t="s">
        <v>1990</v>
      </c>
      <c r="F58" s="308" t="s">
        <v>34</v>
      </c>
      <c r="G58" s="2750"/>
      <c r="H58" s="2753"/>
      <c r="I58" s="1963"/>
      <c r="J58" s="3410"/>
      <c r="K58" s="3410"/>
      <c r="L58" s="2725" t="s">
        <v>1996</v>
      </c>
      <c r="M58" s="2729"/>
      <c r="N58" s="2730" t="str">
        <f ca="1">NUMBERSTRING(INT(N57*10000),2)&amp;"元整"</f>
        <v>壹仟陆佰陆拾叁万元整</v>
      </c>
      <c r="O58" s="2731"/>
    </row>
    <row r="59" spans="1:35" ht="24.75" thickBot="1">
      <c r="A59" s="3413" t="s">
        <v>1997</v>
      </c>
      <c r="B59" s="3414"/>
      <c r="C59" s="3414"/>
      <c r="D59" s="2755">
        <f ca="1">IF(H59="非个人房产","——",IF(H59="个人住宅（满五唯一有凭证）",0,IF(H59="个人其他（无凭证）",ROUND(D45*F59,0),ROUND(C67*F59,0))))</f>
        <v>28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11">
        <f>J57+1</f>
        <v>6</v>
      </c>
      <c r="K59" s="3410" t="s">
        <v>1998</v>
      </c>
      <c r="L59" s="2718" t="s">
        <v>1994</v>
      </c>
      <c r="M59" s="2732"/>
      <c r="N59" s="2733">
        <f ca="1">M49-N57</f>
        <v>1225</v>
      </c>
      <c r="O59" s="2734"/>
    </row>
    <row r="60" spans="1:35" ht="12" customHeight="1">
      <c r="A60" s="1964"/>
      <c r="B60" s="1902"/>
      <c r="C60" s="1902"/>
      <c r="D60" s="1902"/>
      <c r="E60" s="1732"/>
      <c r="F60" s="1963"/>
      <c r="G60" s="1963"/>
      <c r="H60" s="1965"/>
      <c r="I60" s="134"/>
      <c r="J60" s="3412"/>
      <c r="K60" s="3410"/>
      <c r="L60" s="2725" t="s">
        <v>1996</v>
      </c>
      <c r="M60" s="2729"/>
      <c r="N60" s="2730" t="str">
        <f ca="1">NUMBERSTRING(INT(N59*10000),2)&amp;"元整"</f>
        <v>壹仟贰佰贰拾伍万元整</v>
      </c>
      <c r="O60" s="2731"/>
    </row>
    <row r="61" spans="1:35" ht="13.5" thickBot="1">
      <c r="A61" s="3355" t="s">
        <v>1999</v>
      </c>
      <c r="B61" s="3355"/>
      <c r="C61" s="3355"/>
      <c r="D61" s="3355"/>
      <c r="E61" s="3355"/>
      <c r="F61" s="1963"/>
      <c r="G61" s="1963"/>
      <c r="H61" s="1965"/>
      <c r="I61" s="134"/>
      <c r="J61" s="2718">
        <f>J59+1</f>
        <v>7</v>
      </c>
      <c r="K61" s="3410" t="s">
        <v>2000</v>
      </c>
      <c r="L61" s="3410"/>
      <c r="M61" s="2735"/>
      <c r="N61" s="2736">
        <f ca="1">ROUND(N59*10000/'数据-汇总表'!E3,0)</f>
        <v>3481</v>
      </c>
      <c r="O61" s="2737"/>
    </row>
    <row r="62" spans="1:35" ht="12.75">
      <c r="A62" s="3373" t="s">
        <v>2001</v>
      </c>
      <c r="B62" s="3374"/>
      <c r="C62" s="2178"/>
      <c r="D62" s="2178" t="s">
        <v>2002</v>
      </c>
      <c r="E62" s="171" t="s">
        <v>2003</v>
      </c>
      <c r="F62" s="1963"/>
      <c r="G62" s="1963"/>
      <c r="H62" s="1965"/>
      <c r="I62" s="134"/>
    </row>
    <row r="63" spans="1:35" ht="12.75">
      <c r="A63" s="178" t="s">
        <v>775</v>
      </c>
      <c r="B63" s="172" t="s">
        <v>2004</v>
      </c>
      <c r="C63" s="2759">
        <f ca="1">ROUND((C64+C65)/(1+'数据-取费表'!C42),0)</f>
        <v>2750</v>
      </c>
      <c r="D63" s="172"/>
      <c r="E63" s="173"/>
      <c r="F63" s="1963"/>
      <c r="G63" s="1963"/>
      <c r="H63" s="1965"/>
      <c r="I63" s="134"/>
      <c r="J63" s="3435" t="s">
        <v>2005</v>
      </c>
      <c r="K63" s="1471" t="s">
        <v>2006</v>
      </c>
      <c r="L63" s="1471">
        <f ca="1">IF(M49&gt;10000,M49*0.5%,IF(AND(M49&gt;1000,M49&lt;=10000),M49*1%,IF(AND(M49&gt;100,M49&lt;=1000),M49*3%,IF(AND(M49&gt;10,M49&lt;=100),M49*5%,M49*8%))))</f>
        <v>28.88</v>
      </c>
      <c r="M63" s="308">
        <f ca="1">ROUND(L63,1)</f>
        <v>28.9</v>
      </c>
      <c r="N63" s="2738"/>
      <c r="Z63" s="1907"/>
      <c r="AI63" s="1908"/>
    </row>
    <row r="64" spans="1:35" ht="14.25" customHeight="1">
      <c r="A64" s="174" t="s">
        <v>770</v>
      </c>
      <c r="B64" s="175" t="s">
        <v>2007</v>
      </c>
      <c r="C64" s="2760">
        <f ca="1">D45</f>
        <v>2888</v>
      </c>
      <c r="D64" s="175" t="s">
        <v>32</v>
      </c>
      <c r="E64" s="177"/>
      <c r="F64" s="1963"/>
      <c r="G64" s="1963"/>
      <c r="H64" s="1965"/>
      <c r="I64" s="134"/>
      <c r="J64" s="3435"/>
      <c r="K64" s="1471" t="s">
        <v>2008</v>
      </c>
      <c r="L64" s="1471">
        <f ca="1">IF(M49&gt;2000,M49*0.5%,IF(AND(M49&gt;1000,M49&lt;=2000),M49*0.6%,IF(AND(M49&gt;500,M49&lt;=1000),M49*0.7%,IF(AND(M49&gt;200,M49&lt;=500),M49*0.8%,IF(AND(M49&gt;100,M49&lt;=200),M49*0.9%,IF(AND(M49&gt;50,M49&lt;=100),M49*1%,IF(AND(M49&gt;20,M49&lt;=50),M49*1.5%,IF(AND(M49&gt;10,M49&lt;=20),M49*2%,IF(AND(M49&gt;1,M49&lt;=10),M49*2.5%)))))))))</f>
        <v>14.44</v>
      </c>
      <c r="M64" s="308">
        <f t="shared" ref="M64:M65" ca="1" si="1">ROUND(L64,1)</f>
        <v>14.4</v>
      </c>
      <c r="N64" s="2739" t="s">
        <v>2009</v>
      </c>
      <c r="Z64" s="1907"/>
      <c r="AI64" s="1908"/>
    </row>
    <row r="65" spans="1:35" ht="14.25" customHeight="1">
      <c r="A65" s="174" t="s">
        <v>771</v>
      </c>
      <c r="B65" s="175" t="s">
        <v>2010</v>
      </c>
      <c r="C65" s="2761"/>
      <c r="D65" s="175"/>
      <c r="E65" s="177"/>
      <c r="F65" s="1963"/>
      <c r="G65" s="1963"/>
      <c r="H65" s="1965"/>
      <c r="I65" s="134"/>
      <c r="J65" s="3435"/>
      <c r="K65" s="1471" t="s">
        <v>2011</v>
      </c>
      <c r="L65" s="1471">
        <f ca="1">IF(M49&gt;1000,M49*0.1%,IF(AND(M49&gt;500,M49&lt;=1000),M49*0.5%,IF(AND(M49&gt;50,M49&lt;=500),M49*1%,IF(AND(M49&gt;1,M49&lt;=50),M49*1.5%))))</f>
        <v>2.8879999999999999</v>
      </c>
      <c r="M65" s="308">
        <f t="shared" ca="1" si="1"/>
        <v>2.9</v>
      </c>
      <c r="N65" s="2739" t="s">
        <v>2009</v>
      </c>
      <c r="Z65" s="1907"/>
      <c r="AI65" s="1908"/>
    </row>
    <row r="66" spans="1:35" ht="14.25" customHeight="1">
      <c r="A66" s="178" t="s">
        <v>772</v>
      </c>
      <c r="B66" s="179" t="s">
        <v>2012</v>
      </c>
      <c r="C66" s="2762"/>
      <c r="D66" s="179" t="s">
        <v>32</v>
      </c>
      <c r="E66" s="1478" t="s">
        <v>1277</v>
      </c>
      <c r="F66" s="1963"/>
      <c r="G66" s="1963"/>
      <c r="H66" s="1965"/>
      <c r="I66" s="134"/>
      <c r="J66" s="3435"/>
      <c r="K66" s="1471" t="s">
        <v>2013</v>
      </c>
      <c r="L66" s="1471">
        <f ca="1">M49*0.5%</f>
        <v>14.44</v>
      </c>
      <c r="M66" s="308">
        <f ca="1">IF(L66&gt;0.5,0.5,ROUND(L66,0))</f>
        <v>0.5</v>
      </c>
      <c r="N66" s="2739" t="s">
        <v>2014</v>
      </c>
      <c r="Z66" s="1907"/>
      <c r="AI66" s="1908"/>
    </row>
    <row r="67" spans="1:35" ht="14.25" customHeight="1">
      <c r="A67" s="178" t="s">
        <v>773</v>
      </c>
      <c r="B67" s="179" t="s">
        <v>2015</v>
      </c>
      <c r="C67" s="2763">
        <f ca="1">C63-C66</f>
        <v>2750</v>
      </c>
      <c r="D67" s="175" t="s">
        <v>32</v>
      </c>
      <c r="E67" s="177"/>
      <c r="F67" s="1963"/>
      <c r="G67" s="1963"/>
      <c r="H67" s="1965"/>
      <c r="I67" s="134"/>
      <c r="J67" s="3435"/>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154</v>
      </c>
      <c r="D68" s="2765">
        <f>'数据-取费表'!B41</f>
        <v>5.6000000000000001E-2</v>
      </c>
      <c r="E68" s="184"/>
      <c r="F68" s="1963"/>
      <c r="G68" s="1963"/>
      <c r="H68" s="1965"/>
      <c r="I68" s="134"/>
      <c r="J68" s="3435"/>
      <c r="K68" s="1471" t="s">
        <v>2018</v>
      </c>
      <c r="L68" s="1471">
        <f ca="1">IF(M49&gt;10000,M49*0.5%,IF(AND(M49&gt;5000,M49&lt;=10000),M49*1%,IF(AND(M49&gt;1000,M49&lt;=5000),M49*2%,IF(AND(M49&gt;200,M49&lt;=1000),M49*3%,M49*5%))))</f>
        <v>57.76</v>
      </c>
      <c r="M68" s="308">
        <f ca="1">ROUND(L68,1)</f>
        <v>57.8</v>
      </c>
      <c r="N68" s="2738"/>
      <c r="Z68" s="1907"/>
      <c r="AI68" s="1908"/>
    </row>
    <row r="69" spans="1:35" s="1927" customFormat="1" ht="16.5" customHeight="1">
      <c r="A69" s="1966"/>
      <c r="B69" s="1967"/>
      <c r="C69" s="1968"/>
      <c r="D69" s="1969"/>
      <c r="E69" s="1970"/>
      <c r="F69" s="1732"/>
      <c r="G69" s="1732"/>
      <c r="H69" s="1731"/>
      <c r="I69" s="1902"/>
      <c r="J69" s="3435"/>
      <c r="K69" s="1471" t="s">
        <v>2019</v>
      </c>
      <c r="L69" s="1471"/>
      <c r="M69" s="308">
        <f ca="1">ROUND(SUM(M63:M68),0)</f>
        <v>107</v>
      </c>
      <c r="N69" s="2740">
        <f ca="1">M69/M49</f>
        <v>3.7049861495844875E-2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4" t="s">
        <v>2020</v>
      </c>
      <c r="B70" s="3395"/>
      <c r="C70" s="3395"/>
      <c r="D70" s="3395"/>
      <c r="E70" s="3395"/>
      <c r="F70" s="3395"/>
      <c r="G70" s="3395"/>
      <c r="H70" s="339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3" t="s">
        <v>2001</v>
      </c>
      <c r="B71" s="337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2750</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68" t="s">
        <v>2028</v>
      </c>
      <c r="F76" s="3342"/>
      <c r="G76" s="3342"/>
      <c r="H76" s="339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17</v>
      </c>
      <c r="D78" s="2772">
        <f>'数据-取费表'!B43</f>
        <v>6.000000000000001E-3</v>
      </c>
      <c r="E78" s="3352" t="s">
        <v>2032</v>
      </c>
      <c r="F78" s="3353"/>
      <c r="G78" s="3353"/>
      <c r="H78" s="336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2733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160.76470588235293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1634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4" t="s">
        <v>2036</v>
      </c>
      <c r="B83" s="3395"/>
      <c r="C83" s="3395"/>
      <c r="D83" s="3395"/>
      <c r="E83" s="3395"/>
      <c r="F83" s="3395"/>
      <c r="G83" s="3395"/>
      <c r="H83" s="339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3" t="s">
        <v>2001</v>
      </c>
      <c r="B84" s="337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2750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2963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37" t="s">
        <v>2809</v>
      </c>
      <c r="H90" s="3438"/>
      <c r="I90" s="1976"/>
      <c r="J90" s="2716" t="s">
        <v>2964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52" t="s">
        <v>2045</v>
      </c>
      <c r="F91" s="3353"/>
      <c r="G91" s="335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52" t="s">
        <v>2048</v>
      </c>
      <c r="F92" s="3353"/>
      <c r="G92" s="3353"/>
      <c r="H92" s="3362"/>
      <c r="I92" s="1976"/>
      <c r="J92" s="2717" t="s">
        <v>2965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17</v>
      </c>
      <c r="D93" s="2772">
        <f>'数据-取费表'!B43</f>
        <v>6.000000000000001E-3</v>
      </c>
      <c r="E93" s="3352" t="s">
        <v>2032</v>
      </c>
      <c r="F93" s="3353"/>
      <c r="G93" s="3353"/>
      <c r="H93" s="336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63" t="s">
        <v>2052</v>
      </c>
      <c r="F94" s="3364"/>
      <c r="G94" s="3364"/>
      <c r="H94" s="336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2733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160.76470588235293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1634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6" t="s">
        <v>2054</v>
      </c>
      <c r="B100" s="3337"/>
      <c r="C100" s="3337"/>
      <c r="D100" s="3354"/>
      <c r="E100" s="3337" t="s">
        <v>2055</v>
      </c>
      <c r="F100" s="3337"/>
      <c r="G100" s="3337"/>
      <c r="H100" s="3354"/>
      <c r="I100" s="134"/>
    </row>
    <row r="101" spans="1:35" ht="18.75" customHeight="1">
      <c r="A101" s="3418" t="s">
        <v>2056</v>
      </c>
      <c r="B101" s="3419"/>
      <c r="C101" s="2780" t="str">
        <f>C4</f>
        <v>成本法</v>
      </c>
      <c r="D101" s="2781" t="str">
        <f>D4</f>
        <v>收益法</v>
      </c>
      <c r="E101" s="3432" t="s">
        <v>2057</v>
      </c>
      <c r="F101" s="3386"/>
      <c r="G101" s="1982" t="s">
        <v>2058</v>
      </c>
      <c r="H101" s="2790">
        <f ca="1">H118</f>
        <v>2888</v>
      </c>
      <c r="I101" s="134"/>
    </row>
    <row r="102" spans="1:35" ht="18.75" customHeight="1">
      <c r="A102" s="3388" t="s">
        <v>2059</v>
      </c>
      <c r="B102" s="2779" t="s">
        <v>2058</v>
      </c>
      <c r="C102" s="2780">
        <f ca="1">C19</f>
        <v>1963</v>
      </c>
      <c r="D102" s="2781">
        <f ca="1">D19</f>
        <v>3504</v>
      </c>
      <c r="E102" s="3432"/>
      <c r="F102" s="3386"/>
      <c r="G102" s="1982" t="s">
        <v>2060</v>
      </c>
      <c r="H102" s="2750">
        <f ca="1">I118</f>
        <v>8206</v>
      </c>
      <c r="I102" s="134"/>
    </row>
    <row r="103" spans="1:35" ht="42.75" customHeight="1">
      <c r="A103" s="3388"/>
      <c r="B103" s="2779" t="s">
        <v>2060</v>
      </c>
      <c r="C103" s="2782">
        <f ca="1">C20</f>
        <v>5577</v>
      </c>
      <c r="D103" s="2783">
        <f ca="1">D20</f>
        <v>9956</v>
      </c>
      <c r="E103" s="3426" t="s">
        <v>2061</v>
      </c>
      <c r="F103" s="3427"/>
      <c r="G103" s="1983" t="s">
        <v>2062</v>
      </c>
      <c r="H103" s="2790">
        <f>IF(D36="正常操作",H104+H105+H106,H105+H106)</f>
        <v>0</v>
      </c>
      <c r="I103" s="134"/>
    </row>
    <row r="104" spans="1:35" ht="18.75" customHeight="1">
      <c r="A104" s="3388" t="s">
        <v>2063</v>
      </c>
      <c r="B104" s="2784" t="s">
        <v>2058</v>
      </c>
      <c r="C104" s="2785">
        <f ca="1">H118</f>
        <v>2888</v>
      </c>
      <c r="D104" s="2786"/>
      <c r="E104" s="1829" t="s">
        <v>2064</v>
      </c>
      <c r="F104" s="1820"/>
      <c r="G104" s="1983" t="s">
        <v>2062</v>
      </c>
      <c r="H104" s="2791">
        <f>IF(D36="同一抵押权人同一抵押物续贷",C36&amp;"（续贷，未扣减，详见特别提示）",C36)</f>
        <v>0</v>
      </c>
      <c r="I104" s="134"/>
    </row>
    <row r="105" spans="1:35" ht="18.75" customHeight="1" thickBot="1">
      <c r="A105" s="3389"/>
      <c r="B105" s="2787" t="s">
        <v>2060</v>
      </c>
      <c r="C105" s="2788">
        <f ca="1">I118</f>
        <v>8206</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85" t="str">
        <f>IF(项目基本情况!E8="已注销","——","3.房地产抵押价值")</f>
        <v>3.房地产抵押价值</v>
      </c>
      <c r="F107" s="3386"/>
      <c r="G107" s="1982" t="s">
        <v>2058</v>
      </c>
      <c r="H107" s="2790">
        <f ca="1">IF(E107="——","——",H101-H103)</f>
        <v>2888</v>
      </c>
      <c r="I107" s="134"/>
    </row>
    <row r="108" spans="1:35" ht="18.75" customHeight="1">
      <c r="A108" s="134"/>
      <c r="B108" s="134"/>
      <c r="C108" s="134"/>
      <c r="D108" s="134"/>
      <c r="E108" s="3385"/>
      <c r="F108" s="3386"/>
      <c r="G108" s="1982" t="s">
        <v>2060</v>
      </c>
      <c r="H108" s="2750">
        <f ca="1">ROUND(H107*10000/'数据-汇总表'!E3,0)</f>
        <v>8206</v>
      </c>
      <c r="I108" s="134"/>
    </row>
    <row r="109" spans="1:35" ht="18.75" customHeight="1">
      <c r="A109" s="134"/>
      <c r="B109" s="134"/>
      <c r="C109" s="134"/>
      <c r="D109" s="134"/>
      <c r="E109" s="3385" t="str">
        <f>IF(项目基本情况!E8="已注销及未注销","4.抵押担保权已注销时的房地产抵押价值",IF(项目基本情况!E8="已注销","3.抵押担保权已注销时的房地产抵押价值","——"))</f>
        <v>——</v>
      </c>
      <c r="F109" s="3386"/>
      <c r="G109" s="1982" t="s">
        <v>2058</v>
      </c>
      <c r="H109" s="2793" t="str">
        <f>IF(E109="——","——",H101-H105-H106)</f>
        <v>——</v>
      </c>
      <c r="I109" s="134"/>
    </row>
    <row r="110" spans="1:35" ht="18.75" customHeight="1">
      <c r="A110" s="134"/>
      <c r="B110" s="134"/>
      <c r="C110" s="134"/>
      <c r="D110" s="134"/>
      <c r="E110" s="3385"/>
      <c r="F110" s="3386"/>
      <c r="G110" s="1982" t="s">
        <v>2060</v>
      </c>
      <c r="H110" s="2750" t="str">
        <f>IF(H109="——","——",ROUND(H109*10000/'数据-汇总表'!E3,0))</f>
        <v>——</v>
      </c>
      <c r="I110" s="134"/>
    </row>
    <row r="111" spans="1:35" ht="18.75" customHeight="1">
      <c r="A111" s="134"/>
      <c r="B111" s="134"/>
      <c r="C111" s="134"/>
      <c r="D111" s="134"/>
      <c r="E111" s="3420" t="str">
        <f>IF(项目基本情况!E9="抵押净值",IF(OR(项目基本情况!E8="已注销",项目基本情况!E8="房地产抵押价值"),"4.抵押净值","5.抵押净值"),"——")</f>
        <v>——</v>
      </c>
      <c r="F111" s="3387"/>
      <c r="G111" s="1982" t="s">
        <v>2058</v>
      </c>
      <c r="H111" s="2790" t="str">
        <f>IF(E111="——","——",N59)</f>
        <v>——</v>
      </c>
      <c r="I111" s="134"/>
    </row>
    <row r="112" spans="1:35" ht="18.75" customHeight="1" thickBot="1">
      <c r="A112" s="134"/>
      <c r="B112" s="134"/>
      <c r="C112" s="134"/>
      <c r="D112" s="134"/>
      <c r="E112" s="3421"/>
      <c r="F112" s="3422"/>
      <c r="G112" s="1985" t="s">
        <v>2060</v>
      </c>
      <c r="H112" s="2794" t="str">
        <f>IF(E111="——","——",N61)</f>
        <v>——</v>
      </c>
      <c r="I112" s="134"/>
    </row>
    <row r="113" spans="1:27" ht="18.75" customHeight="1">
      <c r="A113" s="134"/>
      <c r="B113" s="134"/>
      <c r="C113" s="134"/>
      <c r="D113" s="134"/>
      <c r="E113" s="3390" t="s">
        <v>2066</v>
      </c>
      <c r="F113" s="3390"/>
      <c r="G113" s="3390"/>
      <c r="H113" s="3390"/>
      <c r="I113" s="134"/>
    </row>
    <row r="114" spans="1:27" ht="3.75" customHeight="1">
      <c r="A114" s="1902"/>
      <c r="B114" s="1902"/>
      <c r="C114" s="1902"/>
      <c r="D114" s="1902"/>
      <c r="E114" s="1964"/>
      <c r="F114" s="1964"/>
      <c r="G114" s="1964"/>
      <c r="H114" s="1964"/>
      <c r="I114" s="1902"/>
    </row>
    <row r="115" spans="1:27" ht="18.75" customHeight="1">
      <c r="A115" s="3403" t="s">
        <v>2068</v>
      </c>
      <c r="B115" s="3404"/>
      <c r="C115" s="3404"/>
      <c r="D115" s="3404"/>
      <c r="E115" s="3404"/>
      <c r="F115" s="3404"/>
      <c r="G115" s="3404"/>
      <c r="H115" s="3404"/>
      <c r="I115" s="3405"/>
    </row>
    <row r="116" spans="1:27" ht="27" customHeight="1">
      <c r="A116" s="3356" t="s">
        <v>2069</v>
      </c>
      <c r="B116" s="3391" t="s">
        <v>2070</v>
      </c>
      <c r="C116" s="3391" t="s">
        <v>2071</v>
      </c>
      <c r="D116" s="3407" t="s">
        <v>2072</v>
      </c>
      <c r="E116" s="3408"/>
      <c r="F116" s="3399" t="s">
        <v>2073</v>
      </c>
      <c r="G116" s="3399"/>
      <c r="H116" s="3356" t="s">
        <v>2074</v>
      </c>
      <c r="I116" s="3356"/>
    </row>
    <row r="117" spans="1:27" ht="18.75" customHeight="1">
      <c r="A117" s="3356"/>
      <c r="B117" s="3392"/>
      <c r="C117" s="3392"/>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3519.53</v>
      </c>
      <c r="C118" s="2521">
        <f>M19</f>
        <v>0</v>
      </c>
      <c r="D118" s="2521">
        <f ca="1">ROUND(IF(D32="总价",C34,E118*B118/10000),0)</f>
        <v>921</v>
      </c>
      <c r="E118" s="2521">
        <f ca="1">ROUND(IF(C33="自定义",IF(D32="楼面单价",C34,D118*10000/B118),I118-G118),0)</f>
        <v>2617</v>
      </c>
      <c r="F118" s="2521">
        <f ca="1">ROUND(IF(D32="总价",C35,G118*B118/10000),0)</f>
        <v>1967</v>
      </c>
      <c r="G118" s="2521">
        <f ca="1">ROUND(IF(D32="楼面单价",C35,F118*10000/B118),0)</f>
        <v>5589</v>
      </c>
      <c r="H118" s="2521">
        <f ca="1">ROUND(IF(D32="总价",C32,I118*B118/10000),0)</f>
        <v>2888</v>
      </c>
      <c r="I118" s="2521">
        <f ca="1">ROUND(IF(D32="楼面单价",C32,H118*10000/B118),0)</f>
        <v>8206</v>
      </c>
    </row>
    <row r="119" spans="1:27" ht="18.75" customHeight="1">
      <c r="A119" s="3356" t="s">
        <v>2078</v>
      </c>
      <c r="B119" s="3356"/>
      <c r="C119" s="3356"/>
      <c r="D119" s="3396" t="str">
        <f ca="1">NUMBERSTRING(INT(D118*10000),2)&amp;"元整"</f>
        <v>玖佰贰拾壹万元整</v>
      </c>
      <c r="E119" s="3398"/>
      <c r="F119" s="3396" t="str">
        <f ca="1">NUMBERSTRING(INT(F118*10000),2)&amp;"元整"</f>
        <v>壹仟玖佰陆拾柒万元整</v>
      </c>
      <c r="G119" s="3398"/>
      <c r="H119" s="3396" t="str">
        <f ca="1">NUMBERSTRING(INT(H118*10000),2)&amp;"元整"</f>
        <v>贰仟捌佰捌拾捌万元整</v>
      </c>
      <c r="I119" s="3398"/>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0" t="s">
        <v>2078</v>
      </c>
      <c r="B121" s="3401"/>
      <c r="C121" s="3402"/>
      <c r="D121" s="3396" t="str">
        <f>IF(D120=0,"零元整",NUMBERSTRING(INT(D120*10000),2)&amp;"元整")</f>
        <v>零元整</v>
      </c>
      <c r="E121" s="3397"/>
      <c r="F121" s="3397"/>
      <c r="G121" s="3397"/>
      <c r="H121" s="3397"/>
      <c r="I121" s="3398"/>
      <c r="AA121" s="734"/>
    </row>
    <row r="122" spans="1:27" ht="18.75" customHeight="1">
      <c r="A122" s="3387" t="str">
        <f>IF(项目基本情况!B9="房地产市场价值","",MID(E107,3,LEN(E107)-2))</f>
        <v>房地产抵押价值</v>
      </c>
      <c r="B122" s="3387"/>
      <c r="C122" s="3387"/>
      <c r="D122" s="3423">
        <f ca="1">H107</f>
        <v>2888</v>
      </c>
      <c r="E122" s="3424"/>
      <c r="F122" s="3424"/>
      <c r="G122" s="3424"/>
      <c r="H122" s="3424"/>
      <c r="I122" s="3425"/>
      <c r="AA122" s="734"/>
    </row>
    <row r="123" spans="1:27" ht="18.75" customHeight="1">
      <c r="A123" s="3356" t="s">
        <v>2078</v>
      </c>
      <c r="B123" s="3356"/>
      <c r="C123" s="3356"/>
      <c r="D123" s="3396" t="str">
        <f ca="1">NUMBERSTRING(INT(D122*10000),2)&amp;"元整"</f>
        <v>贰仟捌佰捌拾捌万元整</v>
      </c>
      <c r="E123" s="3397"/>
      <c r="F123" s="3397"/>
      <c r="G123" s="3397"/>
      <c r="H123" s="3397"/>
      <c r="I123" s="3398"/>
      <c r="AA123" s="734"/>
    </row>
    <row r="124" spans="1:27" ht="18.75" customHeight="1">
      <c r="A124" s="3387" t="str">
        <f>IF(项目基本情况!B9="房地产市场价值","",MID(E109,3,LEN(E109)-2))</f>
        <v/>
      </c>
      <c r="B124" s="3387"/>
      <c r="C124" s="3387"/>
      <c r="D124" s="3423" t="str">
        <f>H109</f>
        <v>——</v>
      </c>
      <c r="E124" s="3424"/>
      <c r="F124" s="3424"/>
      <c r="G124" s="3424"/>
      <c r="H124" s="3424"/>
      <c r="I124" s="3425"/>
      <c r="AA124" s="734"/>
    </row>
    <row r="125" spans="1:27" ht="18.75" customHeight="1">
      <c r="A125" s="3356" t="s">
        <v>2078</v>
      </c>
      <c r="B125" s="3356"/>
      <c r="C125" s="3356"/>
      <c r="D125" s="3396" t="e">
        <f>NUMBERSTRING(INT(D124*10000),2)&amp;"元整"</f>
        <v>#VALUE!</v>
      </c>
      <c r="E125" s="3397"/>
      <c r="F125" s="3397"/>
      <c r="G125" s="3397"/>
      <c r="H125" s="3397"/>
      <c r="I125" s="3398"/>
      <c r="AA125" s="734"/>
    </row>
    <row r="126" spans="1:27" ht="18.75" customHeight="1">
      <c r="A126" s="3387" t="str">
        <f>IF(项目基本情况!B9="房地产市场价值","",MID(E111,3,LEN(E111)-2))</f>
        <v/>
      </c>
      <c r="B126" s="3387"/>
      <c r="C126" s="3387"/>
      <c r="D126" s="3423" t="str">
        <f>H111</f>
        <v>——</v>
      </c>
      <c r="E126" s="3424"/>
      <c r="F126" s="3424"/>
      <c r="G126" s="3424"/>
      <c r="H126" s="3424"/>
      <c r="I126" s="3425"/>
      <c r="AA126" s="734"/>
    </row>
    <row r="127" spans="1:27" ht="18.75" customHeight="1">
      <c r="A127" s="3356" t="s">
        <v>2078</v>
      </c>
      <c r="B127" s="3356"/>
      <c r="C127" s="3356"/>
      <c r="D127" s="3396" t="e">
        <f>NUMBERSTRING(INT(D126*10000),2)&amp;"元整"</f>
        <v>#VALUE!</v>
      </c>
      <c r="E127" s="3397"/>
      <c r="F127" s="3397"/>
      <c r="G127" s="3397"/>
      <c r="H127" s="3397"/>
      <c r="I127" s="3398"/>
      <c r="AA127" s="734"/>
    </row>
    <row r="128" spans="1:27" ht="21.75" customHeight="1">
      <c r="A128" s="3406" t="s">
        <v>2079</v>
      </c>
      <c r="B128" s="3406"/>
      <c r="C128" s="3406"/>
      <c r="D128" s="3406"/>
      <c r="E128" s="3406"/>
      <c r="F128" s="3406"/>
      <c r="G128" s="3406"/>
      <c r="H128" s="3406"/>
      <c r="I128" s="340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5" sqref="J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1963</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5577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451</v>
      </c>
      <c r="D5" s="217" t="s">
        <v>2095</v>
      </c>
      <c r="E5" s="218" t="s">
        <v>2096</v>
      </c>
      <c r="F5" s="218" t="s">
        <v>2097</v>
      </c>
      <c r="G5" s="219"/>
    </row>
    <row r="6" spans="1:9" s="220" customFormat="1" ht="13.5" customHeight="1">
      <c r="A6" s="886" t="s">
        <v>2098</v>
      </c>
      <c r="B6" s="221" t="s">
        <v>2099</v>
      </c>
      <c r="C6" s="222">
        <f>'土地比较法-工业'!B2</f>
        <v>370</v>
      </c>
      <c r="D6" s="223"/>
      <c r="E6" s="224"/>
      <c r="F6" s="224"/>
      <c r="G6" s="225"/>
    </row>
    <row r="7" spans="1:9" s="220" customFormat="1" ht="13.5" customHeight="1">
      <c r="A7" s="886" t="s">
        <v>2100</v>
      </c>
      <c r="B7" s="221" t="s">
        <v>2101</v>
      </c>
      <c r="C7" s="226">
        <f>ROUND(C6*F7,0)</f>
        <v>11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70</v>
      </c>
      <c r="D8" s="228"/>
      <c r="E8" s="226"/>
      <c r="F8" s="227"/>
      <c r="G8" s="2011" t="s">
        <v>3131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t="s">
        <v>3132</v>
      </c>
      <c r="H9" s="1271"/>
      <c r="I9" s="2013" t="s">
        <v>2105</v>
      </c>
    </row>
    <row r="10" spans="1:9" s="220" customFormat="1" ht="13.5" customHeight="1">
      <c r="A10" s="887" t="s">
        <v>801</v>
      </c>
      <c r="B10" s="230" t="s">
        <v>2106</v>
      </c>
      <c r="C10" s="231">
        <f ca="1">ROUND(D10*E10/10000,0)</f>
        <v>70</v>
      </c>
      <c r="D10" s="954">
        <f ca="1">IF(B1="",'数据-汇总表'!E6,IF(INDIRECT("'数据-取费表'!c"&amp;$G$1)="住宅",INDIRECT("'数据-取费表'!s"&amp;$G$1),INDIRECT("'数据-取费表'!k"&amp;$G$1)+INDIRECT("'数据-取费表'!s"&amp;$G$1)))</f>
        <v>3519.53</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3519.53</v>
      </c>
      <c r="E19" s="217">
        <f>'数据-取费表'!B31</f>
        <v>200</v>
      </c>
      <c r="F19" s="237"/>
      <c r="G19" s="2011" t="s">
        <v>3133</v>
      </c>
    </row>
    <row r="20" spans="1:7" s="220" customFormat="1" ht="13.5" customHeight="1">
      <c r="A20" s="261" t="s">
        <v>2119</v>
      </c>
      <c r="B20" s="216" t="s">
        <v>2120</v>
      </c>
      <c r="C20" s="238">
        <f ca="1">ROUND((C5+C19)*F20,0)</f>
        <v>11</v>
      </c>
      <c r="D20" s="238"/>
      <c r="E20" s="238"/>
      <c r="F20" s="239">
        <f>'数据-取费表'!B37</f>
        <v>2.5000000000000001E-2</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39</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69</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69</v>
      </c>
      <c r="D28" s="241"/>
      <c r="E28" s="242"/>
      <c r="F28" s="252"/>
      <c r="G28" s="253"/>
    </row>
    <row r="29" spans="1:7" s="220" customFormat="1" ht="13.5" customHeight="1">
      <c r="A29" s="888" t="s">
        <v>792</v>
      </c>
      <c r="B29" s="254" t="s">
        <v>2143</v>
      </c>
      <c r="C29" s="244">
        <f ca="1">ROUND(C21*F27*'数据-取费表'!B21/'数据-取费表'!B20,4)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626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1174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1056</v>
      </c>
      <c r="D34" s="223"/>
      <c r="E34" s="226"/>
      <c r="F34" s="263">
        <f ca="1">IF('数据-取费表'!B24=0,1,IF(B1="",'数据-取费表'!N16,INDIRECT("'数据-取费表'!n"&amp;$G$1)))</f>
        <v>1</v>
      </c>
      <c r="G34" s="225" t="s">
        <v>2152</v>
      </c>
    </row>
    <row r="35" spans="1:7" ht="13.5" customHeight="1">
      <c r="A35" s="888" t="s">
        <v>796</v>
      </c>
      <c r="B35" s="221" t="s">
        <v>2153</v>
      </c>
      <c r="C35" s="226">
        <f ca="1">ROUND(C34*F35,0)</f>
        <v>32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70</v>
      </c>
      <c r="D37" s="223">
        <f ca="1">D19</f>
        <v>3519.53</v>
      </c>
      <c r="E37" s="255">
        <f>'数据-取费表'!B35</f>
        <v>200</v>
      </c>
      <c r="F37" s="265"/>
      <c r="G37" s="267" t="s">
        <v>2158</v>
      </c>
    </row>
    <row r="38" spans="1:7" ht="13.5" customHeight="1">
      <c r="A38" s="888" t="s">
        <v>799</v>
      </c>
      <c r="B38" s="221" t="s">
        <v>2159</v>
      </c>
      <c r="C38" s="226">
        <f ca="1">ROUND(C34*F38,0)</f>
        <v>16</v>
      </c>
      <c r="D38" s="226"/>
      <c r="E38" s="226"/>
      <c r="F38" s="265">
        <f>'数据-取费表'!B36</f>
        <v>1.4999999999999999E-2</v>
      </c>
      <c r="G38" s="225" t="s">
        <v>2154</v>
      </c>
    </row>
    <row r="39" spans="1:7" s="220" customFormat="1" ht="13.5" customHeight="1">
      <c r="A39" s="261" t="s">
        <v>2160</v>
      </c>
      <c r="B39" s="216" t="s">
        <v>2161</v>
      </c>
      <c r="C39" s="238">
        <f ca="1">ROUND(C33*F20,0)</f>
        <v>29</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49</v>
      </c>
      <c r="D42" s="244"/>
      <c r="E42" s="244"/>
      <c r="F42" s="245"/>
      <c r="G42" s="3439" t="s">
        <v>2170</v>
      </c>
    </row>
    <row r="43" spans="1:7" ht="13.5" customHeight="1">
      <c r="A43" s="888" t="s">
        <v>792</v>
      </c>
      <c r="B43" s="221" t="s">
        <v>2171</v>
      </c>
      <c r="C43" s="244">
        <f ca="1">ROUND(IF('数据-取费表'!B22&lt;=1,C39*F22*'数据-取费表'!B21/2,C39*(POWER((1+F22),'数据-取费表'!B21/2)-1)),0)</f>
        <v>1</v>
      </c>
      <c r="D43" s="244"/>
      <c r="E43" s="244"/>
      <c r="F43" s="245"/>
      <c r="G43" s="3440"/>
    </row>
    <row r="44" spans="1:7" ht="13.5" customHeight="1">
      <c r="A44" s="888" t="s">
        <v>793</v>
      </c>
      <c r="B44" s="221" t="s">
        <v>2172</v>
      </c>
      <c r="C44" s="244">
        <f ca="1">ROUND(IF('数据-取费表'!B22&lt;=1,C40*F22*'数据-取费表'!B21/2,C40*(POWER((1+F22),'数据-取费表'!B21/2)-1)),4)</f>
        <v>1.2999999999999999E-3</v>
      </c>
      <c r="D44" s="244"/>
      <c r="E44" s="244"/>
      <c r="F44" s="245"/>
      <c r="G44" s="3441"/>
    </row>
    <row r="45" spans="1:7" s="220" customFormat="1" ht="13.5" customHeight="1">
      <c r="A45" s="261" t="s">
        <v>2173</v>
      </c>
      <c r="B45" s="250" t="s">
        <v>2139</v>
      </c>
      <c r="C45" s="251">
        <f ca="1">C46</f>
        <v>180</v>
      </c>
      <c r="D45" s="241">
        <f ca="1">C47</f>
        <v>4.4999999999999997E-3</v>
      </c>
      <c r="E45" s="242" t="s">
        <v>2165</v>
      </c>
      <c r="F45" s="2506">
        <f ca="1">F27</f>
        <v>0.15</v>
      </c>
      <c r="G45" s="253" t="s">
        <v>2174</v>
      </c>
    </row>
    <row r="46" spans="1:7" s="220" customFormat="1" ht="13.5" customHeight="1">
      <c r="A46" s="888" t="s">
        <v>791</v>
      </c>
      <c r="B46" s="254" t="s">
        <v>2175</v>
      </c>
      <c r="C46" s="255">
        <f ca="1">ROUND((C33+C39)*F27,0)</f>
        <v>180</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1573</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1337</v>
      </c>
      <c r="D51" s="238"/>
      <c r="E51" s="238"/>
      <c r="F51" s="270"/>
      <c r="G51" s="240" t="s">
        <v>2186</v>
      </c>
    </row>
    <row r="52" spans="1:7" s="214" customFormat="1" ht="16.5" thickBot="1">
      <c r="A52" s="271" t="s">
        <v>2187</v>
      </c>
      <c r="B52" s="272"/>
      <c r="C52" s="273">
        <f ca="1">C31+C51</f>
        <v>1963</v>
      </c>
      <c r="D52" s="272"/>
      <c r="E52" s="272"/>
      <c r="F52" s="272"/>
      <c r="G52" s="274"/>
    </row>
    <row r="55" spans="1:7" ht="15">
      <c r="B55" s="276" t="s">
        <v>2188</v>
      </c>
      <c r="C55" s="277"/>
    </row>
    <row r="56" spans="1:7">
      <c r="B56" s="279" t="s">
        <v>1418</v>
      </c>
      <c r="C56" s="281">
        <f ca="1">1-C57</f>
        <v>0.31899999999999995</v>
      </c>
    </row>
    <row r="57" spans="1:7">
      <c r="B57" s="279" t="s">
        <v>1419</v>
      </c>
      <c r="C57" s="280">
        <f ca="1">ROUND(C51/C52,3)</f>
        <v>0.68100000000000005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0" t="str">
        <f>项目基本情况!B1</f>
        <v>北京市房地产抵押价值预评估</v>
      </c>
      <c r="C37" s="3250"/>
      <c r="D37" s="3250"/>
      <c r="E37" s="3250"/>
      <c r="F37" s="3250"/>
      <c r="G37" s="3250"/>
      <c r="H37" s="3250"/>
      <c r="I37" s="325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王鹏（注册号：0)、郑燚（注册号：1120070131)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1534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4359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703906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703906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703906</v>
      </c>
      <c r="D10" s="954">
        <f ca="1">IF(B1="",'数据-汇总表'!E6,IF(INDIRECT("'数据-取费表'!c"&amp;$G$1)="住宅",INDIRECT("'数据-取费表'!s"&amp;$G$1),INDIRECT("'数据-取费表'!k"&amp;$G$1)+INDIRECT("'数据-取费表'!s"&amp;$G$1)))</f>
        <v>3519.53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703906</v>
      </c>
      <c r="D19" s="958">
        <f ca="1">D9+D10</f>
        <v>3519.53</v>
      </c>
      <c r="E19" s="217">
        <f>'数据-取费表'!B31</f>
        <v>200</v>
      </c>
      <c r="F19" s="237"/>
      <c r="G19" s="2011"/>
    </row>
    <row r="20" spans="1:7" s="220" customFormat="1" ht="13.5" customHeight="1">
      <c r="A20" s="261" t="s">
        <v>2200</v>
      </c>
      <c r="B20" s="216" t="s">
        <v>2201</v>
      </c>
      <c r="C20" s="238">
        <f ca="1">ROUND((C5+C19)*F20,0)</f>
        <v>35195</v>
      </c>
      <c r="D20" s="238"/>
      <c r="E20" s="238"/>
      <c r="F20" s="239">
        <f>'数据-取费表'!B37</f>
        <v>2.5000000000000001E-2</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122218</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60370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60370</v>
      </c>
      <c r="D24" s="244"/>
      <c r="E24" s="244"/>
      <c r="F24" s="245"/>
      <c r="G24" s="246" t="s">
        <v>2212</v>
      </c>
    </row>
    <row r="25" spans="1:7" s="220" customFormat="1" ht="24">
      <c r="A25" s="888" t="s">
        <v>2102</v>
      </c>
      <c r="B25" s="221" t="s">
        <v>2213</v>
      </c>
      <c r="C25" s="1262">
        <f ca="1">ROUND(IF('数据-取费表'!B22&lt;=1,C20*F22*'数据-取费表'!B22/2,C20*(POWER((1+F22),'数据-取费表'!B22/2)-1)),0)</f>
        <v>1478</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216451</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ROUND((C5+C19+C20)*F27,0)</f>
        <v>216451</v>
      </c>
      <c r="D28" s="241"/>
      <c r="E28" s="242"/>
      <c r="F28" s="252"/>
      <c r="G28" s="253"/>
    </row>
    <row r="29" spans="1:7" s="220" customFormat="1" ht="13.5" customHeight="1">
      <c r="A29" s="888" t="s">
        <v>792</v>
      </c>
      <c r="B29" s="254" t="s">
        <v>2143</v>
      </c>
      <c r="C29" s="244">
        <f ca="1">ROUND(C21*F27,4)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1955951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11737633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10558590</v>
      </c>
      <c r="D34" s="223"/>
      <c r="E34" s="226"/>
      <c r="F34" s="263"/>
      <c r="G34" s="225"/>
    </row>
    <row r="35" spans="1:7" ht="13.5" customHeight="1">
      <c r="A35" s="888" t="s">
        <v>796</v>
      </c>
      <c r="B35" s="221" t="s">
        <v>2153</v>
      </c>
      <c r="C35" s="226">
        <f ca="1">ROUND(C34*F35,0)</f>
        <v>316758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703906</v>
      </c>
      <c r="D37" s="223">
        <f ca="1">D19</f>
        <v>3519.53</v>
      </c>
      <c r="E37" s="255">
        <f>'数据-取费表'!B35</f>
        <v>200</v>
      </c>
      <c r="F37" s="265"/>
      <c r="G37" s="267"/>
    </row>
    <row r="38" spans="1:7" ht="13.5" customHeight="1">
      <c r="A38" s="888" t="s">
        <v>799</v>
      </c>
      <c r="B38" s="221" t="s">
        <v>2159</v>
      </c>
      <c r="C38" s="226">
        <f ca="1">ROUND(C34*F38,0)</f>
        <v>158379</v>
      </c>
      <c r="D38" s="226"/>
      <c r="E38" s="226"/>
      <c r="F38" s="265">
        <f>'数据-取费表'!B36</f>
        <v>1.4999999999999999E-2</v>
      </c>
      <c r="G38" s="225" t="s">
        <v>2154</v>
      </c>
    </row>
    <row r="39" spans="1:7" s="220" customFormat="1" ht="13.5" customHeight="1">
      <c r="A39" s="261" t="s">
        <v>2160</v>
      </c>
      <c r="B39" s="216" t="s">
        <v>2161</v>
      </c>
      <c r="C39" s="238">
        <f ca="1">ROUND(C33*F20,0)</f>
        <v>293441</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505306</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492981</v>
      </c>
      <c r="D42" s="244"/>
      <c r="E42" s="244"/>
      <c r="F42" s="245"/>
      <c r="G42" s="3439" t="s">
        <v>2217</v>
      </c>
    </row>
    <row r="43" spans="1:7" ht="13.5" customHeight="1">
      <c r="A43" s="888" t="s">
        <v>792</v>
      </c>
      <c r="B43" s="221" t="s">
        <v>2171</v>
      </c>
      <c r="C43" s="244">
        <f ca="1">ROUND(IF('数据-取费表'!B22&lt;=1,C39*F22*'数据-取费表'!B20/2,C39*(POWER((1+F22),'数据-取费表'!B20/2)-1)),0)</f>
        <v>12325</v>
      </c>
      <c r="D43" s="244"/>
      <c r="E43" s="244"/>
      <c r="F43" s="245"/>
      <c r="G43" s="3440"/>
    </row>
    <row r="44" spans="1:7" ht="13.5" customHeight="1">
      <c r="A44" s="888" t="s">
        <v>793</v>
      </c>
      <c r="B44" s="221" t="s">
        <v>2172</v>
      </c>
      <c r="C44" s="244">
        <f ca="1">ROUND(IF('数据-取费表'!B22&lt;=1,C40*F22*'数据-取费表'!B20/2,C40*(POWER((1+F22),'数据-取费表'!B20/2)-1)),4)</f>
        <v>1.2999999999999999E-3</v>
      </c>
      <c r="D44" s="244"/>
      <c r="E44" s="244"/>
      <c r="F44" s="245"/>
      <c r="G44" s="3441"/>
    </row>
    <row r="45" spans="1:7" s="220" customFormat="1" ht="13.5" customHeight="1">
      <c r="A45" s="261" t="s">
        <v>2173</v>
      </c>
      <c r="B45" s="250" t="s">
        <v>2139</v>
      </c>
      <c r="C45" s="251">
        <f ca="1">C46</f>
        <v>1804661</v>
      </c>
      <c r="D45" s="241">
        <f ca="1">C47</f>
        <v>4.4999999999999997E-3</v>
      </c>
      <c r="E45" s="242" t="s">
        <v>2165</v>
      </c>
      <c r="F45" s="2506">
        <f ca="1">F27</f>
        <v>0.15</v>
      </c>
      <c r="G45" s="253" t="s">
        <v>2174</v>
      </c>
    </row>
    <row r="46" spans="1:7" s="220" customFormat="1" ht="13.5" customHeight="1">
      <c r="A46" s="888" t="s">
        <v>791</v>
      </c>
      <c r="B46" s="254" t="s">
        <v>2175</v>
      </c>
      <c r="C46" s="255">
        <f ca="1">ROUND((C33+C39)*F27,0)</f>
        <v>1804661</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15743815</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13382243</v>
      </c>
      <c r="D51" s="238"/>
      <c r="E51" s="238"/>
      <c r="F51" s="270"/>
      <c r="G51" s="240" t="s">
        <v>2186</v>
      </c>
    </row>
    <row r="52" spans="1:7" s="214" customFormat="1" ht="16.5" thickBot="1">
      <c r="A52" s="271" t="s">
        <v>2187</v>
      </c>
      <c r="B52" s="272"/>
      <c r="C52" s="273">
        <f ca="1">C31+C51</f>
        <v>15338194</v>
      </c>
      <c r="D52" s="272"/>
      <c r="E52" s="272"/>
      <c r="F52" s="272"/>
      <c r="G52" s="274"/>
    </row>
    <row r="55" spans="1:7" ht="15">
      <c r="B55" s="276" t="s">
        <v>2188</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18" sqref="A18:O3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3519.53</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3519.53</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2"/>
      <c r="I19" s="918"/>
      <c r="J19" s="918"/>
      <c r="K19" s="919"/>
    </row>
    <row r="20" spans="1:33" s="912" customFormat="1" ht="13.5" customHeight="1">
      <c r="A20" s="908" t="s">
        <v>806</v>
      </c>
      <c r="B20" s="909" t="s">
        <v>2256</v>
      </c>
      <c r="C20" s="24">
        <f ca="1">ROUND(D20*E20/10000,0)</f>
        <v>70</v>
      </c>
      <c r="D20" s="955">
        <f ca="1">IF(C1="",'数据-汇总表'!E6,IF(INDIRECT("'数据-取费表'!c"&amp;$K$1)="住宅",INDIRECT("'数据-取费表'!s"&amp;$K$1),INDIRECT("'数据-取费表'!k"&amp;$K$1)+INDIRECT("'数据-取费表'!s"&amp;$K$1)))</f>
        <v>3519.53</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2.5000000000000001E-2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E34" sqref="E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370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1051</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42" t="s">
        <v>2407</v>
      </c>
      <c r="D4" s="3470"/>
      <c r="E4" s="3471" t="s">
        <v>2408</v>
      </c>
      <c r="F4" s="3472"/>
      <c r="G4" s="3442" t="s">
        <v>2409</v>
      </c>
      <c r="H4" s="3470"/>
      <c r="I4" s="3442" t="s">
        <v>2410</v>
      </c>
      <c r="J4" s="3470"/>
      <c r="K4" s="567" t="s">
        <v>2411</v>
      </c>
      <c r="L4" s="2913"/>
      <c r="M4" s="2914"/>
      <c r="N4" s="2914"/>
      <c r="O4" s="2914"/>
      <c r="P4" s="3473" t="s">
        <v>2412</v>
      </c>
      <c r="Q4" s="3474"/>
      <c r="R4" s="3449" t="s">
        <v>2408</v>
      </c>
      <c r="S4" s="3450"/>
      <c r="T4" s="3449" t="s">
        <v>2409</v>
      </c>
      <c r="U4" s="3450"/>
      <c r="V4" s="3463" t="s">
        <v>2410</v>
      </c>
      <c r="W4" s="3463"/>
      <c r="X4" s="1508"/>
      <c r="Y4" s="3449" t="s">
        <v>2412</v>
      </c>
      <c r="Z4" s="3450"/>
      <c r="AA4" s="3467" t="s">
        <v>2408</v>
      </c>
      <c r="AB4" s="3468" t="s">
        <v>2409</v>
      </c>
      <c r="AC4" s="3467" t="s">
        <v>2410</v>
      </c>
    </row>
    <row r="5" spans="1:29" ht="31.5" customHeight="1">
      <c r="A5" s="364"/>
      <c r="B5" s="365"/>
      <c r="C5" s="3453" t="s">
        <v>2303</v>
      </c>
      <c r="D5" s="3454"/>
      <c r="E5" s="3479" t="s">
        <v>3427</v>
      </c>
      <c r="F5" s="3480"/>
      <c r="G5" s="3457" t="s">
        <v>3424</v>
      </c>
      <c r="H5" s="3454"/>
      <c r="I5" s="3457" t="s">
        <v>3425</v>
      </c>
      <c r="J5" s="3454"/>
      <c r="K5" s="567"/>
      <c r="L5" s="2913"/>
      <c r="M5" s="2914"/>
      <c r="N5" s="2914"/>
      <c r="O5" s="2914"/>
      <c r="P5" s="3475"/>
      <c r="Q5" s="3476"/>
      <c r="R5" s="3451"/>
      <c r="S5" s="3452"/>
      <c r="T5" s="3451"/>
      <c r="U5" s="3452"/>
      <c r="V5" s="3463"/>
      <c r="W5" s="3463"/>
      <c r="X5" s="1508"/>
      <c r="Y5" s="3451"/>
      <c r="Z5" s="3452"/>
      <c r="AA5" s="3468"/>
      <c r="AB5" s="3468"/>
      <c r="AC5" s="3468"/>
    </row>
    <row r="6" spans="1:29" ht="15.75" thickBot="1">
      <c r="A6" s="366"/>
      <c r="B6" s="367"/>
      <c r="C6" s="3455" t="s">
        <v>2558</v>
      </c>
      <c r="D6" s="3456"/>
      <c r="E6" s="3459" t="s">
        <v>2558</v>
      </c>
      <c r="F6" s="3460"/>
      <c r="G6" s="3455" t="s">
        <v>2558</v>
      </c>
      <c r="H6" s="3456"/>
      <c r="I6" s="3455" t="s">
        <v>2558</v>
      </c>
      <c r="J6" s="3456"/>
      <c r="K6" s="567" t="s">
        <v>2308</v>
      </c>
      <c r="L6" s="2913"/>
      <c r="M6" s="2914"/>
      <c r="N6" s="2914"/>
      <c r="O6" s="2914"/>
      <c r="P6" s="3477"/>
      <c r="Q6" s="3478"/>
      <c r="R6" s="3451"/>
      <c r="S6" s="3452"/>
      <c r="T6" s="3461"/>
      <c r="U6" s="3462"/>
      <c r="V6" s="3463"/>
      <c r="W6" s="3463"/>
      <c r="X6" s="1508"/>
      <c r="Y6" s="3461"/>
      <c r="Z6" s="3462"/>
      <c r="AA6" s="3469"/>
      <c r="AB6" s="3469"/>
      <c r="AC6" s="3469"/>
    </row>
    <row r="7" spans="1:29" s="113" customFormat="1" ht="15.75" thickBot="1">
      <c r="A7" s="368" t="s">
        <v>2309</v>
      </c>
      <c r="B7" s="369"/>
      <c r="C7" s="370">
        <f>'数据-取费表'!B2</f>
        <v>44638</v>
      </c>
      <c r="D7" s="371">
        <v>100</v>
      </c>
      <c r="E7" s="372">
        <v>44266</v>
      </c>
      <c r="F7" s="373">
        <f>SUMIF(65:65,YEAR(E7)&amp;"-"&amp;INT((MONTH(E7)+2)/3),66:66)</f>
        <v>99.2</v>
      </c>
      <c r="G7" s="2129">
        <v>44173</v>
      </c>
      <c r="H7" s="371">
        <f>SUMIF(65:65,YEAR(G7)&amp;"-"&amp;INT((MONTH(G7)+2)/3),66:66)</f>
        <v>99</v>
      </c>
      <c r="I7" s="2129">
        <v>44084</v>
      </c>
      <c r="J7" s="371">
        <f>SUMIF(65:65,YEAR(I7)&amp;"-"&amp;INT((MONTH(I7)+2)/3),66:66)</f>
        <v>98.8</v>
      </c>
      <c r="K7" s="568"/>
      <c r="L7" s="2915"/>
      <c r="M7" s="2916"/>
      <c r="N7" s="2916"/>
      <c r="O7" s="2916"/>
      <c r="P7" s="3447" t="s">
        <v>2310</v>
      </c>
      <c r="Q7" s="3458"/>
      <c r="R7" s="710" t="s">
        <v>17</v>
      </c>
      <c r="S7" s="711">
        <f t="shared" ref="S7:S15" si="0">F7</f>
        <v>99.2</v>
      </c>
      <c r="T7" s="710" t="s">
        <v>17</v>
      </c>
      <c r="U7" s="711">
        <f t="shared" ref="U7:U15" si="1">H7</f>
        <v>99</v>
      </c>
      <c r="V7" s="710" t="s">
        <v>17</v>
      </c>
      <c r="W7" s="711">
        <f t="shared" ref="W7:W15" si="2">J7</f>
        <v>98.8</v>
      </c>
      <c r="X7" s="712"/>
      <c r="Y7" s="3447" t="s">
        <v>2310</v>
      </c>
      <c r="Z7" s="3448"/>
      <c r="AA7" s="713">
        <f>D7/F7</f>
        <v>1.0080645161290323</v>
      </c>
      <c r="AB7" s="713">
        <f>D7/H7</f>
        <v>1.0101010101010102</v>
      </c>
      <c r="AC7" s="713">
        <f>D7/J7</f>
        <v>1.0121457489878543</v>
      </c>
    </row>
    <row r="8" spans="1:29" s="113" customFormat="1" ht="15.75" thickBot="1">
      <c r="A8" s="368" t="s">
        <v>2311</v>
      </c>
      <c r="B8" s="369"/>
      <c r="C8" s="374" t="s">
        <v>2312</v>
      </c>
      <c r="D8" s="371">
        <v>100</v>
      </c>
      <c r="E8" s="374" t="s">
        <v>3399</v>
      </c>
      <c r="F8" s="373">
        <f>SUMIF(68:68,E8,69:69)-SUMIF(68:68,C8,69:69)+100</f>
        <v>100</v>
      </c>
      <c r="G8" s="374" t="s">
        <v>3399</v>
      </c>
      <c r="H8" s="371">
        <f>SUMIF(68:68,G8,69:69)-SUMIF(68:68,C8,69:69)+100</f>
        <v>100</v>
      </c>
      <c r="I8" s="374" t="s">
        <v>3399</v>
      </c>
      <c r="J8" s="371">
        <f>SUMIF(68:68,I8,69:69)-SUMIF(68:68,C8,69:69)+100</f>
        <v>100</v>
      </c>
      <c r="K8" s="568"/>
      <c r="L8" s="2915"/>
      <c r="M8" s="2916"/>
      <c r="N8" s="2916"/>
      <c r="O8" s="2916"/>
      <c r="P8" s="3447" t="s">
        <v>2313</v>
      </c>
      <c r="Q8" s="3448"/>
      <c r="R8" s="710" t="s">
        <v>17</v>
      </c>
      <c r="S8" s="711">
        <f t="shared" si="0"/>
        <v>100</v>
      </c>
      <c r="T8" s="710" t="s">
        <v>17</v>
      </c>
      <c r="U8" s="711">
        <f t="shared" si="1"/>
        <v>100</v>
      </c>
      <c r="V8" s="710" t="s">
        <v>17</v>
      </c>
      <c r="W8" s="711">
        <f t="shared" si="2"/>
        <v>100</v>
      </c>
      <c r="X8" s="712"/>
      <c r="Y8" s="3447" t="s">
        <v>2313</v>
      </c>
      <c r="Z8" s="3448"/>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45"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7"/>
      <c r="M10" s="2918"/>
      <c r="N10" s="2918"/>
      <c r="O10" s="2971"/>
      <c r="P10" s="3445"/>
      <c r="Q10" s="1496" t="str">
        <f t="shared" si="6"/>
        <v>土地使用年限（年）</v>
      </c>
      <c r="R10" s="710" t="s">
        <v>17</v>
      </c>
      <c r="S10" s="711">
        <f t="shared" si="0"/>
        <v>109</v>
      </c>
      <c r="T10" s="710" t="s">
        <v>17</v>
      </c>
      <c r="U10" s="711">
        <f t="shared" si="1"/>
        <v>109</v>
      </c>
      <c r="V10" s="710" t="s">
        <v>17</v>
      </c>
      <c r="W10" s="711">
        <f t="shared" si="2"/>
        <v>109</v>
      </c>
      <c r="X10" s="712"/>
      <c r="Y10" s="3343"/>
      <c r="Z10" s="55" t="str">
        <f t="shared" si="7"/>
        <v>土地使用年限（年）</v>
      </c>
      <c r="AA10" s="713">
        <f t="shared" si="3"/>
        <v>0.91743119266055051</v>
      </c>
      <c r="AB10" s="713">
        <f t="shared" si="4"/>
        <v>0.91743119266055051</v>
      </c>
      <c r="AC10" s="713">
        <f t="shared" si="5"/>
        <v>0.91743119266055051</v>
      </c>
    </row>
    <row r="11" spans="1:29" ht="15.75" thickBot="1">
      <c r="A11" s="387"/>
      <c r="B11" s="381" t="s">
        <v>2319</v>
      </c>
      <c r="C11" s="388">
        <v>1.2</v>
      </c>
      <c r="D11" s="132">
        <v>100</v>
      </c>
      <c r="E11" s="388">
        <v>2</v>
      </c>
      <c r="F11" s="132">
        <f>LOOKUP(E11,75:75,76:76)-LOOKUP(C11,75:75,76:76)+100</f>
        <v>100</v>
      </c>
      <c r="G11" s="389">
        <v>1</v>
      </c>
      <c r="H11" s="132">
        <f>LOOKUP(G11,75:75,76:76)-LOOKUP(C11,75:75,76:76)+100</f>
        <v>100</v>
      </c>
      <c r="I11" s="388">
        <v>2</v>
      </c>
      <c r="J11" s="132">
        <f>LOOKUP(I11,75:75,76:76)-LOOKUP(C11,75:75,76:76)+100</f>
        <v>100</v>
      </c>
      <c r="K11" s="629">
        <v>0</v>
      </c>
      <c r="L11" s="2919"/>
      <c r="M11" s="2914"/>
      <c r="N11" s="2914"/>
      <c r="O11" s="2972"/>
      <c r="P11" s="3445"/>
      <c r="Q11" s="1496" t="str">
        <f t="shared" si="6"/>
        <v>容积率</v>
      </c>
      <c r="R11" s="710" t="s">
        <v>17</v>
      </c>
      <c r="S11" s="711">
        <f t="shared" si="0"/>
        <v>100</v>
      </c>
      <c r="T11" s="710" t="s">
        <v>17</v>
      </c>
      <c r="U11" s="711">
        <f t="shared" si="1"/>
        <v>100</v>
      </c>
      <c r="V11" s="710" t="s">
        <v>17</v>
      </c>
      <c r="W11" s="711">
        <f t="shared" si="2"/>
        <v>100</v>
      </c>
      <c r="X11" s="712"/>
      <c r="Y11" s="3343"/>
      <c r="Z11" s="55" t="str">
        <f t="shared" si="7"/>
        <v>容积率</v>
      </c>
      <c r="AA11" s="713">
        <f t="shared" si="3"/>
        <v>1</v>
      </c>
      <c r="AB11" s="713">
        <f t="shared" si="4"/>
        <v>1</v>
      </c>
      <c r="AC11" s="713">
        <f t="shared" si="5"/>
        <v>1</v>
      </c>
    </row>
    <row r="12" spans="1:29" s="113" customFormat="1" ht="15" hidden="1">
      <c r="A12" s="390"/>
      <c r="B12" s="2048"/>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45"/>
      <c r="Q12" s="1496">
        <f t="shared" si="6"/>
        <v>0</v>
      </c>
      <c r="R12" s="710" t="s">
        <v>17</v>
      </c>
      <c r="S12" s="711">
        <f t="shared" si="0"/>
        <v>100</v>
      </c>
      <c r="T12" s="710" t="s">
        <v>17</v>
      </c>
      <c r="U12" s="711">
        <f t="shared" si="1"/>
        <v>100</v>
      </c>
      <c r="V12" s="710" t="s">
        <v>17</v>
      </c>
      <c r="W12" s="711">
        <f t="shared" si="2"/>
        <v>100</v>
      </c>
      <c r="X12" s="712"/>
      <c r="Y12" s="3343"/>
      <c r="Z12" s="55">
        <f t="shared" si="7"/>
        <v>0</v>
      </c>
      <c r="AA12" s="713">
        <f>D12/F12</f>
        <v>1</v>
      </c>
      <c r="AB12" s="713">
        <f>D12/H12</f>
        <v>1</v>
      </c>
      <c r="AC12" s="713">
        <f>D12/J12</f>
        <v>1</v>
      </c>
    </row>
    <row r="13" spans="1:29" ht="15" hidden="1">
      <c r="A13" s="387"/>
      <c r="B13" s="2048"/>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45"/>
      <c r="Q13" s="1496">
        <f t="shared" si="6"/>
        <v>0</v>
      </c>
      <c r="R13" s="710" t="s">
        <v>17</v>
      </c>
      <c r="S13" s="711">
        <f t="shared" si="0"/>
        <v>100</v>
      </c>
      <c r="T13" s="710" t="s">
        <v>17</v>
      </c>
      <c r="U13" s="711">
        <f t="shared" si="1"/>
        <v>100</v>
      </c>
      <c r="V13" s="710" t="s">
        <v>17</v>
      </c>
      <c r="W13" s="711">
        <f t="shared" si="2"/>
        <v>100</v>
      </c>
      <c r="X13" s="712"/>
      <c r="Y13" s="3343"/>
      <c r="Z13" s="55">
        <f t="shared" si="7"/>
        <v>0</v>
      </c>
      <c r="AA13" s="713">
        <f t="shared" si="3"/>
        <v>1</v>
      </c>
      <c r="AB13" s="713">
        <f t="shared" si="4"/>
        <v>1</v>
      </c>
      <c r="AC13" s="713">
        <f t="shared" si="5"/>
        <v>1</v>
      </c>
    </row>
    <row r="14" spans="1:29" ht="15.75" hidden="1" thickBot="1">
      <c r="A14" s="395"/>
      <c r="B14" s="2050"/>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45"/>
      <c r="Q14" s="1496">
        <f t="shared" si="6"/>
        <v>0</v>
      </c>
      <c r="R14" s="710" t="s">
        <v>17</v>
      </c>
      <c r="S14" s="711">
        <f t="shared" si="0"/>
        <v>100</v>
      </c>
      <c r="T14" s="710" t="s">
        <v>17</v>
      </c>
      <c r="U14" s="711">
        <f t="shared" si="1"/>
        <v>100</v>
      </c>
      <c r="V14" s="710" t="s">
        <v>17</v>
      </c>
      <c r="W14" s="711">
        <f t="shared" si="2"/>
        <v>100</v>
      </c>
      <c r="X14" s="712"/>
      <c r="Y14" s="3343"/>
      <c r="Z14" s="55">
        <f t="shared" si="7"/>
        <v>0</v>
      </c>
      <c r="AA14" s="713">
        <f t="shared" si="3"/>
        <v>1</v>
      </c>
      <c r="AB14" s="713">
        <f t="shared" si="4"/>
        <v>1</v>
      </c>
      <c r="AC14" s="713">
        <f t="shared" si="5"/>
        <v>1</v>
      </c>
    </row>
    <row r="15" spans="1:29" ht="15">
      <c r="A15" s="399" t="s">
        <v>2320</v>
      </c>
      <c r="B15" s="585" t="s">
        <v>2559</v>
      </c>
      <c r="C15" s="212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v>3</v>
      </c>
      <c r="L15" s="2920"/>
      <c r="M15" s="2914"/>
      <c r="N15" s="2914"/>
      <c r="O15" s="2972"/>
      <c r="P15" s="3464" t="s">
        <v>2321</v>
      </c>
      <c r="Q15" s="1505" t="str">
        <f t="shared" si="6"/>
        <v>产业集聚程度</v>
      </c>
      <c r="R15" s="714" t="s">
        <v>17</v>
      </c>
      <c r="S15" s="715">
        <f t="shared" si="0"/>
        <v>100</v>
      </c>
      <c r="T15" s="714" t="s">
        <v>17</v>
      </c>
      <c r="U15" s="715">
        <f t="shared" si="1"/>
        <v>100</v>
      </c>
      <c r="V15" s="714" t="s">
        <v>17</v>
      </c>
      <c r="W15" s="715">
        <f t="shared" si="2"/>
        <v>100</v>
      </c>
      <c r="X15" s="1508"/>
      <c r="Y15" s="3464" t="s">
        <v>2321</v>
      </c>
      <c r="Z15" s="1509" t="str">
        <f t="shared" si="7"/>
        <v>产业集聚程度</v>
      </c>
      <c r="AA15" s="1506">
        <f t="shared" si="3"/>
        <v>1</v>
      </c>
      <c r="AB15" s="1506">
        <f t="shared" si="4"/>
        <v>1</v>
      </c>
      <c r="AC15" s="1506">
        <f t="shared" si="5"/>
        <v>1</v>
      </c>
    </row>
    <row r="16" spans="1:29" ht="15">
      <c r="A16" s="387"/>
      <c r="B16" s="586"/>
      <c r="C16" s="406" t="s">
        <v>3147</v>
      </c>
      <c r="D16" s="407"/>
      <c r="E16" s="2059" t="s">
        <v>3147</v>
      </c>
      <c r="F16" s="407"/>
      <c r="G16" s="2059" t="s">
        <v>3147</v>
      </c>
      <c r="H16" s="409"/>
      <c r="I16" s="2059" t="s">
        <v>3147</v>
      </c>
      <c r="J16" s="407"/>
      <c r="K16" s="628"/>
      <c r="L16" s="2920"/>
      <c r="M16" s="2914"/>
      <c r="N16" s="2914"/>
      <c r="O16" s="2972"/>
      <c r="P16" s="3465"/>
      <c r="Q16" s="1505"/>
      <c r="R16" s="714"/>
      <c r="S16" s="715"/>
      <c r="T16" s="714"/>
      <c r="U16" s="715"/>
      <c r="V16" s="714"/>
      <c r="W16" s="715"/>
      <c r="X16" s="1508"/>
      <c r="Y16" s="3465"/>
      <c r="Z16" s="1509"/>
      <c r="AA16" s="1506">
        <v>1</v>
      </c>
      <c r="AB16" s="1506">
        <v>1</v>
      </c>
      <c r="AC16" s="1506">
        <v>1</v>
      </c>
    </row>
    <row r="17" spans="1:29" ht="15">
      <c r="A17" s="387"/>
      <c r="B17" s="587" t="s">
        <v>2470</v>
      </c>
      <c r="C17" s="205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65"/>
      <c r="Q17" s="1505" t="str">
        <f>B17</f>
        <v>交通便捷度</v>
      </c>
      <c r="R17" s="714" t="s">
        <v>17</v>
      </c>
      <c r="S17" s="715">
        <f>F17</f>
        <v>100</v>
      </c>
      <c r="T17" s="714" t="s">
        <v>17</v>
      </c>
      <c r="U17" s="715">
        <f>H17</f>
        <v>100</v>
      </c>
      <c r="V17" s="714" t="s">
        <v>17</v>
      </c>
      <c r="W17" s="715">
        <f>J17</f>
        <v>100</v>
      </c>
      <c r="X17" s="1508"/>
      <c r="Y17" s="3465"/>
      <c r="Z17" s="1509" t="str">
        <f>Q17</f>
        <v>交通便捷度</v>
      </c>
      <c r="AA17" s="1506">
        <f t="shared" si="3"/>
        <v>1</v>
      </c>
      <c r="AB17" s="1506">
        <f t="shared" si="4"/>
        <v>1</v>
      </c>
      <c r="AC17" s="1506">
        <f t="shared" si="5"/>
        <v>1</v>
      </c>
    </row>
    <row r="18" spans="1:29" ht="15">
      <c r="A18" s="387"/>
      <c r="B18" s="588"/>
      <c r="C18" s="406" t="s">
        <v>3147</v>
      </c>
      <c r="D18" s="407"/>
      <c r="E18" s="2053" t="s">
        <v>3147</v>
      </c>
      <c r="F18" s="407"/>
      <c r="G18" s="2053" t="s">
        <v>3147</v>
      </c>
      <c r="H18" s="407"/>
      <c r="I18" s="2052" t="s">
        <v>3147</v>
      </c>
      <c r="J18" s="407"/>
      <c r="K18" s="628"/>
      <c r="L18" s="2920"/>
      <c r="M18" s="2914"/>
      <c r="N18" s="2914"/>
      <c r="O18" s="2972"/>
      <c r="P18" s="3465"/>
      <c r="Q18" s="1505"/>
      <c r="R18" s="714"/>
      <c r="S18" s="715"/>
      <c r="T18" s="714"/>
      <c r="U18" s="715"/>
      <c r="V18" s="714"/>
      <c r="W18" s="715"/>
      <c r="X18" s="1508"/>
      <c r="Y18" s="3465"/>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65"/>
      <c r="Q19" s="1505" t="str">
        <f t="shared" ref="Q19:Q33" si="8">B19</f>
        <v>区域土地利用方向</v>
      </c>
      <c r="R19" s="714" t="s">
        <v>17</v>
      </c>
      <c r="S19" s="715">
        <f>F19</f>
        <v>100</v>
      </c>
      <c r="T19" s="714" t="s">
        <v>17</v>
      </c>
      <c r="U19" s="715">
        <f>H19</f>
        <v>100</v>
      </c>
      <c r="V19" s="714" t="s">
        <v>17</v>
      </c>
      <c r="W19" s="715">
        <f>J19</f>
        <v>100</v>
      </c>
      <c r="X19" s="1508"/>
      <c r="Y19" s="3465"/>
      <c r="Z19" s="1509" t="str">
        <f>Q19</f>
        <v>区域土地利用方向</v>
      </c>
      <c r="AA19" s="1506">
        <f t="shared" si="3"/>
        <v>1</v>
      </c>
      <c r="AB19" s="1506">
        <f t="shared" si="4"/>
        <v>1</v>
      </c>
      <c r="AC19" s="1506">
        <f t="shared" si="5"/>
        <v>1</v>
      </c>
    </row>
    <row r="20" spans="1:29" ht="15">
      <c r="A20" s="364"/>
      <c r="B20" s="588"/>
      <c r="C20" s="406" t="s">
        <v>3147</v>
      </c>
      <c r="D20" s="407"/>
      <c r="E20" s="2053" t="s">
        <v>3147</v>
      </c>
      <c r="F20" s="407"/>
      <c r="G20" s="2053" t="s">
        <v>3147</v>
      </c>
      <c r="H20" s="407"/>
      <c r="I20" s="2053" t="s">
        <v>3147</v>
      </c>
      <c r="J20" s="407"/>
      <c r="K20" s="751"/>
      <c r="L20" s="2920"/>
      <c r="M20" s="2914"/>
      <c r="N20" s="2914"/>
      <c r="O20" s="2972"/>
      <c r="P20" s="3465"/>
      <c r="Q20" s="1505"/>
      <c r="R20" s="714"/>
      <c r="S20" s="715"/>
      <c r="T20" s="714"/>
      <c r="U20" s="715"/>
      <c r="V20" s="714"/>
      <c r="W20" s="715"/>
      <c r="X20" s="1508"/>
      <c r="Y20" s="3465"/>
      <c r="Z20" s="1509"/>
      <c r="AA20" s="1506"/>
      <c r="AB20" s="1506"/>
      <c r="AC20" s="1506"/>
    </row>
    <row r="21" spans="1:29" ht="15">
      <c r="A21" s="364"/>
      <c r="B21" s="587" t="s">
        <v>2560</v>
      </c>
      <c r="C21" s="2055">
        <f>估价对象房地状况!G18</f>
        <v>0</v>
      </c>
      <c r="D21" s="409">
        <v>100</v>
      </c>
      <c r="E21" s="411"/>
      <c r="F21" s="409">
        <f>SUMIF(89:89,E22,90:90)-SUMIF(89:89,C22,90:90)+100</f>
        <v>100</v>
      </c>
      <c r="G21" s="411"/>
      <c r="H21" s="409">
        <f>SUMIF(89:89,G22,90:90)-SUMIF(89:89,C22,90:90)+100</f>
        <v>97</v>
      </c>
      <c r="I21" s="413"/>
      <c r="J21" s="409">
        <f>SUMIF(89:89,I22,90:90)-SUMIF(89:89,C22,90:90)+100</f>
        <v>97</v>
      </c>
      <c r="K21" s="629">
        <v>3</v>
      </c>
      <c r="L21" s="2920"/>
      <c r="M21" s="2914"/>
      <c r="N21" s="2914"/>
      <c r="O21" s="2972"/>
      <c r="P21" s="3465"/>
      <c r="Q21" s="1505" t="str">
        <f t="shared" si="8"/>
        <v>环境状况</v>
      </c>
      <c r="R21" s="714" t="s">
        <v>17</v>
      </c>
      <c r="S21" s="715">
        <f>F21</f>
        <v>100</v>
      </c>
      <c r="T21" s="714" t="s">
        <v>17</v>
      </c>
      <c r="U21" s="715">
        <f>H21</f>
        <v>97</v>
      </c>
      <c r="V21" s="714" t="s">
        <v>17</v>
      </c>
      <c r="W21" s="715">
        <f>J21</f>
        <v>97</v>
      </c>
      <c r="X21" s="1508"/>
      <c r="Y21" s="3465"/>
      <c r="Z21" s="1509" t="str">
        <f>Q21</f>
        <v>环境状况</v>
      </c>
      <c r="AA21" s="1506">
        <f t="shared" si="3"/>
        <v>1</v>
      </c>
      <c r="AB21" s="1506">
        <f t="shared" si="4"/>
        <v>1.0309278350515463</v>
      </c>
      <c r="AC21" s="1506">
        <f t="shared" si="5"/>
        <v>1.0309278350515463</v>
      </c>
    </row>
    <row r="22" spans="1:29" ht="15">
      <c r="A22" s="364"/>
      <c r="B22" s="588"/>
      <c r="C22" s="406" t="s">
        <v>3147</v>
      </c>
      <c r="D22" s="407"/>
      <c r="E22" s="2059" t="s">
        <v>3147</v>
      </c>
      <c r="F22" s="407"/>
      <c r="G22" s="2059" t="s">
        <v>3148</v>
      </c>
      <c r="H22" s="407"/>
      <c r="I22" s="406" t="s">
        <v>3148</v>
      </c>
      <c r="J22" s="407"/>
      <c r="K22" s="628"/>
      <c r="L22" s="2920"/>
      <c r="M22" s="2914"/>
      <c r="N22" s="2914"/>
      <c r="O22" s="2972"/>
      <c r="P22" s="3465"/>
      <c r="Q22" s="1505"/>
      <c r="R22" s="714"/>
      <c r="S22" s="715"/>
      <c r="T22" s="714"/>
      <c r="U22" s="715"/>
      <c r="V22" s="714"/>
      <c r="W22" s="715"/>
      <c r="X22" s="1508"/>
      <c r="Y22" s="3465"/>
      <c r="Z22" s="1509"/>
      <c r="AA22" s="1506">
        <v>1</v>
      </c>
      <c r="AB22" s="1506">
        <v>1</v>
      </c>
      <c r="AC22" s="1506">
        <v>1</v>
      </c>
    </row>
    <row r="23" spans="1:29" s="113" customFormat="1" ht="15">
      <c r="A23" s="605"/>
      <c r="B23" s="589" t="s">
        <v>2415</v>
      </c>
      <c r="C23" s="205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v>3</v>
      </c>
      <c r="L23" s="2915"/>
      <c r="M23" s="2916"/>
      <c r="N23" s="2916"/>
      <c r="O23" s="2970"/>
      <c r="P23" s="3465"/>
      <c r="Q23" s="1496" t="str">
        <f t="shared" si="8"/>
        <v>公共配套设施</v>
      </c>
      <c r="R23" s="710" t="s">
        <v>17</v>
      </c>
      <c r="S23" s="711">
        <f>F23</f>
        <v>100</v>
      </c>
      <c r="T23" s="710" t="s">
        <v>17</v>
      </c>
      <c r="U23" s="711">
        <f>H23</f>
        <v>100</v>
      </c>
      <c r="V23" s="710" t="s">
        <v>17</v>
      </c>
      <c r="W23" s="711">
        <f>J23</f>
        <v>100</v>
      </c>
      <c r="X23" s="712"/>
      <c r="Y23" s="3465"/>
      <c r="Z23" s="55" t="str">
        <f>Q23</f>
        <v>公共配套设施</v>
      </c>
      <c r="AA23" s="1506">
        <f>D23/F23</f>
        <v>1</v>
      </c>
      <c r="AB23" s="1506">
        <f>D23/H23</f>
        <v>1</v>
      </c>
      <c r="AC23" s="1506">
        <f>D23/J23</f>
        <v>1</v>
      </c>
    </row>
    <row r="24" spans="1:29" s="113" customFormat="1" ht="15">
      <c r="A24" s="605"/>
      <c r="B24" s="588"/>
      <c r="C24" s="2133" t="s">
        <v>3147</v>
      </c>
      <c r="D24" s="407"/>
      <c r="E24" s="2133" t="s">
        <v>3147</v>
      </c>
      <c r="F24" s="407"/>
      <c r="G24" s="2133" t="s">
        <v>3147</v>
      </c>
      <c r="H24" s="407"/>
      <c r="I24" s="2133" t="s">
        <v>3147</v>
      </c>
      <c r="J24" s="407"/>
      <c r="K24" s="628"/>
      <c r="L24" s="2915"/>
      <c r="M24" s="2916"/>
      <c r="N24" s="2916"/>
      <c r="O24" s="2970"/>
      <c r="P24" s="3465"/>
      <c r="Q24" s="1496"/>
      <c r="R24" s="710"/>
      <c r="S24" s="711"/>
      <c r="T24" s="710"/>
      <c r="U24" s="711"/>
      <c r="V24" s="710"/>
      <c r="W24" s="711"/>
      <c r="X24" s="712"/>
      <c r="Y24" s="3465"/>
      <c r="Z24" s="55"/>
      <c r="AA24" s="713">
        <v>1</v>
      </c>
      <c r="AB24" s="713">
        <v>1</v>
      </c>
      <c r="AC24" s="713">
        <v>1</v>
      </c>
    </row>
    <row r="25" spans="1:29" s="113" customFormat="1" ht="15">
      <c r="A25" s="605"/>
      <c r="B25" s="589" t="s">
        <v>2416</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65"/>
      <c r="Q25" s="1496" t="str">
        <f t="shared" ref="Q25" si="9">B25</f>
        <v>基础设施水平</v>
      </c>
      <c r="R25" s="710" t="s">
        <v>17</v>
      </c>
      <c r="S25" s="711">
        <f>F25</f>
        <v>100</v>
      </c>
      <c r="T25" s="710" t="s">
        <v>17</v>
      </c>
      <c r="U25" s="711">
        <f>H25</f>
        <v>100</v>
      </c>
      <c r="V25" s="710" t="s">
        <v>17</v>
      </c>
      <c r="W25" s="711">
        <f>J25</f>
        <v>100</v>
      </c>
      <c r="X25" s="712"/>
      <c r="Y25" s="3465"/>
      <c r="Z25" s="55" t="str">
        <f>Q25</f>
        <v>基础设施水平</v>
      </c>
      <c r="AA25" s="1506">
        <f>D25/F25</f>
        <v>1</v>
      </c>
      <c r="AB25" s="1506">
        <f>D25/H25</f>
        <v>1</v>
      </c>
      <c r="AC25" s="1506">
        <f>D25/J25</f>
        <v>1</v>
      </c>
    </row>
    <row r="26" spans="1:29" s="113" customFormat="1" ht="15.75" thickBot="1">
      <c r="A26" s="605"/>
      <c r="B26" s="588"/>
      <c r="C26" s="2133" t="s">
        <v>3420</v>
      </c>
      <c r="D26" s="407"/>
      <c r="E26" s="2134" t="s">
        <v>3420</v>
      </c>
      <c r="F26" s="407"/>
      <c r="G26" s="2134" t="s">
        <v>3420</v>
      </c>
      <c r="H26" s="407"/>
      <c r="I26" s="2134" t="s">
        <v>3420</v>
      </c>
      <c r="J26" s="407"/>
      <c r="K26" s="628"/>
      <c r="L26" s="2915"/>
      <c r="M26" s="2916"/>
      <c r="N26" s="2916"/>
      <c r="O26" s="2970"/>
      <c r="P26" s="3465"/>
      <c r="Q26" s="1496"/>
      <c r="R26" s="710"/>
      <c r="S26" s="711"/>
      <c r="T26" s="710"/>
      <c r="U26" s="711"/>
      <c r="V26" s="710"/>
      <c r="W26" s="711"/>
      <c r="X26" s="712"/>
      <c r="Y26" s="3465"/>
      <c r="Z26" s="55"/>
      <c r="AA26" s="713">
        <v>1</v>
      </c>
      <c r="AB26" s="713">
        <v>1</v>
      </c>
      <c r="AC26" s="713">
        <v>1</v>
      </c>
    </row>
    <row r="27" spans="1:29" ht="15" hidden="1">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5"/>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65"/>
      <c r="Z27" s="1509" t="str">
        <f t="shared" ref="Z27:Z40" si="13">Q27</f>
        <v>临街状况</v>
      </c>
      <c r="AA27" s="1506">
        <f t="shared" si="3"/>
        <v>1</v>
      </c>
      <c r="AB27" s="1506">
        <f t="shared" si="4"/>
        <v>1</v>
      </c>
      <c r="AC27" s="1506">
        <f t="shared" si="5"/>
        <v>1</v>
      </c>
    </row>
    <row r="28" spans="1:29" ht="27" hidden="1">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5"/>
      <c r="Q28" s="1505" t="str">
        <f t="shared" si="8"/>
        <v>毗邻道路的类型与等级</v>
      </c>
      <c r="R28" s="714" t="s">
        <v>17</v>
      </c>
      <c r="S28" s="715">
        <f t="shared" si="10"/>
        <v>100</v>
      </c>
      <c r="T28" s="714" t="s">
        <v>17</v>
      </c>
      <c r="U28" s="715">
        <f t="shared" si="11"/>
        <v>100</v>
      </c>
      <c r="V28" s="714" t="s">
        <v>17</v>
      </c>
      <c r="W28" s="715">
        <f t="shared" si="12"/>
        <v>100</v>
      </c>
      <c r="X28" s="1508"/>
      <c r="Y28" s="3465"/>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465"/>
      <c r="Q29" s="1505"/>
      <c r="R29" s="714"/>
      <c r="S29" s="715"/>
      <c r="T29" s="714"/>
      <c r="U29" s="715"/>
      <c r="V29" s="714"/>
      <c r="W29" s="715"/>
      <c r="X29" s="1508"/>
      <c r="Y29" s="3465"/>
      <c r="Z29" s="1509"/>
      <c r="AA29" s="1506">
        <v>1</v>
      </c>
      <c r="AB29" s="1506">
        <v>1</v>
      </c>
      <c r="AC29" s="1506">
        <v>1</v>
      </c>
    </row>
    <row r="30" spans="1:29" ht="15.75" hidden="1" thickBot="1">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5"/>
      <c r="Q30" s="1505" t="str">
        <f t="shared" si="8"/>
        <v>土地级别</v>
      </c>
      <c r="R30" s="714" t="s">
        <v>17</v>
      </c>
      <c r="S30" s="715">
        <f t="shared" si="10"/>
        <v>100</v>
      </c>
      <c r="T30" s="714" t="s">
        <v>17</v>
      </c>
      <c r="U30" s="715">
        <f t="shared" si="11"/>
        <v>100</v>
      </c>
      <c r="V30" s="714" t="s">
        <v>17</v>
      </c>
      <c r="W30" s="715">
        <f t="shared" si="12"/>
        <v>100</v>
      </c>
      <c r="X30" s="1508"/>
      <c r="Y30" s="3465"/>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5"/>
      <c r="Q31" s="1505">
        <f t="shared" si="8"/>
        <v>111</v>
      </c>
      <c r="R31" s="714" t="s">
        <v>17</v>
      </c>
      <c r="S31" s="715">
        <f t="shared" si="10"/>
        <v>100</v>
      </c>
      <c r="T31" s="714" t="s">
        <v>17</v>
      </c>
      <c r="U31" s="715">
        <f t="shared" si="11"/>
        <v>100</v>
      </c>
      <c r="V31" s="714" t="s">
        <v>17</v>
      </c>
      <c r="W31" s="715">
        <f t="shared" si="12"/>
        <v>100</v>
      </c>
      <c r="X31" s="1508"/>
      <c r="Y31" s="3465"/>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81" t="s">
        <v>2326</v>
      </c>
      <c r="Q32" s="1505">
        <f t="shared" si="8"/>
        <v>111</v>
      </c>
      <c r="R32" s="714" t="s">
        <v>17</v>
      </c>
      <c r="S32" s="715">
        <f t="shared" si="10"/>
        <v>100</v>
      </c>
      <c r="T32" s="714" t="s">
        <v>17</v>
      </c>
      <c r="U32" s="715">
        <f t="shared" si="11"/>
        <v>100</v>
      </c>
      <c r="V32" s="714" t="s">
        <v>17</v>
      </c>
      <c r="W32" s="715">
        <f t="shared" si="12"/>
        <v>100</v>
      </c>
      <c r="X32" s="1508"/>
      <c r="Y32" s="3466" t="s">
        <v>2326</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6"/>
      <c r="Q33" s="1505">
        <f t="shared" si="8"/>
        <v>111</v>
      </c>
      <c r="R33" s="717" t="s">
        <v>17</v>
      </c>
      <c r="S33" s="718">
        <f t="shared" si="10"/>
        <v>100</v>
      </c>
      <c r="T33" s="717" t="s">
        <v>17</v>
      </c>
      <c r="U33" s="718">
        <f t="shared" si="11"/>
        <v>100</v>
      </c>
      <c r="V33" s="717" t="s">
        <v>17</v>
      </c>
      <c r="W33" s="718">
        <f t="shared" si="12"/>
        <v>100</v>
      </c>
      <c r="X33" s="719"/>
      <c r="Y33" s="3466"/>
      <c r="Z33" s="720">
        <f t="shared" si="13"/>
        <v>111</v>
      </c>
      <c r="AA33" s="1506">
        <f t="shared" si="3"/>
        <v>1</v>
      </c>
      <c r="AB33" s="1506">
        <f t="shared" si="4"/>
        <v>1</v>
      </c>
      <c r="AC33" s="1506">
        <f t="shared" si="5"/>
        <v>1</v>
      </c>
    </row>
    <row r="34" spans="1:31" ht="15">
      <c r="A34" s="399" t="s">
        <v>2324</v>
      </c>
      <c r="B34" s="415" t="s">
        <v>2512</v>
      </c>
      <c r="C34" s="635">
        <v>25842.400000000001</v>
      </c>
      <c r="D34" s="426">
        <v>100</v>
      </c>
      <c r="E34" s="635">
        <v>23044.5</v>
      </c>
      <c r="F34" s="426">
        <f>LOOKUP(E34,108:108,109:109)-LOOKUP(C34,108:108,109:109)+100</f>
        <v>100</v>
      </c>
      <c r="G34" s="635">
        <v>12168</v>
      </c>
      <c r="H34" s="426">
        <f>LOOKUP(G34,108:108,109:109)-LOOKUP(C34,108:108,109:109)+100</f>
        <v>99</v>
      </c>
      <c r="I34" s="487">
        <v>13606.6</v>
      </c>
      <c r="J34" s="426">
        <f>LOOKUP(I34,108:108,109:109)-LOOKUP(C34,108:108,109:109)+100</f>
        <v>99</v>
      </c>
      <c r="K34" s="570"/>
      <c r="L34" s="2920"/>
      <c r="M34" s="2914"/>
      <c r="N34" s="2914"/>
      <c r="O34" s="2972"/>
      <c r="P34" s="3466"/>
      <c r="Q34" s="1505" t="str">
        <f>B34</f>
        <v>宗地面积</v>
      </c>
      <c r="R34" s="714" t="s">
        <v>17</v>
      </c>
      <c r="S34" s="715">
        <f t="shared" si="10"/>
        <v>100</v>
      </c>
      <c r="T34" s="714" t="s">
        <v>17</v>
      </c>
      <c r="U34" s="715">
        <f t="shared" si="11"/>
        <v>99</v>
      </c>
      <c r="V34" s="714" t="s">
        <v>17</v>
      </c>
      <c r="W34" s="715">
        <f t="shared" si="12"/>
        <v>99</v>
      </c>
      <c r="X34" s="1508"/>
      <c r="Y34" s="3466"/>
      <c r="Z34" s="1509" t="str">
        <f t="shared" si="13"/>
        <v>宗地面积</v>
      </c>
      <c r="AA34" s="1506">
        <f t="shared" si="3"/>
        <v>1</v>
      </c>
      <c r="AB34" s="1506">
        <f t="shared" si="4"/>
        <v>1.0101010101010102</v>
      </c>
      <c r="AC34" s="1506">
        <f t="shared" si="5"/>
        <v>1.0101010101010102</v>
      </c>
    </row>
    <row r="35" spans="1:31" ht="15">
      <c r="A35" s="431"/>
      <c r="B35" s="381" t="s">
        <v>2513</v>
      </c>
      <c r="C35" s="3248" t="s">
        <v>3421</v>
      </c>
      <c r="D35" s="394">
        <v>100</v>
      </c>
      <c r="E35" s="3248" t="s">
        <v>3421</v>
      </c>
      <c r="F35" s="394">
        <f>SUMIF(110:110,E35,111:111)-SUMIF(110:110,C35,111:111)+100</f>
        <v>100</v>
      </c>
      <c r="G35" s="3248" t="s">
        <v>3421</v>
      </c>
      <c r="H35" s="394">
        <f>SUMIF(110:110,G35,111:111)-SUMIF(110:110,C35,111:111)+100</f>
        <v>100</v>
      </c>
      <c r="I35" s="3248" t="s">
        <v>3421</v>
      </c>
      <c r="J35" s="394">
        <f>SUMIF(110:110,I35,111:111)-SUMIF(110:110,C35,111:111)+100</f>
        <v>100</v>
      </c>
      <c r="K35" s="569">
        <v>1</v>
      </c>
      <c r="L35" s="2920"/>
      <c r="M35" s="2914"/>
      <c r="N35" s="2914"/>
      <c r="O35" s="2972"/>
      <c r="P35" s="3466"/>
      <c r="Q35" s="1505" t="str">
        <f t="shared" ref="Q35:Q40" si="14">B35</f>
        <v>宗地形状</v>
      </c>
      <c r="R35" s="714" t="s">
        <v>17</v>
      </c>
      <c r="S35" s="715">
        <f t="shared" si="10"/>
        <v>100</v>
      </c>
      <c r="T35" s="714" t="s">
        <v>17</v>
      </c>
      <c r="U35" s="715">
        <f t="shared" si="11"/>
        <v>100</v>
      </c>
      <c r="V35" s="714" t="s">
        <v>17</v>
      </c>
      <c r="W35" s="715">
        <f t="shared" si="12"/>
        <v>100</v>
      </c>
      <c r="X35" s="1508"/>
      <c r="Y35" s="3466"/>
      <c r="Z35" s="1509" t="str">
        <f t="shared" si="13"/>
        <v>宗地形状</v>
      </c>
      <c r="AA35" s="1506">
        <f t="shared" si="3"/>
        <v>1</v>
      </c>
      <c r="AB35" s="1506">
        <f t="shared" si="4"/>
        <v>1</v>
      </c>
      <c r="AC35" s="1506">
        <f t="shared" si="5"/>
        <v>1</v>
      </c>
    </row>
    <row r="36" spans="1:31" s="113" customFormat="1" ht="15">
      <c r="A36" s="432"/>
      <c r="B36" s="381" t="s">
        <v>2515</v>
      </c>
      <c r="C36" s="3249" t="s">
        <v>3422</v>
      </c>
      <c r="D36" s="132">
        <v>100</v>
      </c>
      <c r="E36" s="3249" t="s">
        <v>3422</v>
      </c>
      <c r="F36" s="394">
        <f>SUMIF(112:112,E36,113:113)-SUMIF(112:112,C36,113:113)+100</f>
        <v>100</v>
      </c>
      <c r="G36" s="3249" t="s">
        <v>3422</v>
      </c>
      <c r="H36" s="394">
        <f>SUMIF(112:112,G36,113:113)-SUMIF(112:112,C36,113:113)+100</f>
        <v>100</v>
      </c>
      <c r="I36" s="3249" t="s">
        <v>3422</v>
      </c>
      <c r="J36" s="394">
        <f>SUMIF(112:112,I36,113:113)-SUMIF(112:112,C36,113:113)+100</f>
        <v>100</v>
      </c>
      <c r="K36" s="569">
        <v>1</v>
      </c>
      <c r="L36" s="2915"/>
      <c r="M36" s="2916"/>
      <c r="N36" s="2916"/>
      <c r="O36" s="2970"/>
      <c r="P36" s="3466"/>
      <c r="Q36" s="1505"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75" thickBot="1">
      <c r="A37" s="431"/>
      <c r="B37" s="381" t="s">
        <v>2516</v>
      </c>
      <c r="C37" s="3248" t="s">
        <v>3423</v>
      </c>
      <c r="D37" s="394">
        <v>100</v>
      </c>
      <c r="E37" s="3248" t="s">
        <v>3423</v>
      </c>
      <c r="F37" s="394">
        <f>SUMIF(114:114,E37,115:115)-SUMIF(114:114,C37,115:115)+100</f>
        <v>100</v>
      </c>
      <c r="G37" s="3248" t="s">
        <v>3423</v>
      </c>
      <c r="H37" s="394">
        <f>SUMIF(114:114,G37,115:115)-SUMIF(114:114,C37,115:115)+100</f>
        <v>100</v>
      </c>
      <c r="I37" s="3248" t="s">
        <v>3423</v>
      </c>
      <c r="J37" s="394">
        <f>SUMIF(114:114,I37,115:115)-SUMIF(114:114,C37,115:115)+100</f>
        <v>100</v>
      </c>
      <c r="K37" s="569">
        <v>1</v>
      </c>
      <c r="L37" s="2920"/>
      <c r="M37" s="2914"/>
      <c r="N37" s="2914"/>
      <c r="O37" s="2972"/>
      <c r="P37" s="3466" t="s">
        <v>2326</v>
      </c>
      <c r="Q37" s="1505" t="str">
        <f t="shared" si="14"/>
        <v>工程地质条件</v>
      </c>
      <c r="R37" s="714" t="s">
        <v>17</v>
      </c>
      <c r="S37" s="715">
        <f t="shared" si="10"/>
        <v>100</v>
      </c>
      <c r="T37" s="714" t="s">
        <v>17</v>
      </c>
      <c r="U37" s="715">
        <f t="shared" si="11"/>
        <v>100</v>
      </c>
      <c r="V37" s="714" t="s">
        <v>17</v>
      </c>
      <c r="W37" s="715">
        <f t="shared" si="12"/>
        <v>100</v>
      </c>
      <c r="X37" s="1508"/>
      <c r="Y37" s="3466" t="s">
        <v>2326</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6"/>
      <c r="Q38" s="1505">
        <f t="shared" si="14"/>
        <v>111</v>
      </c>
      <c r="R38" s="714" t="s">
        <v>17</v>
      </c>
      <c r="S38" s="715">
        <f t="shared" si="10"/>
        <v>100</v>
      </c>
      <c r="T38" s="714" t="s">
        <v>17</v>
      </c>
      <c r="U38" s="715">
        <f t="shared" si="11"/>
        <v>100</v>
      </c>
      <c r="V38" s="714" t="s">
        <v>17</v>
      </c>
      <c r="W38" s="715">
        <f t="shared" si="12"/>
        <v>100</v>
      </c>
      <c r="X38" s="1508"/>
      <c r="Y38" s="3466"/>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6"/>
      <c r="Q39" s="1505">
        <f t="shared" si="14"/>
        <v>111</v>
      </c>
      <c r="R39" s="714" t="s">
        <v>17</v>
      </c>
      <c r="S39" s="715">
        <f t="shared" si="10"/>
        <v>100</v>
      </c>
      <c r="T39" s="714" t="s">
        <v>17</v>
      </c>
      <c r="U39" s="715">
        <f t="shared" si="11"/>
        <v>100</v>
      </c>
      <c r="V39" s="714" t="s">
        <v>17</v>
      </c>
      <c r="W39" s="715">
        <f t="shared" si="12"/>
        <v>100</v>
      </c>
      <c r="X39" s="1508"/>
      <c r="Y39" s="3466"/>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6"/>
      <c r="Q40" s="1505">
        <f t="shared" si="14"/>
        <v>111</v>
      </c>
      <c r="R40" s="717" t="s">
        <v>17</v>
      </c>
      <c r="S40" s="718">
        <f t="shared" si="10"/>
        <v>100</v>
      </c>
      <c r="T40" s="717" t="s">
        <v>17</v>
      </c>
      <c r="U40" s="718">
        <f t="shared" si="11"/>
        <v>100</v>
      </c>
      <c r="V40" s="717" t="s">
        <v>17</v>
      </c>
      <c r="W40" s="718">
        <f t="shared" si="12"/>
        <v>100</v>
      </c>
      <c r="X40" s="719"/>
      <c r="Y40" s="3466"/>
      <c r="Z40" s="720">
        <f t="shared" si="13"/>
        <v>111</v>
      </c>
      <c r="AA40" s="1506">
        <f t="shared" si="3"/>
        <v>1</v>
      </c>
      <c r="AB40" s="1506">
        <f t="shared" si="4"/>
        <v>1</v>
      </c>
      <c r="AC40" s="1506">
        <f t="shared" si="5"/>
        <v>1</v>
      </c>
    </row>
    <row r="41" spans="1:31" ht="15">
      <c r="A41" s="438" t="s">
        <v>2481</v>
      </c>
      <c r="B41" s="2137" t="s">
        <v>3401</v>
      </c>
      <c r="C41" s="638" t="s">
        <v>1</v>
      </c>
      <c r="D41" s="440"/>
      <c r="E41" s="441">
        <f>土地案例!$P$27</f>
        <v>1104</v>
      </c>
      <c r="F41" s="442"/>
      <c r="G41" s="443">
        <f>土地案例!P36</f>
        <v>1104</v>
      </c>
      <c r="H41" s="444"/>
      <c r="I41" s="441">
        <f>土地案例!P47</f>
        <v>1104</v>
      </c>
      <c r="J41" s="444"/>
      <c r="K41" s="723"/>
      <c r="L41" s="2922"/>
      <c r="M41" s="2914"/>
      <c r="N41" s="2914"/>
      <c r="O41" s="2923"/>
      <c r="P41" s="3445" t="str">
        <f>A41</f>
        <v>成交单价</v>
      </c>
      <c r="Q41" s="3445"/>
      <c r="R41" s="3463">
        <f>E41</f>
        <v>1104</v>
      </c>
      <c r="S41" s="3463"/>
      <c r="T41" s="3463">
        <f>G41</f>
        <v>1104</v>
      </c>
      <c r="U41" s="3463"/>
      <c r="V41" s="3463">
        <f>I41</f>
        <v>1104</v>
      </c>
      <c r="W41" s="3463"/>
      <c r="X41" s="699"/>
      <c r="Y41" s="721"/>
      <c r="Z41" s="699"/>
      <c r="AA41" s="699"/>
      <c r="AB41" s="699"/>
      <c r="AC41" s="699"/>
    </row>
    <row r="42" spans="1:31" ht="15.75" thickBot="1">
      <c r="A42" s="445" t="s">
        <v>2430</v>
      </c>
      <c r="B42" s="639"/>
      <c r="C42" s="448">
        <f>R43</f>
        <v>1051</v>
      </c>
      <c r="D42" s="2507" t="s">
        <v>2818</v>
      </c>
      <c r="E42" s="448">
        <f>R42</f>
        <v>1021</v>
      </c>
      <c r="F42" s="2508"/>
      <c r="G42" s="447">
        <f>T42</f>
        <v>1065</v>
      </c>
      <c r="H42" s="2508"/>
      <c r="I42" s="448">
        <f>V42</f>
        <v>1068</v>
      </c>
      <c r="J42" s="2508"/>
      <c r="K42" s="2510">
        <f>F42+H42+J42</f>
        <v>0</v>
      </c>
      <c r="L42" s="2922"/>
      <c r="M42" s="2914"/>
      <c r="N42" s="2914"/>
      <c r="O42" s="2923"/>
      <c r="P42" s="3445" t="str">
        <f>A42</f>
        <v>比较价值（元/平方米）</v>
      </c>
      <c r="Q42" s="3445"/>
      <c r="R42" s="3485">
        <f>ROUND(PRODUCT(R41,AA7:AA40),0)</f>
        <v>1021</v>
      </c>
      <c r="S42" s="3485"/>
      <c r="T42" s="3485">
        <f>ROUND(PRODUCT(T41,AB7:AB40),0)</f>
        <v>1065</v>
      </c>
      <c r="U42" s="3485"/>
      <c r="V42" s="3485">
        <f>ROUND(PRODUCT(V41,AC7:AC40),0)</f>
        <v>1068</v>
      </c>
      <c r="W42" s="3485"/>
      <c r="X42" s="699"/>
      <c r="Y42" s="699"/>
      <c r="Z42" s="699"/>
      <c r="AA42" s="699"/>
      <c r="AB42" s="699"/>
      <c r="AC42" s="699"/>
    </row>
    <row r="43" spans="1:31" ht="15.75" thickBot="1">
      <c r="A43" s="449" t="s">
        <v>2431</v>
      </c>
      <c r="B43" s="450"/>
      <c r="C43" s="451">
        <f>R43</f>
        <v>1051</v>
      </c>
      <c r="D43" s="451"/>
      <c r="E43" s="451"/>
      <c r="F43" s="451"/>
      <c r="G43" s="451"/>
      <c r="H43" s="451"/>
      <c r="I43" s="451"/>
      <c r="J43" s="451"/>
      <c r="K43" s="724"/>
      <c r="L43" s="2922"/>
      <c r="M43" s="2914"/>
      <c r="N43" s="2914"/>
      <c r="O43" s="2923"/>
      <c r="P43" s="3482" t="str">
        <f>A43</f>
        <v>估价对象XX用房的比较价值（楼面单价，元/平方米）</v>
      </c>
      <c r="Q43" s="3483"/>
      <c r="R43" s="3484">
        <f>ROUND(IF(D42="简单平均",AVERAGE(R42:W42),R42*F42+T42*H42+V42*J42),0)</f>
        <v>1051</v>
      </c>
      <c r="S43" s="3484"/>
      <c r="T43" s="3484"/>
      <c r="U43" s="3484"/>
      <c r="V43" s="3484"/>
      <c r="W43" s="3484"/>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8.1292850146914786E-2</v>
      </c>
      <c r="F46" s="457" t="str">
        <f>IF(OR(E46&gt;=0.3,E46&lt;=-0.3),"超过30%","")</f>
        <v/>
      </c>
      <c r="G46" s="456">
        <f>IF(G41&lt;G42,G42/G41-1,G41/G42-1)</f>
        <v>3.6619718309859106E-2</v>
      </c>
      <c r="H46" s="457" t="str">
        <f>IF(OR(G46&gt;=0.3,G46&lt;=-0.3),"超过30%","")</f>
        <v/>
      </c>
      <c r="I46" s="456">
        <f>IF(I41&lt;I42,I42/I41-1,I41/I42-1)</f>
        <v>3.3707865168539408E-2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4.3095004897159672E-2</v>
      </c>
      <c r="F47" s="457" t="str">
        <f>IF(OR(E47&gt;=0.2,E47&lt;=-0.2),"超过20%","")</f>
        <v/>
      </c>
      <c r="G47" s="456">
        <f>IF(G42&lt;I42,I42/G42-1,G42/I42-1)</f>
        <v>2.8169014084507005E-3</v>
      </c>
      <c r="H47" s="457" t="str">
        <f>IF(OR(G47&gt;=0.2,G47&lt;=-0.2),"超过20%","")</f>
        <v/>
      </c>
      <c r="I47" s="456">
        <f>IF(I42&lt;E42,E42/I42-1,I42/E42-1)</f>
        <v>4.6033300685602407E-2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42" t="s">
        <v>2525</v>
      </c>
      <c r="H50" s="3443"/>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1051</v>
      </c>
      <c r="C51" s="646">
        <v>1</v>
      </c>
      <c r="D51" s="1075">
        <v>1</v>
      </c>
      <c r="E51" s="646">
        <f>'数据-汇总表'!E8+'数据-汇总表'!E9</f>
        <v>3519.53</v>
      </c>
      <c r="F51" s="647">
        <f t="shared" ref="F51:F60" si="15">ROUND(B51*E51/10000,0)</f>
        <v>370</v>
      </c>
      <c r="G51" s="3444"/>
      <c r="H51" s="3445"/>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46"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4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4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4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3519.53</v>
      </c>
      <c r="F61" s="653">
        <f>IF(B41="楼面地价",SUM(F51:F60),ROUND(C43*E61/10000,0))</f>
        <v>370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北京市平均增长率1.20%</v>
      </c>
      <c r="C66" s="560">
        <v>100</v>
      </c>
      <c r="D66" s="552">
        <v>99.8</v>
      </c>
      <c r="E66" s="552">
        <v>99.6</v>
      </c>
      <c r="F66" s="552">
        <v>99.4</v>
      </c>
      <c r="G66" s="552">
        <v>99.2</v>
      </c>
      <c r="H66" s="552">
        <v>99</v>
      </c>
      <c r="I66" s="552">
        <v>98.8</v>
      </c>
      <c r="J66" s="552">
        <v>98.6</v>
      </c>
      <c r="K66" s="552">
        <v>98.4</v>
      </c>
      <c r="L66" s="552">
        <v>98.2</v>
      </c>
      <c r="M66" s="552">
        <v>98</v>
      </c>
      <c r="N66" s="552">
        <v>97.8</v>
      </c>
      <c r="O66" s="552">
        <v>97.6</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09" t="s">
        <v>3400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0</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0</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0</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97</v>
      </c>
      <c r="E84" s="501">
        <f>D84-$K15</f>
        <v>94</v>
      </c>
      <c r="F84" s="501">
        <f>E84-$K15</f>
        <v>91</v>
      </c>
      <c r="G84" s="501">
        <f>F84-$K15</f>
        <v>88</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v>40000</v>
      </c>
      <c r="H108" s="552">
        <v>50000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v>104</v>
      </c>
      <c r="H109" s="548">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99</v>
      </c>
      <c r="E111" s="501">
        <f t="shared" si="26"/>
        <v>98</v>
      </c>
      <c r="F111" s="501">
        <f t="shared" si="26"/>
        <v>97</v>
      </c>
      <c r="G111" s="501">
        <f t="shared" si="26"/>
        <v>96</v>
      </c>
      <c r="H111" s="501">
        <f t="shared" si="26"/>
        <v>95</v>
      </c>
      <c r="I111" s="501">
        <f t="shared" si="26"/>
        <v>94</v>
      </c>
      <c r="J111" s="501">
        <f t="shared" si="26"/>
        <v>93</v>
      </c>
      <c r="K111" s="501">
        <f t="shared" si="26"/>
        <v>92</v>
      </c>
      <c r="L111" s="501">
        <f t="shared" si="26"/>
        <v>91</v>
      </c>
      <c r="M111" s="502">
        <f t="shared" si="26"/>
        <v>90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A5" sqref="A5:J15"/>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3519.53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509</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2694</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1446</v>
      </c>
      <c r="C3" s="2154" t="s">
        <v>2579</v>
      </c>
      <c r="D3" s="2155" t="s">
        <v>2580</v>
      </c>
      <c r="E3" s="2160" t="s">
        <v>3134</v>
      </c>
      <c r="F3" s="2161" t="s">
        <v>3145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1934</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89"/>
      <c r="B4" s="3490"/>
      <c r="C4" s="3490"/>
      <c r="D4" s="3491"/>
      <c r="E4" s="3491"/>
      <c r="F4" s="3491"/>
      <c r="G4" s="3491"/>
      <c r="H4" s="3491"/>
      <c r="I4" s="3491"/>
      <c r="J4" s="3492"/>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1560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1047</v>
      </c>
      <c r="D5" s="1492">
        <f>ROUND(C6+C16,0)</f>
        <v>1047</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1252</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1080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1066</v>
      </c>
      <c r="U6" s="1346"/>
      <c r="V6" s="1345">
        <f t="shared" si="1"/>
        <v>0</v>
      </c>
      <c r="W6" s="1349"/>
      <c r="X6" s="1349"/>
      <c r="Y6" s="1349"/>
      <c r="Z6" s="1349"/>
      <c r="AA6" s="1349"/>
      <c r="AB6" s="1349"/>
      <c r="AC6" s="2168"/>
      <c r="AD6" s="2169"/>
      <c r="AE6" s="2169"/>
      <c r="AF6" s="2169"/>
      <c r="AG6" s="2169"/>
      <c r="AH6" s="2169"/>
      <c r="AI6" s="2169"/>
      <c r="AJ6" s="2170"/>
    </row>
    <row r="7" spans="1:36" ht="24">
      <c r="A7" s="3493" t="str">
        <f>IF(E2="商业",IF(C8="不临58条商业街","",2),"")</f>
        <v/>
      </c>
      <c r="B7" s="2178" t="s">
        <v>2591</v>
      </c>
      <c r="C7" s="858">
        <f>IF(C8="不临58条商业街",1,ROUND(1+(1.6*E8+1.2*E9+0.8*E10+0.4*E11)*C9,4))</f>
        <v>1</v>
      </c>
      <c r="D7" s="2179" t="s">
        <v>2592</v>
      </c>
      <c r="E7" s="882">
        <v>0</v>
      </c>
      <c r="F7" s="2180"/>
      <c r="G7" s="2181"/>
      <c r="H7" s="2181"/>
      <c r="I7" s="2181"/>
      <c r="J7" s="2182"/>
      <c r="K7" s="1537"/>
      <c r="L7" s="2159" t="s">
        <v>2593</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937</v>
      </c>
      <c r="U7" s="1346"/>
      <c r="V7" s="1345">
        <f t="shared" si="1"/>
        <v>0</v>
      </c>
      <c r="W7" s="1511" t="s">
        <v>2594</v>
      </c>
      <c r="X7" s="1347" t="str">
        <f>G2</f>
        <v>七级</v>
      </c>
      <c r="Y7" s="1347" t="s">
        <v>2595</v>
      </c>
      <c r="Z7" s="1348">
        <f>G3</f>
        <v>1.2</v>
      </c>
      <c r="AA7" s="1349"/>
      <c r="AB7" s="1349"/>
      <c r="AC7" s="1350"/>
      <c r="AD7" s="1351"/>
      <c r="AE7" s="1351"/>
      <c r="AF7" s="1351"/>
      <c r="AG7" s="1351"/>
      <c r="AH7" s="1351"/>
      <c r="AI7" s="1351"/>
      <c r="AJ7" s="1352"/>
    </row>
    <row r="8" spans="1:36" ht="25.5">
      <c r="A8" s="3494"/>
      <c r="B8" s="175" t="s">
        <v>2596</v>
      </c>
      <c r="C8" s="2183" t="s">
        <v>3135</v>
      </c>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486" t="s">
        <v>2599</v>
      </c>
      <c r="X8" s="3487"/>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494"/>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488"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94"/>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48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94"/>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488"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493"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488"/>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95"/>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488"/>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495"/>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496"/>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493" t="s">
        <v>2642</v>
      </c>
      <c r="B16" s="2178" t="s">
        <v>2643</v>
      </c>
      <c r="C16" s="2340">
        <f>ROUND(IF(F17="与级别开发程度一致",0,(G17-E17)/C17),0)</f>
        <v>-33</v>
      </c>
      <c r="D16" s="3509" t="s">
        <v>2647</v>
      </c>
      <c r="E16" s="3510"/>
      <c r="F16" s="3509" t="s">
        <v>2644</v>
      </c>
      <c r="G16" s="3510"/>
      <c r="H16" s="2210" t="s">
        <v>3137</v>
      </c>
      <c r="I16" s="2210" t="s">
        <v>3138</v>
      </c>
      <c r="J16" s="2344" t="s">
        <v>3139</v>
      </c>
      <c r="K16" s="2210" t="s">
        <v>3140</v>
      </c>
      <c r="L16" s="2210" t="s">
        <v>3141</v>
      </c>
      <c r="M16" s="2210" t="s">
        <v>3142</v>
      </c>
      <c r="N16" s="2210" t="s">
        <v>3143</v>
      </c>
      <c r="O16" s="2211" t="s">
        <v>70</v>
      </c>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497"/>
      <c r="B17" s="2351" t="s">
        <v>2646</v>
      </c>
      <c r="C17" s="2352">
        <f>SUMPRODUCT((修正!A2:A5=E2)*(修正!B1:M1=G2)*(修正!B2:M5))</f>
        <v>1.2</v>
      </c>
      <c r="D17" s="193" t="str">
        <f>IF(OR(G2="八级",G2="九级",G2="十级",G2="十一级",G2="十二级"),"五通一平","七通一平")</f>
        <v>七通一平</v>
      </c>
      <c r="E17" s="2341">
        <f>SUMPRODUCT((修正!B1:M1=G2)*(修正!B15:M15))</f>
        <v>300</v>
      </c>
      <c r="F17" s="2342" t="s">
        <v>3136</v>
      </c>
      <c r="G17" s="2343">
        <f>SUM(H17:O17)</f>
        <v>260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1.4609000000000001</v>
      </c>
      <c r="D19" s="2220" t="s">
        <v>2651</v>
      </c>
      <c r="E19" s="864">
        <v>41640</v>
      </c>
      <c r="F19" s="2220" t="s">
        <v>2652</v>
      </c>
      <c r="G19" s="865">
        <f>'数据-取费表'!B2</f>
        <v>44638</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0.92379999999999995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38.46</v>
      </c>
      <c r="J20" s="875">
        <f>IF(E2="住宅",70,IF(E2="商业",40,50))</f>
        <v>50</v>
      </c>
      <c r="K20" s="1259"/>
      <c r="L20" s="2228" t="s">
        <v>2658</v>
      </c>
      <c r="M20" s="1468">
        <f>ROUND(SUMPRODUCT((地价!A4:A37=YEAR(G19)&amp;"-"&amp;ROUNDUP(MONTH(G19)/3,0))*(地价!B2:F2=E2)*(地价!B4:F37)),0)</f>
        <v>336</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3144</v>
      </c>
      <c r="C21" s="876">
        <f>IF(B21="容积率修正",IF(G3&lt;=10,D22,J22),C23)</f>
        <v>1</v>
      </c>
      <c r="D21" s="2234"/>
      <c r="E21" s="2234"/>
      <c r="F21" s="2234"/>
      <c r="G21" s="2234"/>
      <c r="H21" s="2234"/>
      <c r="I21" s="2234"/>
      <c r="J21" s="2235"/>
      <c r="K21" s="1259"/>
      <c r="L21" s="2988"/>
      <c r="M21" s="2988"/>
      <c r="N21" s="2236" t="s">
        <v>2662</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1</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2666</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1.0233000000000001</v>
      </c>
      <c r="D24" s="2217"/>
      <c r="E24" s="2244"/>
      <c r="F24" s="2244"/>
      <c r="G24" s="2244"/>
      <c r="H24" s="2244"/>
      <c r="I24" s="2244"/>
      <c r="J24" s="2245"/>
      <c r="K24" s="1259"/>
      <c r="L24" s="2988"/>
      <c r="M24" s="2988"/>
      <c r="N24" s="2246" t="s">
        <v>2671</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509</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1446</v>
      </c>
      <c r="D29" s="2265">
        <f>'数据-汇总表'!F27</f>
        <v>3519.53</v>
      </c>
      <c r="E29" s="879">
        <f>ROUND(C29*D29/10000,0)</f>
        <v>509</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217</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06"/>
      <c r="B33" s="2281" t="s">
        <v>2688</v>
      </c>
      <c r="C33" s="180">
        <f>ROUND(D5*C19*C20*C24*F33,0)</f>
        <v>1012</v>
      </c>
      <c r="D33" s="2265"/>
      <c r="E33" s="176">
        <f>ROUND(C33*D33/10000,0)</f>
        <v>0</v>
      </c>
      <c r="F33" s="176">
        <f>SUMIF(修正!A45:A56,G2,修正!B45:B56)</f>
        <v>0.7</v>
      </c>
      <c r="G33" s="176">
        <f t="shared" ref="G33" si="6">ROUND(IF(E2="工业",C33*$M$39,C33*$M$38),0)</f>
        <v>152</v>
      </c>
      <c r="H33" s="176">
        <f>D33</f>
        <v>0</v>
      </c>
      <c r="I33" s="176">
        <f>ROUND(G33*H33/10000,0)</f>
        <v>0</v>
      </c>
      <c r="J33" s="3511"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07"/>
      <c r="B34" s="2198" t="s">
        <v>2689</v>
      </c>
      <c r="C34" s="180">
        <f>ROUND(D5*C19*C20*C24*F34,0)</f>
        <v>578</v>
      </c>
      <c r="D34" s="2265"/>
      <c r="E34" s="176">
        <f t="shared" ref="E34:E39" si="7">ROUND(C34*D34/10000,0)</f>
        <v>0</v>
      </c>
      <c r="F34" s="176">
        <f>SUMIF(修正!A45:A56,G2,修正!C45:C56)</f>
        <v>0.4</v>
      </c>
      <c r="G34" s="176">
        <f>ROUND(IF(E2="工业",C34*$M$39,C34*$M$38),0)</f>
        <v>87</v>
      </c>
      <c r="H34" s="176">
        <f t="shared" ref="H34:H39" si="8">D34</f>
        <v>0</v>
      </c>
      <c r="I34" s="176">
        <f t="shared" ref="I34:I39" si="9">ROUND(G34*H34/10000,0)</f>
        <v>0</v>
      </c>
      <c r="J34" s="350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07"/>
      <c r="B35" s="2198" t="s">
        <v>2690</v>
      </c>
      <c r="C35" s="180">
        <f>ROUND(D5*C19*C20*C24*F35,0)</f>
        <v>405</v>
      </c>
      <c r="D35" s="2265"/>
      <c r="E35" s="176">
        <f t="shared" si="7"/>
        <v>0</v>
      </c>
      <c r="F35" s="176">
        <f>SUMIF(修正!A45:A56,G2,修正!D45:D56)</f>
        <v>0.28000000000000003</v>
      </c>
      <c r="G35" s="176">
        <f>ROUND(IF(E2="工业",C35*$M$39,C35*$M$38),0)</f>
        <v>61</v>
      </c>
      <c r="H35" s="176">
        <f t="shared" si="8"/>
        <v>0</v>
      </c>
      <c r="I35" s="176">
        <f t="shared" si="9"/>
        <v>0</v>
      </c>
      <c r="J35" s="350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08"/>
      <c r="B36" s="2198" t="s">
        <v>2691</v>
      </c>
      <c r="C36" s="180">
        <f>ROUND(D5*C19*C20*C24*F36,0)</f>
        <v>361</v>
      </c>
      <c r="D36" s="2265"/>
      <c r="E36" s="176">
        <f t="shared" si="7"/>
        <v>0</v>
      </c>
      <c r="F36" s="176">
        <f>SUMIF(修正!A45:A56,G2,修正!E45:E56)</f>
        <v>0.25</v>
      </c>
      <c r="G36" s="176">
        <f>ROUND(IF(E2="工业",C36*$M$39,C36*$M$38),0)</f>
        <v>54</v>
      </c>
      <c r="H36" s="176">
        <f t="shared" si="8"/>
        <v>0</v>
      </c>
      <c r="I36" s="176">
        <f t="shared" si="9"/>
        <v>0</v>
      </c>
      <c r="J36" s="3508"/>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361</v>
      </c>
      <c r="D37" s="2265"/>
      <c r="E37" s="176">
        <f t="shared" si="7"/>
        <v>0</v>
      </c>
      <c r="F37" s="180">
        <f>SUMIF(修正!A45:A56,G2,修正!F45:F56)</f>
        <v>0.25</v>
      </c>
      <c r="G37" s="176">
        <f>ROUND(IF(E2="工业",C37*$M$39,C37*$M$38),0)</f>
        <v>54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0.25</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0.2</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8" t="s">
        <v>2707</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2708</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2715</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2716</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2717</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8" t="s">
        <v>2720</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2708</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2715</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2716</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2717</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8" t="s">
        <v>2722</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2708</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2715</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2716</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2717</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1.0233000000000001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24">
      <c r="A81" s="2298" t="s">
        <v>2726</v>
      </c>
      <c r="B81" s="2302">
        <f>估价对象房地状况!G15</f>
        <v>0</v>
      </c>
      <c r="C81" s="2203" t="s">
        <v>3147</v>
      </c>
      <c r="D81" s="1196">
        <f t="shared" ref="D81:D88" si="25">SUMIF($J$80:$N$80,C81,J81:N81)</f>
        <v>6.4999999999999997E-3</v>
      </c>
      <c r="E81" s="760">
        <f>ROUND(SUM(D81:D88),4)</f>
        <v>2.3300000000000001E-2</v>
      </c>
      <c r="F81" s="1969">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3"/>
      <c r="AA81" s="2219"/>
      <c r="AG81" s="1254"/>
      <c r="AK81" s="2219"/>
    </row>
    <row r="82" spans="1:37" ht="14.25">
      <c r="A82" s="2298" t="s">
        <v>2708</v>
      </c>
      <c r="B82" s="2302">
        <f>估价对象房地状况!G16</f>
        <v>0</v>
      </c>
      <c r="C82" s="2203" t="s">
        <v>3147</v>
      </c>
      <c r="D82" s="1196">
        <f t="shared" si="25"/>
        <v>8.2000000000000007E-3</v>
      </c>
      <c r="E82" s="765"/>
      <c r="F82" s="1969"/>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3"/>
      <c r="AA82" s="2219"/>
      <c r="AG82" s="1254"/>
      <c r="AK82" s="2219"/>
    </row>
    <row r="83" spans="1:37" ht="24">
      <c r="A83" s="2298" t="s">
        <v>2709</v>
      </c>
      <c r="B83" s="2302">
        <f>估价对象房地状况!G17</f>
        <v>0</v>
      </c>
      <c r="C83" s="2203" t="s">
        <v>3147</v>
      </c>
      <c r="D83" s="1196">
        <f t="shared" si="25"/>
        <v>1.1999999999999999E-3</v>
      </c>
      <c r="E83" s="765"/>
      <c r="F83" s="1969"/>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3"/>
      <c r="AA83" s="2219"/>
      <c r="AG83" s="1254"/>
      <c r="AK83" s="2219"/>
    </row>
    <row r="84" spans="1:37" ht="14.25">
      <c r="A84" s="2298" t="s">
        <v>2723</v>
      </c>
      <c r="B84" s="2302">
        <f>估价对象房地状况!G22</f>
        <v>0</v>
      </c>
      <c r="C84" s="2203" t="s">
        <v>3147</v>
      </c>
      <c r="D84" s="1196">
        <f t="shared" si="25"/>
        <v>1E-3</v>
      </c>
      <c r="E84" s="765"/>
      <c r="F84" s="1969"/>
      <c r="G84" s="1194">
        <f t="shared" si="30"/>
        <v>1E-3</v>
      </c>
      <c r="H84" s="1198">
        <f t="shared" si="26"/>
        <v>1E-3</v>
      </c>
      <c r="I84" s="759">
        <v>0.04</v>
      </c>
      <c r="J84" s="1195">
        <f t="shared" si="27"/>
        <v>2E-3</v>
      </c>
      <c r="K84" s="1195">
        <f t="shared" si="28"/>
        <v>1E-3</v>
      </c>
      <c r="L84" s="1195">
        <v>0</v>
      </c>
      <c r="M84" s="1195">
        <f t="shared" si="29"/>
        <v>-1E-3</v>
      </c>
      <c r="N84" s="1195">
        <f t="shared" si="29"/>
        <v>-2E-3</v>
      </c>
      <c r="Z84" s="2153"/>
      <c r="AA84" s="2219"/>
      <c r="AG84" s="1254"/>
      <c r="AK84" s="2219"/>
    </row>
    <row r="85" spans="1:37" ht="24">
      <c r="A85" s="2298" t="s">
        <v>2715</v>
      </c>
      <c r="B85" s="1465">
        <f>估价对象房地状况!G19</f>
        <v>0</v>
      </c>
      <c r="C85" s="2203" t="s">
        <v>3148</v>
      </c>
      <c r="D85" s="1196">
        <f t="shared" si="25"/>
        <v>0</v>
      </c>
      <c r="E85" s="765"/>
      <c r="F85" s="1969"/>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3"/>
      <c r="AA85" s="2219"/>
      <c r="AG85" s="1254"/>
      <c r="AK85" s="2219"/>
    </row>
    <row r="86" spans="1:37" ht="24">
      <c r="A86" s="2298" t="s">
        <v>2716</v>
      </c>
      <c r="B86" s="1465">
        <f>估价对象房地状况!G20</f>
        <v>0</v>
      </c>
      <c r="C86" s="2203" t="s">
        <v>3147</v>
      </c>
      <c r="D86" s="1196">
        <f t="shared" si="25"/>
        <v>3.7000000000000002E-3</v>
      </c>
      <c r="E86" s="765"/>
      <c r="F86" s="1969"/>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3"/>
      <c r="AA86" s="2219"/>
      <c r="AG86" s="1254"/>
      <c r="AK86" s="2219"/>
    </row>
    <row r="87" spans="1:37" ht="24">
      <c r="A87" s="2298" t="s">
        <v>2713</v>
      </c>
      <c r="B87" s="2304" t="s">
        <v>2727</v>
      </c>
      <c r="C87" s="2203" t="s">
        <v>3147</v>
      </c>
      <c r="D87" s="1196">
        <f t="shared" si="25"/>
        <v>1.1999999999999999E-3</v>
      </c>
      <c r="E87" s="765"/>
      <c r="F87" s="1969"/>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3"/>
      <c r="AA87" s="2219"/>
      <c r="AG87" s="1254"/>
      <c r="AK87" s="2219"/>
    </row>
    <row r="88" spans="1:37" ht="15" thickBot="1">
      <c r="A88" s="2306" t="s">
        <v>2728</v>
      </c>
      <c r="B88" s="2311">
        <f>估价对象房地状况!G18</f>
        <v>0</v>
      </c>
      <c r="C88" s="2203" t="s">
        <v>3147</v>
      </c>
      <c r="D88" s="1196">
        <f t="shared" si="25"/>
        <v>1.5E-3</v>
      </c>
      <c r="E88" s="766"/>
      <c r="F88" s="1969"/>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3"/>
      <c r="AA88" s="2219"/>
      <c r="AG88" s="1254"/>
      <c r="AK88" s="2219"/>
    </row>
    <row r="90" spans="1:37">
      <c r="A90" s="3498" t="s">
        <v>2729</v>
      </c>
      <c r="B90" s="3498"/>
      <c r="C90" s="3498"/>
      <c r="D90" s="3498"/>
      <c r="E90" s="3498"/>
      <c r="F90" s="3498"/>
      <c r="G90" s="3498"/>
      <c r="H90" s="3498"/>
      <c r="I90" s="3498"/>
      <c r="J90" s="3498"/>
      <c r="K90" s="2312"/>
      <c r="L90" s="2312"/>
      <c r="M90" s="2312"/>
      <c r="N90" s="2312"/>
    </row>
    <row r="91" spans="1:37">
      <c r="A91" s="3500" t="s">
        <v>2730</v>
      </c>
      <c r="B91" s="3500" t="s">
        <v>2731</v>
      </c>
      <c r="C91" s="2266" t="s">
        <v>2732</v>
      </c>
      <c r="D91" s="2267"/>
      <c r="E91" s="2267"/>
      <c r="F91" s="2267"/>
      <c r="G91" s="2267"/>
      <c r="H91" s="2267"/>
      <c r="I91" s="2267"/>
      <c r="J91" s="2313"/>
      <c r="K91" s="2314"/>
      <c r="L91" s="2314"/>
      <c r="M91" s="2314"/>
      <c r="N91" s="2314"/>
    </row>
    <row r="92" spans="1:37">
      <c r="A92" s="3500"/>
      <c r="B92" s="350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1"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02"/>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02"/>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02"/>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02"/>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02"/>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02"/>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03"/>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01" t="s">
        <v>2734</v>
      </c>
      <c r="B101" s="2319" t="s">
        <v>2735</v>
      </c>
      <c r="C101" s="2320">
        <f>$G$3</f>
        <v>1.2</v>
      </c>
      <c r="D101" s="2320">
        <f t="shared" ref="D101:N101" si="32">$G$3</f>
        <v>1.2</v>
      </c>
      <c r="E101" s="2320">
        <f t="shared" si="32"/>
        <v>1.2</v>
      </c>
      <c r="F101" s="2320">
        <f t="shared" si="32"/>
        <v>1.2</v>
      </c>
      <c r="G101" s="2320">
        <f t="shared" si="32"/>
        <v>1.2</v>
      </c>
      <c r="H101" s="2320">
        <f t="shared" si="32"/>
        <v>1.2</v>
      </c>
      <c r="I101" s="2320">
        <f t="shared" si="32"/>
        <v>1.2</v>
      </c>
      <c r="J101" s="2320">
        <f t="shared" si="32"/>
        <v>1.2</v>
      </c>
      <c r="K101" s="2320">
        <f t="shared" si="32"/>
        <v>1.2</v>
      </c>
      <c r="L101" s="2320">
        <f t="shared" si="32"/>
        <v>1.2</v>
      </c>
      <c r="M101" s="2320">
        <f t="shared" si="32"/>
        <v>1.2</v>
      </c>
      <c r="N101" s="2320">
        <f t="shared" si="32"/>
        <v>1.2</v>
      </c>
    </row>
    <row r="102" spans="1:14">
      <c r="A102" s="3502"/>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502"/>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502"/>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502"/>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502"/>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502"/>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502"/>
      <c r="B108" s="3504"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03"/>
      <c r="B109" s="3505"/>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499" t="s">
        <v>2737</v>
      </c>
      <c r="B110" s="3499"/>
      <c r="C110" s="3499"/>
      <c r="D110" s="3499"/>
      <c r="E110" s="3499"/>
      <c r="F110" s="3499"/>
      <c r="G110" s="3499"/>
      <c r="H110" s="3499"/>
      <c r="I110" s="3499"/>
      <c r="J110" s="3499"/>
      <c r="K110" s="2321"/>
      <c r="L110" s="2321"/>
      <c r="M110" s="2321"/>
      <c r="N110" s="2321"/>
    </row>
    <row r="112" spans="1:14" ht="13.5" thickBot="1"/>
    <row r="113" spans="1:13" ht="25.5" thickBot="1">
      <c r="A113" s="842" t="s">
        <v>2738</v>
      </c>
      <c r="B113" s="1197">
        <f>G3</f>
        <v>1.2</v>
      </c>
      <c r="C113" s="843" t="s">
        <v>2739</v>
      </c>
      <c r="D113" s="844">
        <f>SUMPRODUCT((A115:A118=F113)*(B114:M114=H113)*B115:M118)</f>
        <v>0.61529999999999996</v>
      </c>
      <c r="E113" s="2157" t="s">
        <v>2574</v>
      </c>
      <c r="F113" s="2323" t="str">
        <f>E2</f>
        <v>工业</v>
      </c>
      <c r="G113" s="2157" t="s">
        <v>2575</v>
      </c>
      <c r="H113" s="2323" t="str">
        <f>G2</f>
        <v>七级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4">I115</f>
        <v>0.6704</v>
      </c>
      <c r="K115" s="849">
        <f t="shared" si="34"/>
        <v>0.6704</v>
      </c>
      <c r="L115" s="849">
        <f t="shared" si="34"/>
        <v>0.6704</v>
      </c>
      <c r="M115" s="850">
        <f t="shared" si="34"/>
        <v>0.6704</v>
      </c>
    </row>
    <row r="116" spans="1:13">
      <c r="A116" s="848" t="s">
        <v>2639</v>
      </c>
      <c r="B116" s="849">
        <f>ROUND(0.949-0.012*B113,4)</f>
        <v>0.93459999999999999</v>
      </c>
      <c r="C116" s="849">
        <f>B116</f>
        <v>0.93459999999999999</v>
      </c>
      <c r="D116" s="849">
        <f>ROUND(0.8567-0.013*B113,4)</f>
        <v>0.84109999999999996</v>
      </c>
      <c r="E116" s="849">
        <f t="shared" ref="E116:H117" si="35">D116</f>
        <v>0.84109999999999996</v>
      </c>
      <c r="F116" s="849">
        <f t="shared" si="35"/>
        <v>0.84109999999999996</v>
      </c>
      <c r="G116" s="849">
        <f t="shared" si="35"/>
        <v>0.84109999999999996</v>
      </c>
      <c r="H116" s="849">
        <f t="shared" si="35"/>
        <v>0.84109999999999996</v>
      </c>
      <c r="I116" s="849">
        <f>ROUND(0.7694-0.014*B113,4)</f>
        <v>0.75260000000000005</v>
      </c>
      <c r="J116" s="849">
        <f t="shared" si="34"/>
        <v>0.75260000000000005</v>
      </c>
      <c r="K116" s="849">
        <f t="shared" si="34"/>
        <v>0.75260000000000005</v>
      </c>
      <c r="L116" s="849">
        <f t="shared" si="34"/>
        <v>0.75260000000000005</v>
      </c>
      <c r="M116" s="850">
        <f t="shared" si="34"/>
        <v>0.75260000000000005</v>
      </c>
    </row>
    <row r="117" spans="1:13">
      <c r="A117" s="848" t="s">
        <v>2640</v>
      </c>
      <c r="B117" s="849">
        <f>ROUND(0.8808-0.006*B113,4)</f>
        <v>0.87360000000000004</v>
      </c>
      <c r="C117" s="849">
        <f>B117</f>
        <v>0.87360000000000004</v>
      </c>
      <c r="D117" s="849">
        <f>ROUND(0.8748-0.008*B113,4)</f>
        <v>0.86519999999999997</v>
      </c>
      <c r="E117" s="849">
        <f t="shared" si="35"/>
        <v>0.86519999999999997</v>
      </c>
      <c r="F117" s="849">
        <f t="shared" si="35"/>
        <v>0.86519999999999997</v>
      </c>
      <c r="G117" s="849">
        <f t="shared" si="35"/>
        <v>0.86519999999999997</v>
      </c>
      <c r="H117" s="849">
        <f t="shared" si="35"/>
        <v>0.86519999999999997</v>
      </c>
      <c r="I117" s="849">
        <f>ROUND(0.7412-0.0095*B113,4)</f>
        <v>0.7298</v>
      </c>
      <c r="J117" s="849">
        <f t="shared" si="34"/>
        <v>0.7298</v>
      </c>
      <c r="K117" s="849">
        <f t="shared" si="34"/>
        <v>0.7298</v>
      </c>
      <c r="L117" s="849">
        <f t="shared" si="34"/>
        <v>0.7298</v>
      </c>
      <c r="M117" s="850">
        <f t="shared" si="34"/>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4"/>
        <v>0.5504</v>
      </c>
      <c r="K118" s="851">
        <f t="shared" si="34"/>
        <v>0.5504</v>
      </c>
      <c r="L118" s="851">
        <f t="shared" si="34"/>
        <v>0.5504</v>
      </c>
      <c r="M118" s="852">
        <f t="shared" si="34"/>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0" sqref="D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3207" t="s">
        <v>3152</v>
      </c>
      <c r="D1" s="1515" t="s">
        <v>70</v>
      </c>
      <c r="E1" s="1516" t="s">
        <v>1292</v>
      </c>
      <c r="F1" s="1193">
        <f ca="1">J53</f>
        <v>38.46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3504</v>
      </c>
      <c r="C2" s="1540" t="s">
        <v>1421</v>
      </c>
      <c r="D2" s="1540"/>
      <c r="E2" s="1541"/>
      <c r="F2" s="1542"/>
      <c r="G2" s="2904"/>
      <c r="H2" s="2893"/>
      <c r="I2" s="2893"/>
      <c r="J2" s="2893"/>
      <c r="K2" s="2894"/>
      <c r="L2" s="2893"/>
      <c r="M2" s="2893"/>
    </row>
    <row r="3" spans="1:37" ht="18" customHeight="1" thickBot="1">
      <c r="A3" s="1543" t="s">
        <v>1422</v>
      </c>
      <c r="B3" s="1544">
        <f ca="1">IF(ISERROR(B2*10000/F43),0,ROUND(B2*10000/F43,0))</f>
        <v>9956</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208</v>
      </c>
      <c r="D5" s="1517" t="s">
        <v>1307</v>
      </c>
      <c r="E5" s="1203"/>
      <c r="F5" s="1204"/>
      <c r="G5" s="1537"/>
      <c r="H5" s="305">
        <v>1</v>
      </c>
      <c r="I5" s="306" t="s">
        <v>1306</v>
      </c>
      <c r="J5" s="1202">
        <f ca="1">J6+J10+J12</f>
        <v>0</v>
      </c>
      <c r="K5" s="1517" t="s">
        <v>1307</v>
      </c>
      <c r="L5" s="1203"/>
      <c r="M5" s="1204"/>
    </row>
    <row r="6" spans="1:37" ht="18" customHeight="1">
      <c r="A6" s="1201" t="s">
        <v>1003</v>
      </c>
      <c r="B6" s="3514" t="s">
        <v>1308</v>
      </c>
      <c r="C6" s="1206">
        <f ca="1">ROUND(F6*F8*F7*(1-F9)/10000,0)</f>
        <v>208</v>
      </c>
      <c r="D6" s="160" t="s">
        <v>2788</v>
      </c>
      <c r="E6" s="308" t="s">
        <v>1310</v>
      </c>
      <c r="F6" s="309">
        <f ca="1">INDIRECT("'数据-取费表'!u"&amp;$G$1)</f>
        <v>1.8</v>
      </c>
      <c r="G6" s="1537"/>
      <c r="H6" s="1201" t="s">
        <v>1003</v>
      </c>
      <c r="I6" s="3514" t="s">
        <v>1308</v>
      </c>
      <c r="J6" s="307">
        <f ca="1">ROUND(M6*M8*M7*(1-M9)/10000,0)</f>
        <v>0</v>
      </c>
      <c r="K6" s="160" t="s">
        <v>2787</v>
      </c>
      <c r="L6" s="308" t="s">
        <v>1310</v>
      </c>
      <c r="M6" s="309">
        <f ca="1">INDIRECT("'数据-取费表'!z"&amp;$G$1)</f>
        <v>0</v>
      </c>
    </row>
    <row r="7" spans="1:37" ht="18" customHeight="1">
      <c r="A7" s="1205"/>
      <c r="B7" s="3515"/>
      <c r="C7" s="1207"/>
      <c r="D7" s="313"/>
      <c r="E7" s="1208" t="s">
        <v>1311</v>
      </c>
      <c r="F7" s="309">
        <f ca="1">IF(INDIRECT("'数据-取费表'!ah"&amp;$G$1)="",INDIRECT("'数据-取费表'!k"&amp;$G$1),INDIRECT("'数据-取费表'!ah"&amp;$G$1))</f>
        <v>3519.53</v>
      </c>
      <c r="G7" s="1537"/>
      <c r="H7" s="310"/>
      <c r="I7" s="3515"/>
      <c r="J7" s="312"/>
      <c r="K7" s="313"/>
      <c r="L7" s="308" t="s">
        <v>1311</v>
      </c>
      <c r="M7" s="309">
        <f ca="1">F7</f>
        <v>3519.53</v>
      </c>
    </row>
    <row r="8" spans="1:37" ht="18" customHeight="1">
      <c r="A8" s="310"/>
      <c r="B8" s="3515"/>
      <c r="C8" s="312"/>
      <c r="D8" s="313"/>
      <c r="E8" s="308" t="s">
        <v>1312</v>
      </c>
      <c r="F8" s="309">
        <f ca="1">INDIRECT("'数据-取费表'!ai"&amp;$G$1)</f>
        <v>365</v>
      </c>
      <c r="G8" s="1537"/>
      <c r="H8" s="310"/>
      <c r="I8" s="3515"/>
      <c r="J8" s="312"/>
      <c r="K8" s="313"/>
      <c r="L8" s="308" t="s">
        <v>1312</v>
      </c>
      <c r="M8" s="309">
        <f ca="1">INDIRECT("'数据-取费表'!ai"&amp;$G$1)</f>
        <v>365</v>
      </c>
    </row>
    <row r="9" spans="1:37" ht="18" customHeight="1">
      <c r="A9" s="310"/>
      <c r="B9" s="3516"/>
      <c r="C9" s="312"/>
      <c r="D9" s="313"/>
      <c r="E9" s="308" t="s">
        <v>1313</v>
      </c>
      <c r="F9" s="318">
        <f ca="1">INDIRECT("'数据-取费表'!w"&amp;$G$1)</f>
        <v>0.1</v>
      </c>
      <c r="G9" s="1537"/>
      <c r="H9" s="310"/>
      <c r="I9" s="3516"/>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3153</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1337</v>
      </c>
      <c r="D13" s="1213" t="s">
        <v>1320</v>
      </c>
      <c r="E13" s="1213" t="s">
        <v>1321</v>
      </c>
      <c r="F13" s="1214">
        <f ca="1">INDIRECT("'数据-取费表'!y"&amp;$G$1)</f>
        <v>0.85</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1056</v>
      </c>
      <c r="D14" s="1498" t="s">
        <v>1323</v>
      </c>
      <c r="E14" s="1495"/>
      <c r="F14" s="325"/>
      <c r="G14" s="1537"/>
      <c r="H14" s="1113" t="s">
        <v>1003</v>
      </c>
      <c r="I14" s="308" t="s">
        <v>1324</v>
      </c>
      <c r="J14" s="24">
        <f ca="1">C29</f>
        <v>1573</v>
      </c>
      <c r="K14" s="15"/>
      <c r="L14" s="916"/>
      <c r="M14" s="917"/>
    </row>
    <row r="15" spans="1:37" s="1550" customFormat="1" ht="18" customHeight="1" thickBot="1">
      <c r="A15" s="1113" t="s">
        <v>1004</v>
      </c>
      <c r="B15" s="308" t="s">
        <v>1325</v>
      </c>
      <c r="C15" s="24">
        <f ca="1">ROUND(C14*F15,0)</f>
        <v>32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70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13</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1174</v>
      </c>
      <c r="D19" s="136" t="s">
        <v>1341</v>
      </c>
      <c r="E19" s="1513"/>
      <c r="F19" s="26"/>
      <c r="G19" s="1537"/>
      <c r="H19" s="1113" t="s">
        <v>1004</v>
      </c>
      <c r="I19" s="308" t="s">
        <v>1342</v>
      </c>
      <c r="J19" s="24">
        <f ca="1">IF(K19="按租金收入计税",ROUND(J6*M19/(1+'数据-取费表'!C42),2),ROUND(C29*M19*0.7,2))</f>
        <v>13.21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29</v>
      </c>
      <c r="D20" s="329" t="s">
        <v>1345</v>
      </c>
      <c r="E20" s="308" t="s">
        <v>1327</v>
      </c>
      <c r="F20" s="328">
        <f>'数据-取费表'!B37</f>
        <v>2.5000000000000001E-2</v>
      </c>
      <c r="G20" s="1549"/>
      <c r="H20" s="1113"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23.6</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180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4.4999999999999997E-3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1573</v>
      </c>
      <c r="D29" s="1224"/>
      <c r="E29" s="1222"/>
      <c r="F29" s="1225"/>
      <c r="G29" s="1549"/>
      <c r="H29" s="340" t="s">
        <v>1001</v>
      </c>
      <c r="I29" s="341" t="s">
        <v>1384</v>
      </c>
      <c r="J29" s="342">
        <f ca="1">ROUND(J26/(1+F40)^F41,0)</f>
        <v>0</v>
      </c>
      <c r="K29" s="343" t="s">
        <v>1385</v>
      </c>
      <c r="L29" s="344"/>
      <c r="M29" s="345">
        <f ca="1">INDIRECT("'数据-取费表'!k"&amp;$G$1)</f>
        <v>3519.53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35</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IF(项目基本情况!B11="自然人","——",ROUND(C6*F32/(1+'数据-取费表'!C42),2))</f>
        <v>11.09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23.77</v>
      </c>
      <c r="D33" s="1523" t="s">
        <v>3154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ROUND(C29*F36,1)</f>
        <v>23.6</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2.1</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145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3504</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38.46</v>
      </c>
      <c r="G41" s="1537"/>
      <c r="H41" s="1324"/>
      <c r="I41" s="1551"/>
      <c r="J41" s="1552"/>
      <c r="K41" s="2739"/>
      <c r="L41" s="1324"/>
      <c r="M41" s="1324"/>
    </row>
    <row r="42" spans="1:18" ht="18" customHeight="1">
      <c r="A42" s="314"/>
      <c r="B42" s="315"/>
      <c r="C42" s="316"/>
      <c r="D42" s="333"/>
      <c r="E42" s="308" t="s">
        <v>1382</v>
      </c>
      <c r="F42" s="318">
        <f ca="1">INDIRECT("'数据-取费表'!v"&amp;$G$1)</f>
        <v>2.5000000000000001E-2</v>
      </c>
      <c r="G42" s="1537"/>
      <c r="H42" s="1324"/>
      <c r="I42" s="1551"/>
      <c r="J42" s="1552"/>
      <c r="K42" s="2739"/>
      <c r="L42" s="1324"/>
      <c r="M42" s="1324"/>
    </row>
    <row r="43" spans="1:18" ht="18" customHeight="1" thickBot="1">
      <c r="A43" s="340" t="s">
        <v>1001</v>
      </c>
      <c r="B43" s="341" t="s">
        <v>1392</v>
      </c>
      <c r="C43" s="342">
        <f ca="1">ROUND(C40*10000/F43,0)</f>
        <v>9956</v>
      </c>
      <c r="D43" s="343" t="s">
        <v>1393</v>
      </c>
      <c r="E43" s="344" t="s">
        <v>1394</v>
      </c>
      <c r="F43" s="345">
        <f ca="1">INDIRECT("'数据-取费表'!k"&amp;$G$1)</f>
        <v>3519.53</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-6180</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3155</v>
      </c>
      <c r="K47" s="1569" t="s">
        <v>1432</v>
      </c>
      <c r="L47" s="1570">
        <f ca="1">INDIRECT("'数据-取费表'!d"&amp;$G$1)</f>
        <v>50</v>
      </c>
      <c r="M47" s="1533" t="str">
        <f>IF(ISNUMBER(FIND("住宅",C1)),"住宅","非住宅")</f>
        <v>非住宅</v>
      </c>
      <c r="O47" s="1571" t="s">
        <v>1008</v>
      </c>
      <c r="P47" s="1572" t="s">
        <v>1433</v>
      </c>
      <c r="Q47" s="1573">
        <f ca="1">C40+J29</f>
        <v>3504</v>
      </c>
      <c r="R47" s="1573" t="s">
        <v>1434</v>
      </c>
    </row>
    <row r="48" spans="1:18" s="1537" customFormat="1" ht="28.5" thickBot="1">
      <c r="A48" s="1242" t="s">
        <v>1044</v>
      </c>
      <c r="B48" s="306" t="s">
        <v>1306</v>
      </c>
      <c r="C48" s="1512">
        <f ca="1">C49+C53+C55</f>
        <v>0</v>
      </c>
      <c r="D48" s="1244"/>
      <c r="E48" s="1245"/>
      <c r="F48" s="1093"/>
      <c r="G48" s="731"/>
      <c r="H48" s="732"/>
      <c r="I48" s="1574" t="s">
        <v>1435</v>
      </c>
      <c r="J48" s="1575" t="s">
        <v>3156</v>
      </c>
      <c r="K48" s="1576" t="s">
        <v>1436</v>
      </c>
      <c r="L48" s="1577">
        <f ca="1">INDIRECT("'数据-取费表'!f"&amp;$G$1)</f>
        <v>38.46</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2013</v>
      </c>
      <c r="K49" s="1576" t="s">
        <v>1440</v>
      </c>
      <c r="L49" s="1580"/>
      <c r="O49" s="1581" t="s">
        <v>1010</v>
      </c>
      <c r="P49" s="1572" t="s">
        <v>1441</v>
      </c>
      <c r="Q49" s="1573">
        <f ca="1">C29</f>
        <v>1573</v>
      </c>
      <c r="R49" s="1573" t="s">
        <v>1434</v>
      </c>
    </row>
    <row r="50" spans="1:18" s="1537" customFormat="1" ht="13.5" thickBot="1">
      <c r="A50" s="1107"/>
      <c r="B50" s="1110"/>
      <c r="C50" s="1250"/>
      <c r="D50" s="1084"/>
      <c r="E50" s="1187" t="s">
        <v>1311</v>
      </c>
      <c r="F50" s="1188">
        <f ca="1">F7</f>
        <v>3519.53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51</v>
      </c>
      <c r="K51" s="1587" t="s">
        <v>1446</v>
      </c>
      <c r="L51" s="1588">
        <f ca="1">ROUND(-PV(INDIRECT("'数据-取费表'!h"&amp;$G$1),J51,(C39-C13*C76),0),0)</f>
        <v>623</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v>4.4999999999999998E-2</v>
      </c>
      <c r="O52" s="1581" t="s">
        <v>1013</v>
      </c>
      <c r="P52" s="1572" t="s">
        <v>1450</v>
      </c>
      <c r="Q52" s="1573">
        <f ca="1">J53</f>
        <v>38.46</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38.46</v>
      </c>
      <c r="K53" s="3512" t="s">
        <v>1453</v>
      </c>
      <c r="L53" s="3513"/>
      <c r="O53" s="1571" t="s">
        <v>1014</v>
      </c>
      <c r="P53" s="1572" t="s">
        <v>1454</v>
      </c>
      <c r="Q53" s="1573">
        <f ca="1">Q47+Q48</f>
        <v>3504</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1337</v>
      </c>
      <c r="D56" s="1600"/>
      <c r="E56" s="1601"/>
      <c r="F56" s="1593"/>
      <c r="I56" s="1602" t="s">
        <v>1459</v>
      </c>
      <c r="J56" s="3597" t="s">
        <v>3125</v>
      </c>
      <c r="K56" s="1574" t="s">
        <v>1460</v>
      </c>
      <c r="L56" s="1577" t="str">
        <f ca="1">IF(L48&lt;J51,"——",L48-J53)</f>
        <v>——</v>
      </c>
      <c r="O56" s="1571" t="s">
        <v>1008</v>
      </c>
      <c r="P56" s="1572" t="s">
        <v>1433</v>
      </c>
      <c r="Q56" s="1573">
        <f ca="1">C40+J29</f>
        <v>3504</v>
      </c>
      <c r="R56" s="1573" t="s">
        <v>1434</v>
      </c>
    </row>
    <row r="57" spans="1:18" s="1537" customFormat="1" ht="24.75" thickBot="1">
      <c r="A57" s="1604"/>
      <c r="B57" s="1081" t="s">
        <v>1383</v>
      </c>
      <c r="C57" s="244">
        <f ca="1">C29</f>
        <v>1573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158</v>
      </c>
      <c r="D58" s="1091" t="s">
        <v>1330</v>
      </c>
      <c r="E58" s="1092"/>
      <c r="F58" s="1093"/>
      <c r="I58" s="1608" t="s">
        <v>1465</v>
      </c>
      <c r="J58" s="1610" t="e">
        <f ca="1">IF(J55&lt;0.4,0.4,J55)</f>
        <v>#VALUE!</v>
      </c>
      <c r="K58" s="1587" t="s">
        <v>1466</v>
      </c>
      <c r="L58" s="1577">
        <f ca="1">ROUND(POWER(1+L52,L47-L48)*(POWER(1+L52,L48)-1)/(POWER(1+L52,L47)-1),4)</f>
        <v>0.91759999999999997</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132</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1.0054000000000001</v>
      </c>
      <c r="M59" s="1533">
        <f ca="1">ROUND(POWER(1+L52,L47-(J51+'数据-取费表'!B24))*(POWER(1+L52,(J51+'数据-取费表'!B24))-1)/(POWER(1+L52,L47)-1),4)</f>
        <v>1.0054000000000001</v>
      </c>
      <c r="N59" s="1533">
        <f ca="1">ROUND(POWER(1+L52,L47-(J51+'数据-取费表'!B20))*(POWER(1+L52,(J51+'数据-取费表'!B20))-1)/(POWER(1+L52,L47)-1),4)</f>
        <v>1.0154000000000001</v>
      </c>
      <c r="O59" s="1581" t="s">
        <v>1011</v>
      </c>
      <c r="P59" s="1572" t="s">
        <v>1469</v>
      </c>
      <c r="Q59" s="1584">
        <f>L52</f>
        <v>4.4999999999999998E-2</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f ca="1">L58</f>
        <v>0.91759999999999997</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132.13</v>
      </c>
      <c r="D61" s="1523" t="s">
        <v>1343</v>
      </c>
      <c r="E61" s="1081" t="s">
        <v>1399</v>
      </c>
      <c r="F61" s="328">
        <f t="shared" si="0"/>
        <v>0.12</v>
      </c>
      <c r="I61" s="1614"/>
      <c r="J61" s="1614"/>
      <c r="K61" s="1614"/>
      <c r="L61" s="1614"/>
      <c r="O61" s="1581" t="s">
        <v>1013</v>
      </c>
      <c r="P61" s="1572" t="str">
        <f>K59</f>
        <v>建筑物剩余耐用年限下的土地年期修正系数Kn</v>
      </c>
      <c r="Q61" s="1573">
        <f ca="1">L59</f>
        <v>1.0054000000000001</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3504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23.6</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v>
      </c>
      <c r="D65" s="1095" t="s">
        <v>1359</v>
      </c>
      <c r="E65" s="1081" t="s">
        <v>1360</v>
      </c>
      <c r="F65" s="336">
        <f t="shared" ca="1" si="0"/>
        <v>1.5E-3</v>
      </c>
      <c r="I65" s="1615" t="s">
        <v>1484</v>
      </c>
      <c r="J65" s="1616">
        <v>40</v>
      </c>
      <c r="K65" s="1616">
        <v>30</v>
      </c>
      <c r="L65" s="1616">
        <v>50</v>
      </c>
      <c r="M65" s="1618">
        <v>0.02</v>
      </c>
      <c r="O65" s="1571" t="s">
        <v>1008</v>
      </c>
      <c r="P65" s="1572" t="s">
        <v>1485</v>
      </c>
      <c r="Q65" s="1573">
        <f ca="1">C40+J29</f>
        <v>3504</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-158</v>
      </c>
      <c r="D67" s="1094" t="s">
        <v>1369</v>
      </c>
      <c r="E67" s="1099"/>
      <c r="F67" s="1100"/>
      <c r="O67" s="1581" t="s">
        <v>1010</v>
      </c>
      <c r="P67" s="1572" t="s">
        <v>1467</v>
      </c>
      <c r="Q67" s="1619">
        <f ca="1">L51</f>
        <v>623</v>
      </c>
      <c r="R67" s="1573" t="s">
        <v>1487</v>
      </c>
    </row>
    <row r="68" spans="1:18" s="1537" customFormat="1" ht="16.5" thickBot="1">
      <c r="A68" s="1078" t="s">
        <v>1000</v>
      </c>
      <c r="B68" s="1079" t="s">
        <v>1390</v>
      </c>
      <c r="C68" s="307">
        <f ca="1">ROUND(C67*(1-((1+F70)/(1+F68))^F69)/(F68-F70),0)</f>
        <v>-2676</v>
      </c>
      <c r="D68" s="1096" t="s">
        <v>1374</v>
      </c>
      <c r="E68" s="1081" t="s">
        <v>1375</v>
      </c>
      <c r="F68" s="318">
        <f ca="1">F40</f>
        <v>0.05</v>
      </c>
      <c r="O68" s="1581" t="s">
        <v>1011</v>
      </c>
      <c r="P68" s="1620" t="s">
        <v>1488</v>
      </c>
      <c r="Q68" s="1573">
        <f ca="1">ROUND(Q69-Q70*Q71,0)</f>
        <v>31</v>
      </c>
      <c r="R68" s="1573" t="s">
        <v>1019</v>
      </c>
    </row>
    <row r="69" spans="1:18" s="1537" customFormat="1" ht="13.5" thickBot="1">
      <c r="A69" s="1082"/>
      <c r="B69" s="1083"/>
      <c r="C69" s="312"/>
      <c r="D69" s="1101" t="s">
        <v>1378</v>
      </c>
      <c r="E69" s="1081" t="s">
        <v>1379</v>
      </c>
      <c r="F69" s="339">
        <f ca="1">F41</f>
        <v>38.46</v>
      </c>
      <c r="O69" s="1581" t="s">
        <v>1016</v>
      </c>
      <c r="P69" s="1620" t="s">
        <v>1489</v>
      </c>
      <c r="Q69" s="1573">
        <f ca="1">C39</f>
        <v>145</v>
      </c>
      <c r="R69" s="1573" t="s">
        <v>1434</v>
      </c>
    </row>
    <row r="70" spans="1:18" s="1537" customFormat="1" ht="13.5" thickBot="1">
      <c r="A70" s="1085"/>
      <c r="B70" s="1086"/>
      <c r="C70" s="316"/>
      <c r="D70" s="1097"/>
      <c r="E70" s="1081" t="s">
        <v>1382</v>
      </c>
      <c r="F70" s="1185"/>
      <c r="O70" s="1581" t="s">
        <v>1017</v>
      </c>
      <c r="P70" s="1620" t="s">
        <v>1490</v>
      </c>
      <c r="Q70" s="1573">
        <f ca="1">C13</f>
        <v>1337</v>
      </c>
      <c r="R70" s="1573" t="s">
        <v>1434</v>
      </c>
    </row>
    <row r="71" spans="1:18" s="1537" customFormat="1" ht="13.5" thickBot="1">
      <c r="A71" s="1102" t="s">
        <v>1001</v>
      </c>
      <c r="B71" s="1103" t="s">
        <v>1392</v>
      </c>
      <c r="C71" s="342">
        <f ca="1">ROUND(C68*10000/F71,0)</f>
        <v>-7603</v>
      </c>
      <c r="D71" s="1104" t="s">
        <v>1393</v>
      </c>
      <c r="E71" s="1105" t="s">
        <v>1394</v>
      </c>
      <c r="F71" s="345">
        <f ca="1">F43</f>
        <v>3519.53</v>
      </c>
      <c r="O71" s="1581" t="s">
        <v>1018</v>
      </c>
      <c r="P71" s="1620" t="s">
        <v>1491</v>
      </c>
      <c r="Q71" s="1584">
        <f ca="1">C76</f>
        <v>8.5000000000000006E-2</v>
      </c>
      <c r="R71" s="1573"/>
    </row>
    <row r="72" spans="1:18" s="1537" customFormat="1" ht="13.5" thickBot="1">
      <c r="B72" s="735"/>
      <c r="C72" s="735"/>
      <c r="O72" s="1581" t="s">
        <v>1012</v>
      </c>
      <c r="P72" s="1572" t="s">
        <v>1469</v>
      </c>
      <c r="Q72" s="1584">
        <f>L52</f>
        <v>4.4999999999999998E-2</v>
      </c>
      <c r="R72" s="1573"/>
    </row>
    <row r="73" spans="1:18" ht="16.5" thickBot="1">
      <c r="A73" s="1537"/>
      <c r="B73" s="735"/>
      <c r="C73" s="735"/>
      <c r="D73" s="1537"/>
      <c r="E73" s="1537"/>
      <c r="F73" s="1537"/>
      <c r="O73" s="1581" t="s">
        <v>1013</v>
      </c>
      <c r="P73" s="1572" t="s">
        <v>1472</v>
      </c>
      <c r="Q73" s="1573">
        <f ca="1">L58</f>
        <v>0.91759999999999997</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f ca="1">L59</f>
        <v>1.0054000000000001</v>
      </c>
      <c r="R74" s="1573" t="s">
        <v>1474</v>
      </c>
    </row>
    <row r="75" spans="1:18" ht="13.5" thickBot="1">
      <c r="A75" s="1537"/>
      <c r="B75" s="346" t="s">
        <v>1411</v>
      </c>
      <c r="C75" s="347">
        <f ca="1">ROUND(C13*C76,0)</f>
        <v>114</v>
      </c>
      <c r="D75" s="1537"/>
      <c r="E75" s="1537"/>
      <c r="F75" s="1537"/>
      <c r="K75" s="1555"/>
      <c r="L75" s="1537"/>
      <c r="O75" s="1571" t="s">
        <v>1014</v>
      </c>
      <c r="P75" s="1572" t="s">
        <v>1454</v>
      </c>
      <c r="Q75" s="1573">
        <f ca="1">Q65+Q66</f>
        <v>3504</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0.21399999999999997</v>
      </c>
    </row>
    <row r="80" spans="1:18">
      <c r="B80" s="346" t="s">
        <v>1416</v>
      </c>
      <c r="C80" s="280">
        <f ca="1">ROUND(C75/C39,3)</f>
        <v>0.78600000000000003</v>
      </c>
    </row>
    <row r="81" spans="2:3">
      <c r="B81" s="276" t="s">
        <v>1417</v>
      </c>
      <c r="C81" s="244"/>
    </row>
    <row r="82" spans="2:3">
      <c r="B82" s="279" t="s">
        <v>1418</v>
      </c>
      <c r="C82" s="281">
        <f ca="1">1-C83</f>
        <v>0.61799999999999999</v>
      </c>
    </row>
    <row r="83" spans="2:3">
      <c r="B83" s="279" t="s">
        <v>1419</v>
      </c>
      <c r="C83" s="280">
        <f ca="1">ROUND(C13/C40,3)</f>
        <v>0.38200000000000001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14" t="s">
        <v>1308</v>
      </c>
      <c r="C6" s="1206">
        <f ca="1">ROUND(F6*F8*F7*(1-F9),0)</f>
        <v>0</v>
      </c>
      <c r="D6" s="160" t="s">
        <v>2785</v>
      </c>
      <c r="E6" s="308" t="s">
        <v>1310</v>
      </c>
      <c r="F6" s="309">
        <f ca="1">INDIRECT("'数据-取费表'!u"&amp;$G$1)</f>
        <v>0</v>
      </c>
      <c r="G6" s="1537"/>
      <c r="H6" s="1201" t="s">
        <v>1003</v>
      </c>
      <c r="I6" s="3514" t="s">
        <v>1308</v>
      </c>
      <c r="J6" s="307">
        <f ca="1">ROUND(M6*M8*M7*(1-M9),0)</f>
        <v>0</v>
      </c>
      <c r="K6" s="1529" t="s">
        <v>2786</v>
      </c>
      <c r="L6" s="308" t="s">
        <v>1310</v>
      </c>
      <c r="M6" s="309">
        <f ca="1">INDIRECT("'数据-取费表'!z"&amp;$G$1)</f>
        <v>0</v>
      </c>
    </row>
    <row r="7" spans="1:37" ht="18" customHeight="1">
      <c r="A7" s="1205"/>
      <c r="B7" s="3515"/>
      <c r="C7" s="1207"/>
      <c r="D7" s="313"/>
      <c r="E7" s="1208" t="s">
        <v>1311</v>
      </c>
      <c r="F7" s="309">
        <f ca="1">IF(INDIRECT("'数据-取费表'!ah"&amp;$G$1)="",INDIRECT("'数据-取费表'!k"&amp;$G$1),INDIRECT("'数据-取费表'!ah"&amp;$G$1))</f>
        <v>0</v>
      </c>
      <c r="G7" s="1537"/>
      <c r="H7" s="310"/>
      <c r="I7" s="3515"/>
      <c r="J7" s="312"/>
      <c r="K7" s="313"/>
      <c r="L7" s="308" t="s">
        <v>1311</v>
      </c>
      <c r="M7" s="309">
        <f ca="1">F7</f>
        <v>0</v>
      </c>
    </row>
    <row r="8" spans="1:37" ht="18" customHeight="1">
      <c r="A8" s="310"/>
      <c r="B8" s="3515"/>
      <c r="C8" s="312"/>
      <c r="D8" s="313"/>
      <c r="E8" s="308" t="s">
        <v>1312</v>
      </c>
      <c r="F8" s="309">
        <f ca="1">INDIRECT("'数据-取费表'!ai"&amp;$G$1)</f>
        <v>0</v>
      </c>
      <c r="G8" s="1537"/>
      <c r="H8" s="310"/>
      <c r="I8" s="3515"/>
      <c r="J8" s="312"/>
      <c r="K8" s="313"/>
      <c r="L8" s="308" t="s">
        <v>1312</v>
      </c>
      <c r="M8" s="309">
        <f ca="1">INDIRECT("'数据-取费表'!ai"&amp;$G$1)</f>
        <v>0</v>
      </c>
    </row>
    <row r="9" spans="1:37" ht="18" customHeight="1">
      <c r="A9" s="310"/>
      <c r="B9" s="3516"/>
      <c r="C9" s="312"/>
      <c r="D9" s="313"/>
      <c r="E9" s="308" t="s">
        <v>1313</v>
      </c>
      <c r="F9" s="318">
        <f ca="1">INDIRECT("'数据-取费表'!w"&amp;$G$1)</f>
        <v>0</v>
      </c>
      <c r="G9" s="1537"/>
      <c r="H9" s="310"/>
      <c r="I9" s="3516"/>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2.5000000000000001E-2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512" t="s">
        <v>1453</v>
      </c>
      <c r="L53" s="3513"/>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3114</v>
      </c>
      <c r="B1" s="3032"/>
      <c r="C1" s="3044"/>
      <c r="D1" s="3044"/>
      <c r="E1" s="3033"/>
      <c r="F1" s="3034"/>
      <c r="G1" s="3035"/>
      <c r="J1" s="3038" t="s">
        <v>2993</v>
      </c>
      <c r="K1" s="3039"/>
      <c r="L1" s="3039"/>
      <c r="M1" s="3039"/>
      <c r="N1" s="3039"/>
      <c r="O1" s="3039"/>
      <c r="P1" s="3039"/>
      <c r="Q1" s="3039"/>
      <c r="R1" s="3040"/>
      <c r="S1" s="3041"/>
      <c r="T1" s="3041"/>
      <c r="U1" s="3041"/>
    </row>
    <row r="2" spans="1:22" s="3053" customFormat="1" ht="13.15" customHeight="1">
      <c r="A2" s="1538" t="s">
        <v>2994</v>
      </c>
      <c r="B2" s="3043" t="e">
        <f>C40</f>
        <v>#DIV/0!</v>
      </c>
      <c r="C2" s="3044" t="s">
        <v>2995</v>
      </c>
      <c r="D2" s="3044"/>
      <c r="E2" s="3045"/>
      <c r="F2" s="3046"/>
      <c r="G2" s="3047"/>
      <c r="H2" s="3048"/>
      <c r="I2" s="3049"/>
      <c r="J2" s="3523" t="s">
        <v>2996</v>
      </c>
      <c r="K2" s="3524"/>
      <c r="L2" s="3050" t="s">
        <v>2997</v>
      </c>
      <c r="M2" s="3050" t="s">
        <v>2998</v>
      </c>
      <c r="N2" s="3050" t="s">
        <v>2999</v>
      </c>
      <c r="O2" s="3050" t="s">
        <v>3000</v>
      </c>
      <c r="P2" s="3050" t="s">
        <v>3001</v>
      </c>
      <c r="Q2" s="3051" t="s">
        <v>3002</v>
      </c>
      <c r="R2" s="3052" t="s">
        <v>3003</v>
      </c>
      <c r="S2" s="3041"/>
      <c r="T2" s="3041"/>
      <c r="U2" s="3041"/>
      <c r="V2" s="3049"/>
    </row>
    <row r="3" spans="1:22" s="3053" customFormat="1" ht="13.15" customHeight="1">
      <c r="A3" s="3054" t="s">
        <v>3004</v>
      </c>
      <c r="B3" s="3055" t="e">
        <f>ROUND(B2*10000/B4,0)</f>
        <v>#DIV/0!</v>
      </c>
      <c r="C3" s="3044" t="s">
        <v>3005</v>
      </c>
      <c r="D3" s="3044"/>
      <c r="E3" s="3045"/>
      <c r="F3" s="3046"/>
      <c r="G3" s="3047"/>
      <c r="H3" s="3048"/>
      <c r="I3" s="3049"/>
      <c r="J3" s="3525" t="s">
        <v>3006</v>
      </c>
      <c r="K3" s="3526"/>
      <c r="L3" s="3056"/>
      <c r="M3" s="3056"/>
      <c r="N3" s="3056"/>
      <c r="O3" s="3056"/>
      <c r="P3" s="3056"/>
      <c r="Q3" s="3057"/>
      <c r="R3" s="3058">
        <f>SUM(L3:Q3)</f>
        <v>0</v>
      </c>
      <c r="S3" s="3041"/>
      <c r="T3" s="3041"/>
      <c r="U3" s="3041"/>
      <c r="V3" s="3049"/>
    </row>
    <row r="4" spans="1:22" s="3053" customFormat="1" ht="13.15" customHeight="1">
      <c r="A4" s="3059" t="s">
        <v>3007</v>
      </c>
      <c r="B4" s="3060"/>
      <c r="C4" s="3044"/>
      <c r="D4" s="3044"/>
      <c r="E4" s="3045"/>
      <c r="F4" s="3046"/>
      <c r="G4" s="3047"/>
      <c r="H4" s="3048"/>
      <c r="I4" s="3049"/>
      <c r="J4" s="3525" t="s">
        <v>3008</v>
      </c>
      <c r="K4" s="3526"/>
      <c r="L4" s="3061"/>
      <c r="M4" s="3061"/>
      <c r="N4" s="3061"/>
      <c r="O4" s="3061"/>
      <c r="P4" s="3061"/>
      <c r="Q4" s="3062"/>
      <c r="R4" s="3063">
        <f>SUM(L4:Q4)</f>
        <v>0</v>
      </c>
      <c r="S4" s="3041"/>
      <c r="T4" s="3041"/>
      <c r="U4" s="3041"/>
      <c r="V4" s="3049"/>
    </row>
    <row r="5" spans="1:22" s="3053" customFormat="1" ht="13.15" customHeight="1" thickBot="1">
      <c r="A5" s="3064" t="s">
        <v>3009</v>
      </c>
      <c r="B5" s="3065"/>
      <c r="C5" s="3044"/>
      <c r="D5" s="3066"/>
      <c r="E5" s="3046"/>
      <c r="F5" s="3046"/>
      <c r="G5" s="3047"/>
      <c r="H5" s="3048"/>
      <c r="I5" s="3049"/>
      <c r="J5" s="3067" t="s">
        <v>3010</v>
      </c>
      <c r="K5" s="3068"/>
      <c r="L5" s="3068"/>
      <c r="M5" s="3069"/>
      <c r="N5" s="3069"/>
      <c r="O5" s="3069"/>
      <c r="P5" s="3069"/>
      <c r="Q5" s="3069"/>
      <c r="R5" s="3052">
        <f>SUM(R14,R19,R24,R25,R27,R28)</f>
        <v>0</v>
      </c>
      <c r="S5" s="3041"/>
      <c r="T5" s="3041" t="s">
        <v>3011</v>
      </c>
      <c r="U5" s="3041" t="e">
        <f>ROUND(R5*10000/365/R3,1)</f>
        <v>#DIV/0!</v>
      </c>
      <c r="V5" s="3049"/>
    </row>
    <row r="6" spans="1:22" s="3053" customFormat="1" ht="13.15" customHeight="1" thickBot="1">
      <c r="A6" s="3531" t="s">
        <v>3012</v>
      </c>
      <c r="B6" s="3532"/>
      <c r="C6" s="3533"/>
      <c r="D6" s="3070"/>
      <c r="E6" s="3071"/>
      <c r="F6" s="3072"/>
      <c r="G6" s="3073"/>
      <c r="H6" s="3048"/>
      <c r="I6" s="3049"/>
      <c r="J6" s="3517">
        <v>1</v>
      </c>
      <c r="K6" s="3518" t="s">
        <v>3013</v>
      </c>
      <c r="L6" s="3074" t="s">
        <v>3014</v>
      </c>
      <c r="M6" s="3075" t="s">
        <v>3015</v>
      </c>
      <c r="N6" s="3075" t="s">
        <v>3016</v>
      </c>
      <c r="O6" s="3075" t="s">
        <v>3017</v>
      </c>
      <c r="P6" s="3075" t="s">
        <v>3018</v>
      </c>
      <c r="Q6" s="3075" t="s">
        <v>3019</v>
      </c>
      <c r="R6" s="3058" t="s">
        <v>3020</v>
      </c>
      <c r="S6" s="3041"/>
      <c r="T6" s="3041" t="s">
        <v>3021</v>
      </c>
      <c r="U6" s="3041"/>
      <c r="V6" s="3049"/>
    </row>
    <row r="7" spans="1:22" s="3053" customFormat="1" ht="13.15" customHeight="1">
      <c r="A7" s="3076" t="s">
        <v>3022</v>
      </c>
      <c r="B7" s="3077"/>
      <c r="C7" s="3078"/>
      <c r="D7" s="3079">
        <f>SUM(D9,D10,D11,D17,0)</f>
        <v>0</v>
      </c>
      <c r="E7" s="3080" t="e">
        <f>E9+E10+E11+E17</f>
        <v>#DIV/0!</v>
      </c>
      <c r="F7" s="3081"/>
      <c r="G7" s="3082"/>
      <c r="H7" s="3048"/>
      <c r="I7" s="3049"/>
      <c r="J7" s="3517"/>
      <c r="K7" s="3519"/>
      <c r="L7" s="3083" t="s">
        <v>3023</v>
      </c>
      <c r="M7" s="3084"/>
      <c r="N7" s="3060"/>
      <c r="O7" s="3085"/>
      <c r="P7" s="3085"/>
      <c r="Q7" s="3086">
        <v>365</v>
      </c>
      <c r="R7" s="3087">
        <f>ROUND(M7*N7*O7*P7*Q7/10000,0)</f>
        <v>0</v>
      </c>
      <c r="S7" s="3041"/>
      <c r="T7" s="3041" t="s">
        <v>3024</v>
      </c>
      <c r="U7" s="3041"/>
      <c r="V7" s="3049"/>
    </row>
    <row r="8" spans="1:22" s="3053" customFormat="1" ht="13.15" customHeight="1">
      <c r="A8" s="3088" t="s">
        <v>3025</v>
      </c>
      <c r="B8" s="3534" t="s">
        <v>3026</v>
      </c>
      <c r="C8" s="3535"/>
      <c r="D8" s="3089" t="s">
        <v>3027</v>
      </c>
      <c r="E8" s="3090" t="s">
        <v>3028</v>
      </c>
      <c r="F8" s="3091" t="s">
        <v>3029</v>
      </c>
      <c r="G8" s="3092"/>
      <c r="H8" s="3048"/>
      <c r="I8" s="3049"/>
      <c r="J8" s="3517"/>
      <c r="K8" s="3519"/>
      <c r="L8" s="3083" t="s">
        <v>3030</v>
      </c>
      <c r="M8" s="3084"/>
      <c r="N8" s="3060"/>
      <c r="O8" s="3085"/>
      <c r="P8" s="3085"/>
      <c r="Q8" s="3086">
        <v>365</v>
      </c>
      <c r="R8" s="3087">
        <f t="shared" ref="R8:R13" si="0">ROUND(M8*N8*O8*P8*Q8/10000,0)</f>
        <v>0</v>
      </c>
      <c r="S8" s="3041"/>
      <c r="T8" s="3041" t="s">
        <v>3031</v>
      </c>
      <c r="U8" s="3041"/>
      <c r="V8" s="3049"/>
    </row>
    <row r="9" spans="1:22" s="3053" customFormat="1" ht="13.15" customHeight="1">
      <c r="A9" s="3088">
        <v>1</v>
      </c>
      <c r="B9" s="3534" t="s">
        <v>3032</v>
      </c>
      <c r="C9" s="3535"/>
      <c r="D9" s="3089">
        <f>ROUND(D6*E9,0)</f>
        <v>0</v>
      </c>
      <c r="E9" s="3093"/>
      <c r="F9" s="3094" t="s">
        <v>3033</v>
      </c>
      <c r="G9" s="3073"/>
      <c r="H9" s="3048"/>
      <c r="I9" s="3049"/>
      <c r="J9" s="3517"/>
      <c r="K9" s="3519"/>
      <c r="L9" s="3083" t="s">
        <v>3034</v>
      </c>
      <c r="M9" s="3084"/>
      <c r="N9" s="3060"/>
      <c r="O9" s="3085"/>
      <c r="P9" s="3085"/>
      <c r="Q9" s="3086">
        <v>365</v>
      </c>
      <c r="R9" s="3087">
        <f t="shared" si="0"/>
        <v>0</v>
      </c>
      <c r="S9" s="3041"/>
      <c r="T9" s="3041"/>
      <c r="U9" s="3041"/>
      <c r="V9" s="3049"/>
    </row>
    <row r="10" spans="1:22" s="3053" customFormat="1" ht="13.15" customHeight="1">
      <c r="A10" s="3088">
        <v>2</v>
      </c>
      <c r="B10" s="3534" t="s">
        <v>3035</v>
      </c>
      <c r="C10" s="3535"/>
      <c r="D10" s="3089">
        <f>ROUND(D6*E10,0)</f>
        <v>0</v>
      </c>
      <c r="E10" s="3093"/>
      <c r="F10" s="3094" t="s">
        <v>3036</v>
      </c>
      <c r="G10" s="3073"/>
      <c r="H10" s="3048"/>
      <c r="I10" s="3049"/>
      <c r="J10" s="3517"/>
      <c r="K10" s="3519"/>
      <c r="L10" s="3083" t="s">
        <v>3037</v>
      </c>
      <c r="M10" s="3084"/>
      <c r="N10" s="3060"/>
      <c r="O10" s="3085"/>
      <c r="P10" s="3085"/>
      <c r="Q10" s="3086">
        <v>365</v>
      </c>
      <c r="R10" s="3087">
        <f t="shared" si="0"/>
        <v>0</v>
      </c>
      <c r="S10" s="3041"/>
      <c r="T10" s="3041"/>
      <c r="U10" s="3041"/>
      <c r="V10" s="3049"/>
    </row>
    <row r="11" spans="1:22" s="3053" customFormat="1" ht="13.15" customHeight="1">
      <c r="A11" s="3088">
        <v>3</v>
      </c>
      <c r="B11" s="3534" t="s">
        <v>3038</v>
      </c>
      <c r="C11" s="3535"/>
      <c r="D11" s="3089">
        <f>D12+D14+D15+D16</f>
        <v>0</v>
      </c>
      <c r="E11" s="3095" t="e">
        <f>D11/D6</f>
        <v>#DIV/0!</v>
      </c>
      <c r="F11" s="3091"/>
      <c r="G11" s="3092"/>
      <c r="H11" s="3048"/>
      <c r="I11" s="3049"/>
      <c r="J11" s="3517"/>
      <c r="K11" s="3519"/>
      <c r="L11" s="3083" t="s">
        <v>3039</v>
      </c>
      <c r="M11" s="3084"/>
      <c r="N11" s="3060"/>
      <c r="O11" s="3085"/>
      <c r="P11" s="3085"/>
      <c r="Q11" s="3086">
        <v>365</v>
      </c>
      <c r="R11" s="3087">
        <f t="shared" si="0"/>
        <v>0</v>
      </c>
      <c r="S11" s="3041"/>
      <c r="T11" s="3041"/>
      <c r="U11" s="3041"/>
      <c r="V11" s="3049"/>
    </row>
    <row r="12" spans="1:22" s="3053" customFormat="1" ht="13.15" customHeight="1">
      <c r="A12" s="3096" t="s">
        <v>3040</v>
      </c>
      <c r="B12" s="3527" t="s">
        <v>3041</v>
      </c>
      <c r="C12" s="3528"/>
      <c r="D12" s="3097">
        <f>ROUND(D13*1.2%*(1-30%),0)</f>
        <v>0</v>
      </c>
      <c r="E12" s="3098">
        <v>1.2E-2</v>
      </c>
      <c r="F12" s="3091" t="s">
        <v>3042</v>
      </c>
      <c r="G12" s="3092"/>
      <c r="H12" s="3048"/>
      <c r="I12" s="3049"/>
      <c r="J12" s="3517"/>
      <c r="K12" s="3519"/>
      <c r="L12" s="3083" t="s">
        <v>3043</v>
      </c>
      <c r="M12" s="3084"/>
      <c r="N12" s="3060"/>
      <c r="O12" s="3085"/>
      <c r="P12" s="3085"/>
      <c r="Q12" s="3086">
        <v>365</v>
      </c>
      <c r="R12" s="3087">
        <f t="shared" si="0"/>
        <v>0</v>
      </c>
      <c r="S12" s="3041"/>
      <c r="T12" s="3041"/>
      <c r="U12" s="3041"/>
      <c r="V12" s="3049"/>
    </row>
    <row r="13" spans="1:22" s="3053" customFormat="1" ht="13.15" customHeight="1">
      <c r="A13" s="3096"/>
      <c r="B13" s="3099"/>
      <c r="C13" s="3100" t="s">
        <v>3044</v>
      </c>
      <c r="D13" s="3101"/>
      <c r="E13" s="3102"/>
      <c r="F13" s="3091"/>
      <c r="G13" s="3092"/>
      <c r="H13" s="3048"/>
      <c r="I13" s="3049"/>
      <c r="J13" s="3517"/>
      <c r="K13" s="3519"/>
      <c r="L13" s="3083" t="s">
        <v>3045</v>
      </c>
      <c r="M13" s="3084"/>
      <c r="N13" s="3060"/>
      <c r="O13" s="3085"/>
      <c r="P13" s="3085"/>
      <c r="Q13" s="3086">
        <v>365</v>
      </c>
      <c r="R13" s="3087">
        <f t="shared" si="0"/>
        <v>0</v>
      </c>
      <c r="S13" s="3041"/>
      <c r="T13" s="3041"/>
      <c r="U13" s="3041"/>
      <c r="V13" s="3049"/>
    </row>
    <row r="14" spans="1:22" s="3053" customFormat="1" ht="13.15" customHeight="1">
      <c r="A14" s="3096" t="s">
        <v>3046</v>
      </c>
      <c r="B14" s="3527" t="s">
        <v>3047</v>
      </c>
      <c r="C14" s="3528"/>
      <c r="D14" s="3097">
        <f>ROUND(E14*B5/10000,0)</f>
        <v>0</v>
      </c>
      <c r="E14" s="3086"/>
      <c r="F14" s="3091" t="s">
        <v>3048</v>
      </c>
      <c r="G14" s="3092"/>
      <c r="H14" s="3048"/>
      <c r="I14" s="3049"/>
      <c r="J14" s="3517"/>
      <c r="K14" s="3520"/>
      <c r="L14" s="3103" t="s">
        <v>3049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3050</v>
      </c>
      <c r="B15" s="3527" t="s">
        <v>3051</v>
      </c>
      <c r="C15" s="3528"/>
      <c r="D15" s="3097">
        <f>ROUND(D6*E15,0)</f>
        <v>0</v>
      </c>
      <c r="E15" s="3098">
        <v>5.5E-2</v>
      </c>
      <c r="F15" s="3091" t="s">
        <v>3052</v>
      </c>
      <c r="G15" s="3073"/>
      <c r="H15" s="3048"/>
      <c r="I15" s="3049"/>
      <c r="J15" s="3517">
        <v>2</v>
      </c>
      <c r="K15" s="3518" t="s">
        <v>3053</v>
      </c>
      <c r="L15" s="3083" t="s">
        <v>3054</v>
      </c>
      <c r="M15" s="3084" t="s">
        <v>3055</v>
      </c>
      <c r="N15" s="3084" t="s">
        <v>3056</v>
      </c>
      <c r="O15" s="3085" t="s">
        <v>3057</v>
      </c>
      <c r="P15" s="3085" t="s">
        <v>3019</v>
      </c>
      <c r="Q15" s="3060" t="s">
        <v>3058</v>
      </c>
      <c r="R15" s="3107" t="s">
        <v>3020</v>
      </c>
      <c r="S15" s="3041"/>
      <c r="T15" s="3041"/>
      <c r="U15" s="3041"/>
      <c r="V15" s="3049"/>
    </row>
    <row r="16" spans="1:22" s="3053" customFormat="1" ht="13.15" customHeight="1">
      <c r="A16" s="3096" t="s">
        <v>3059</v>
      </c>
      <c r="B16" s="3527" t="s">
        <v>3060</v>
      </c>
      <c r="C16" s="3528"/>
      <c r="D16" s="3108">
        <f>D6*E16</f>
        <v>0</v>
      </c>
      <c r="E16" s="3109"/>
      <c r="F16" s="3094" t="s">
        <v>3061</v>
      </c>
      <c r="G16" s="3073"/>
      <c r="H16" s="3048"/>
      <c r="I16" s="3049"/>
      <c r="J16" s="3517"/>
      <c r="K16" s="3519"/>
      <c r="L16" s="3083" t="s">
        <v>3062</v>
      </c>
      <c r="M16" s="3084"/>
      <c r="N16" s="3084"/>
      <c r="O16" s="3085"/>
      <c r="P16" s="3086">
        <v>365</v>
      </c>
      <c r="Q16" s="3060"/>
      <c r="R16" s="3107">
        <f>ROUND(M16*N16*O16*P16/10000,0)</f>
        <v>0</v>
      </c>
      <c r="S16" s="3041"/>
      <c r="T16" s="3041"/>
      <c r="U16" s="3041"/>
      <c r="V16" s="3049"/>
    </row>
    <row r="17" spans="1:22" s="3053" customFormat="1" ht="13.15" customHeight="1" thickBot="1">
      <c r="A17" s="3110">
        <v>4</v>
      </c>
      <c r="B17" s="3529" t="s">
        <v>3063</v>
      </c>
      <c r="C17" s="3530"/>
      <c r="D17" s="3111">
        <f>ROUND(D6*E17,0)</f>
        <v>0</v>
      </c>
      <c r="E17" s="3112"/>
      <c r="F17" s="3113" t="s">
        <v>3064</v>
      </c>
      <c r="G17" s="3073"/>
      <c r="H17" s="3048"/>
      <c r="I17" s="3049"/>
      <c r="J17" s="3517"/>
      <c r="K17" s="3519"/>
      <c r="L17" s="3083" t="s">
        <v>3065</v>
      </c>
      <c r="M17" s="3084"/>
      <c r="N17" s="3084"/>
      <c r="O17" s="3085"/>
      <c r="P17" s="3086">
        <v>365</v>
      </c>
      <c r="Q17" s="3060"/>
      <c r="R17" s="3107">
        <f>ROUND(M17*N17*O17*P17/10000,0)</f>
        <v>0</v>
      </c>
      <c r="S17" s="3041"/>
      <c r="T17" s="3041"/>
      <c r="U17" s="3041"/>
      <c r="V17" s="3049"/>
    </row>
    <row r="18" spans="1:22" s="3053" customFormat="1" ht="13.15" customHeight="1" thickBot="1">
      <c r="A18" s="3076" t="s">
        <v>3066</v>
      </c>
      <c r="B18" s="3077"/>
      <c r="C18" s="3077"/>
      <c r="D18" s="3114">
        <f>ROUND(D6*E18,0)</f>
        <v>0</v>
      </c>
      <c r="E18" s="3115"/>
      <c r="F18" s="3116" t="s">
        <v>3067</v>
      </c>
      <c r="G18" s="3073"/>
      <c r="H18" s="3048"/>
      <c r="I18" s="3049"/>
      <c r="J18" s="3517"/>
      <c r="K18" s="3519"/>
      <c r="L18" s="3083" t="s">
        <v>3068</v>
      </c>
      <c r="M18" s="3084"/>
      <c r="N18" s="3084"/>
      <c r="O18" s="3085"/>
      <c r="P18" s="3086">
        <v>365</v>
      </c>
      <c r="Q18" s="3060"/>
      <c r="R18" s="3107">
        <f>ROUND(M18*N18*O18*P18/10000,0)</f>
        <v>0</v>
      </c>
      <c r="S18" s="3041"/>
      <c r="T18" s="3041"/>
      <c r="U18" s="3041"/>
      <c r="V18" s="3049"/>
    </row>
    <row r="19" spans="1:22" s="3053" customFormat="1" ht="13.15" customHeight="1" thickBot="1">
      <c r="A19" s="3117" t="s">
        <v>3069</v>
      </c>
      <c r="B19" s="3071"/>
      <c r="C19" s="3071"/>
      <c r="D19" s="3071"/>
      <c r="E19" s="3071"/>
      <c r="F19" s="3072"/>
      <c r="G19" s="3092"/>
      <c r="H19" s="3048"/>
      <c r="I19" s="3049"/>
      <c r="J19" s="3517"/>
      <c r="K19" s="3520"/>
      <c r="L19" s="3103" t="s">
        <v>3049</v>
      </c>
      <c r="M19" s="3104"/>
      <c r="N19" s="3104">
        <f>SUM(N16:N18)</f>
        <v>0</v>
      </c>
      <c r="O19" s="3105"/>
      <c r="P19" s="3118" t="s">
        <v>3113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17">
        <v>3</v>
      </c>
      <c r="K20" s="3518" t="s">
        <v>3070</v>
      </c>
      <c r="L20" s="3083" t="s">
        <v>3071</v>
      </c>
      <c r="M20" s="3084" t="s">
        <v>3072</v>
      </c>
      <c r="N20" s="3121" t="s">
        <v>3073</v>
      </c>
      <c r="O20" s="3085" t="s">
        <v>3074</v>
      </c>
      <c r="P20" s="3086" t="s">
        <v>3075</v>
      </c>
      <c r="Q20" s="3060" t="s">
        <v>3076</v>
      </c>
      <c r="R20" s="3107" t="s">
        <v>3077</v>
      </c>
      <c r="S20" s="3122"/>
      <c r="T20" s="3122"/>
      <c r="U20" s="3122"/>
      <c r="V20" s="3049"/>
    </row>
    <row r="21" spans="1:22" s="3053" customFormat="1" ht="13.15" customHeight="1">
      <c r="A21" s="3076"/>
      <c r="B21" s="3077"/>
      <c r="C21" s="3123" t="s">
        <v>3078</v>
      </c>
      <c r="D21" s="3124" t="s">
        <v>3079</v>
      </c>
      <c r="E21" s="3125" t="s">
        <v>3080</v>
      </c>
      <c r="F21" s="3120"/>
      <c r="G21" s="3092"/>
      <c r="H21" s="3048"/>
      <c r="I21" s="3049"/>
      <c r="J21" s="3517"/>
      <c r="K21" s="3519"/>
      <c r="L21" s="3083" t="s">
        <v>3081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3082</v>
      </c>
      <c r="D22" s="3128" t="s">
        <v>3083</v>
      </c>
      <c r="E22" s="3129" t="s">
        <v>3084</v>
      </c>
      <c r="F22" s="3120"/>
      <c r="G22" s="3130"/>
      <c r="H22" s="3048"/>
      <c r="I22" s="3049"/>
      <c r="J22" s="3517"/>
      <c r="K22" s="3519"/>
      <c r="L22" s="3083" t="s">
        <v>3085</v>
      </c>
      <c r="M22" s="3084"/>
      <c r="N22" s="3084"/>
      <c r="O22" s="3085"/>
      <c r="P22" s="3086">
        <v>365</v>
      </c>
      <c r="Q22" s="3060"/>
      <c r="R22" s="3126">
        <f>ROUND(M22*N22*O22*P22/10000,0)</f>
        <v>0</v>
      </c>
      <c r="S22" s="3122"/>
      <c r="T22" s="3122"/>
      <c r="U22" s="3122"/>
      <c r="V22" s="3049"/>
    </row>
    <row r="23" spans="1:22" s="3053" customFormat="1" ht="13.15" customHeight="1">
      <c r="A23" s="3131">
        <v>1</v>
      </c>
      <c r="B23" s="3132" t="s">
        <v>3086</v>
      </c>
      <c r="C23" s="3133">
        <f>D6</f>
        <v>0</v>
      </c>
      <c r="D23" s="3134">
        <f>C23*(1+D24)</f>
        <v>0</v>
      </c>
      <c r="E23" s="3135">
        <f>D23*(1+E24)</f>
        <v>0</v>
      </c>
      <c r="F23" s="3136"/>
      <c r="G23" s="3137"/>
      <c r="H23" s="3048"/>
      <c r="I23" s="3049"/>
      <c r="J23" s="3517"/>
      <c r="K23" s="3519"/>
      <c r="L23" s="3083" t="s">
        <v>3087</v>
      </c>
      <c r="M23" s="3084"/>
      <c r="N23" s="3084"/>
      <c r="O23" s="3085"/>
      <c r="P23" s="3086">
        <v>365</v>
      </c>
      <c r="Q23" s="3060"/>
      <c r="R23" s="3126">
        <f>ROUND(M23*N23*O23*P23/10000,0)</f>
        <v>0</v>
      </c>
      <c r="S23" s="3041"/>
      <c r="T23" s="3041"/>
      <c r="U23" s="3041"/>
      <c r="V23" s="3049"/>
    </row>
    <row r="24" spans="1:22" s="3053" customFormat="1" ht="13.15" customHeight="1">
      <c r="A24" s="3138"/>
      <c r="B24" s="3139" t="s">
        <v>3088</v>
      </c>
      <c r="C24" s="3140"/>
      <c r="D24" s="3141"/>
      <c r="E24" s="3142"/>
      <c r="F24" s="3143"/>
      <c r="G24" s="3137"/>
      <c r="H24" s="3048"/>
      <c r="I24" s="3049"/>
      <c r="J24" s="3517"/>
      <c r="K24" s="3520"/>
      <c r="L24" s="3103" t="s">
        <v>3049</v>
      </c>
      <c r="M24" s="3104">
        <f>SUM(M21:M23)</f>
        <v>0</v>
      </c>
      <c r="N24" s="3104"/>
      <c r="O24" s="3105"/>
      <c r="P24" s="3118" t="s">
        <v>3113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3089</v>
      </c>
      <c r="L25" s="3146"/>
      <c r="M25" s="3146"/>
      <c r="N25" s="3146"/>
      <c r="O25" s="3146"/>
      <c r="P25" s="3147"/>
      <c r="Q25" s="3148">
        <v>0</v>
      </c>
      <c r="R25" s="3119">
        <f>ROUND(R14*Q25,0)</f>
        <v>0</v>
      </c>
      <c r="S25" s="3041"/>
      <c r="T25" s="3041"/>
      <c r="U25" s="3041"/>
      <c r="V25" s="3149"/>
    </row>
    <row r="26" spans="1:22" s="3150" customFormat="1" ht="13.15" customHeight="1">
      <c r="A26" s="3131">
        <v>2</v>
      </c>
      <c r="B26" s="3132" t="s">
        <v>3090</v>
      </c>
      <c r="C26" s="3133">
        <f>D7</f>
        <v>0</v>
      </c>
      <c r="D26" s="3134">
        <f>D23*D27</f>
        <v>0</v>
      </c>
      <c r="E26" s="3135">
        <f>E23*E27</f>
        <v>0</v>
      </c>
      <c r="F26" s="3136"/>
      <c r="G26" s="3137"/>
      <c r="H26" s="3048"/>
      <c r="I26" s="3049"/>
      <c r="J26" s="3521">
        <v>5</v>
      </c>
      <c r="K26" s="3151" t="s">
        <v>3091</v>
      </c>
      <c r="L26" s="3152"/>
      <c r="M26" s="3153"/>
      <c r="N26" s="3154" t="s">
        <v>3092</v>
      </c>
      <c r="O26" s="3154" t="s">
        <v>3093</v>
      </c>
      <c r="P26" s="3155" t="s">
        <v>3094</v>
      </c>
      <c r="Q26" s="3155" t="s">
        <v>3095</v>
      </c>
      <c r="R26" s="3058" t="s">
        <v>3020</v>
      </c>
      <c r="S26" s="3156"/>
      <c r="T26" s="3156"/>
      <c r="U26" s="3156"/>
      <c r="V26" s="3149"/>
    </row>
    <row r="27" spans="1:22" s="3053" customFormat="1" ht="13.15" customHeight="1">
      <c r="A27" s="3138"/>
      <c r="B27" s="3139" t="s">
        <v>3096</v>
      </c>
      <c r="C27" s="3157" t="e">
        <f>E7</f>
        <v>#DIV/0!</v>
      </c>
      <c r="D27" s="3141"/>
      <c r="E27" s="3142"/>
      <c r="F27" s="3143"/>
      <c r="G27" s="3137"/>
      <c r="H27" s="3158"/>
      <c r="I27" s="3149"/>
      <c r="J27" s="3522"/>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3097</v>
      </c>
      <c r="F28" s="3143"/>
      <c r="G28" s="3130"/>
      <c r="H28" s="3158"/>
      <c r="I28" s="3149"/>
      <c r="J28" s="3164">
        <v>6</v>
      </c>
      <c r="K28" s="3165" t="s">
        <v>3098</v>
      </c>
      <c r="L28" s="3166" t="s">
        <v>3099</v>
      </c>
      <c r="M28" s="3167"/>
      <c r="N28" s="3166" t="s">
        <v>3100</v>
      </c>
      <c r="O28" s="3168"/>
      <c r="P28" s="3166" t="s">
        <v>3101</v>
      </c>
      <c r="Q28" s="3169">
        <v>1.4999999999999999E-2</v>
      </c>
      <c r="R28" s="3170"/>
      <c r="S28" s="3122"/>
      <c r="T28" s="3122"/>
      <c r="U28" s="3122"/>
      <c r="V28" s="3149"/>
    </row>
    <row r="29" spans="1:22" s="3150" customFormat="1" ht="13.15" customHeight="1">
      <c r="A29" s="3131">
        <v>3</v>
      </c>
      <c r="B29" s="3132" t="s">
        <v>3102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3103</v>
      </c>
      <c r="K31" s="3039"/>
      <c r="L31" s="3039"/>
      <c r="M31" s="3039"/>
      <c r="N31" s="3039"/>
      <c r="O31" s="3039"/>
      <c r="P31" s="3039"/>
      <c r="Q31" s="3039"/>
      <c r="R31" s="3040"/>
      <c r="S31" s="3122"/>
      <c r="T31" s="3041"/>
      <c r="U31" s="3041"/>
      <c r="V31" s="3149"/>
    </row>
    <row r="32" spans="1:22" s="3150" customFormat="1" ht="13.15" customHeight="1">
      <c r="A32" s="3131">
        <v>4</v>
      </c>
      <c r="B32" s="3132" t="s">
        <v>3104</v>
      </c>
      <c r="C32" s="3133">
        <f>C23-C26-C29</f>
        <v>0</v>
      </c>
      <c r="D32" s="3134">
        <f>D23-D26-D29</f>
        <v>0</v>
      </c>
      <c r="E32" s="3135">
        <f>E23-E26-E29</f>
        <v>0</v>
      </c>
      <c r="F32" s="3136"/>
      <c r="G32" s="3130"/>
      <c r="H32" s="3048"/>
      <c r="I32" s="3049"/>
      <c r="J32" s="3523" t="s">
        <v>2996</v>
      </c>
      <c r="K32" s="3524"/>
      <c r="L32" s="3050" t="s">
        <v>2997</v>
      </c>
      <c r="M32" s="3050" t="s">
        <v>2998</v>
      </c>
      <c r="N32" s="3050" t="s">
        <v>2999</v>
      </c>
      <c r="O32" s="3050" t="s">
        <v>3000</v>
      </c>
      <c r="P32" s="3050" t="s">
        <v>3001</v>
      </c>
      <c r="Q32" s="3051" t="s">
        <v>3002</v>
      </c>
      <c r="R32" s="3173" t="s">
        <v>3003</v>
      </c>
      <c r="S32" s="3122"/>
      <c r="T32" s="3041"/>
      <c r="U32" s="3041"/>
      <c r="V32" s="3149"/>
    </row>
    <row r="33" spans="1:23" s="3053" customFormat="1" ht="13.15" customHeight="1">
      <c r="A33" s="3131"/>
      <c r="B33" s="3132"/>
      <c r="C33" s="3133"/>
      <c r="D33" s="3174"/>
      <c r="E33" s="3175"/>
      <c r="F33" s="3136"/>
      <c r="G33" s="3130"/>
      <c r="H33" s="3158"/>
      <c r="I33" s="3149"/>
      <c r="J33" s="3525" t="s">
        <v>3006</v>
      </c>
      <c r="K33" s="3526"/>
      <c r="L33" s="3056"/>
      <c r="M33" s="3056"/>
      <c r="N33" s="3056"/>
      <c r="O33" s="3056"/>
      <c r="P33" s="3056"/>
      <c r="Q33" s="3057"/>
      <c r="R33" s="3176">
        <f>SUM(L33:Q33)</f>
        <v>0</v>
      </c>
      <c r="S33" s="3122"/>
      <c r="T33" s="3041"/>
      <c r="U33" s="3041"/>
      <c r="V33" s="3049"/>
    </row>
    <row r="34" spans="1:23" s="3053" customFormat="1" ht="13.15" customHeight="1">
      <c r="A34" s="3131">
        <v>5</v>
      </c>
      <c r="B34" s="3132" t="s">
        <v>3105</v>
      </c>
      <c r="C34" s="3177"/>
      <c r="D34" s="3178"/>
      <c r="E34" s="3179"/>
      <c r="F34" s="3136"/>
      <c r="G34" s="3130"/>
      <c r="H34" s="3158"/>
      <c r="I34" s="3149"/>
      <c r="J34" s="3525" t="s">
        <v>3008</v>
      </c>
      <c r="K34" s="352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3106</v>
      </c>
      <c r="C35" s="3181"/>
      <c r="D35" s="3182"/>
      <c r="E35" s="3183"/>
      <c r="F35" s="3136"/>
      <c r="G35" s="3184"/>
      <c r="H35" s="3048"/>
      <c r="I35" s="3149"/>
      <c r="J35" s="3067" t="s">
        <v>3010</v>
      </c>
      <c r="K35" s="3068"/>
      <c r="L35" s="3068"/>
      <c r="M35" s="3069"/>
      <c r="N35" s="3069"/>
      <c r="O35" s="3069"/>
      <c r="P35" s="3069"/>
      <c r="Q35" s="3069"/>
      <c r="R35" s="3185">
        <f>R40+R41+R43</f>
        <v>0</v>
      </c>
      <c r="S35" s="3122"/>
      <c r="T35" s="3041" t="s">
        <v>3011</v>
      </c>
      <c r="U35" s="3041"/>
      <c r="V35" s="3049"/>
    </row>
    <row r="36" spans="1:23" s="3053" customFormat="1" ht="13.15" customHeight="1" thickBot="1">
      <c r="A36" s="3131">
        <v>7</v>
      </c>
      <c r="B36" s="3186" t="s">
        <v>3107</v>
      </c>
      <c r="C36" s="3187"/>
      <c r="D36" s="3188"/>
      <c r="E36" s="3189"/>
      <c r="F36" s="3190">
        <f>C36+D36+E36</f>
        <v>0</v>
      </c>
      <c r="G36" s="3130"/>
      <c r="H36" s="3048"/>
      <c r="I36" s="3049"/>
      <c r="J36" s="3517">
        <v>1</v>
      </c>
      <c r="K36" s="3518" t="s">
        <v>3108</v>
      </c>
      <c r="L36" s="3074"/>
      <c r="M36" s="3075"/>
      <c r="N36" s="3075"/>
      <c r="O36" s="3075"/>
      <c r="P36" s="3075"/>
      <c r="Q36" s="3075"/>
      <c r="R36" s="3058" t="s">
        <v>3020</v>
      </c>
      <c r="S36" s="3122"/>
      <c r="T36" s="3041" t="s">
        <v>3021</v>
      </c>
      <c r="U36" s="3041"/>
      <c r="V36" s="3049"/>
    </row>
    <row r="37" spans="1:23" s="3053" customFormat="1" ht="13.15" customHeight="1">
      <c r="A37" s="3131"/>
      <c r="B37" s="3132"/>
      <c r="C37" s="3132"/>
      <c r="D37" s="3132"/>
      <c r="E37" s="3132"/>
      <c r="F37" s="3136"/>
      <c r="G37" s="3130"/>
      <c r="H37" s="3048"/>
      <c r="I37" s="3049"/>
      <c r="J37" s="3517"/>
      <c r="K37" s="3519"/>
      <c r="L37" s="3083"/>
      <c r="M37" s="3084"/>
      <c r="N37" s="3060"/>
      <c r="O37" s="3085"/>
      <c r="P37" s="3085"/>
      <c r="Q37" s="3086"/>
      <c r="R37" s="3087"/>
      <c r="S37" s="3122"/>
      <c r="T37" s="3041" t="s">
        <v>3024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17"/>
      <c r="K38" s="3519"/>
      <c r="L38" s="3083"/>
      <c r="M38" s="3084"/>
      <c r="N38" s="3060"/>
      <c r="O38" s="3085"/>
      <c r="P38" s="3085"/>
      <c r="Q38" s="3086"/>
      <c r="R38" s="3087"/>
      <c r="S38" s="3122"/>
      <c r="T38" s="3041" t="s">
        <v>3031</v>
      </c>
      <c r="U38" s="3041"/>
      <c r="V38" s="3049"/>
    </row>
    <row r="39" spans="1:23" s="3053" customFormat="1" ht="13.15" customHeight="1">
      <c r="A39" s="3131">
        <v>9</v>
      </c>
      <c r="B39" s="3132" t="s">
        <v>3109</v>
      </c>
      <c r="C39" s="3097" t="e">
        <f>C38</f>
        <v>#DIV/0!</v>
      </c>
      <c r="D39" s="3132">
        <f>D38/(1+D34)^C36</f>
        <v>0</v>
      </c>
      <c r="E39" s="3132">
        <f>E38/(1+E34)^(C36+D36)</f>
        <v>0</v>
      </c>
      <c r="F39" s="3136"/>
      <c r="G39" s="3191"/>
      <c r="H39" s="3048"/>
      <c r="I39" s="3049"/>
      <c r="J39" s="3517"/>
      <c r="K39" s="3519"/>
      <c r="L39" s="3083"/>
      <c r="M39" s="3084"/>
      <c r="N39" s="3060"/>
      <c r="O39" s="3085"/>
      <c r="P39" s="3085"/>
      <c r="Q39" s="3086"/>
      <c r="R39" s="3087"/>
      <c r="S39" s="3122"/>
      <c r="T39" s="3041"/>
      <c r="U39" s="3041"/>
      <c r="V39" s="3049"/>
    </row>
    <row r="40" spans="1:23" s="3053" customFormat="1" ht="13.15" customHeight="1">
      <c r="A40" s="3192">
        <v>10</v>
      </c>
      <c r="B40" s="3132" t="s">
        <v>3110</v>
      </c>
      <c r="C40" s="3193" t="e">
        <f>C39+D39+E39</f>
        <v>#DIV/0!</v>
      </c>
      <c r="D40" s="3194"/>
      <c r="E40" s="3194"/>
      <c r="F40" s="3195"/>
      <c r="G40" s="3130"/>
      <c r="H40" s="3048"/>
      <c r="I40" s="3049"/>
      <c r="J40" s="3517"/>
      <c r="K40" s="3520"/>
      <c r="L40" s="3103" t="s">
        <v>3049</v>
      </c>
      <c r="M40" s="3104"/>
      <c r="N40" s="3104"/>
      <c r="O40" s="3105"/>
      <c r="P40" s="3105"/>
      <c r="Q40" s="3106"/>
      <c r="R40" s="3052">
        <f>SUM(R37:R39)</f>
        <v>0</v>
      </c>
      <c r="S40" s="3122"/>
      <c r="T40" s="3041"/>
      <c r="U40" s="3041"/>
      <c r="V40" s="3049"/>
    </row>
    <row r="41" spans="1:23" s="3053" customFormat="1" ht="13.15" customHeight="1" thickBot="1">
      <c r="A41" s="3196">
        <v>11</v>
      </c>
      <c r="B41" s="3197" t="s">
        <v>3111</v>
      </c>
      <c r="C41" s="3197" t="e">
        <f>ROUND(C40*10000/B4,0)</f>
        <v>#DIV/0!</v>
      </c>
      <c r="D41" s="3198"/>
      <c r="E41" s="3198"/>
      <c r="F41" s="3199"/>
      <c r="G41" s="3200"/>
      <c r="H41" s="3048"/>
      <c r="I41" s="3049"/>
      <c r="J41" s="3144">
        <v>2</v>
      </c>
      <c r="K41" s="3145" t="s">
        <v>3089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21">
        <v>3</v>
      </c>
      <c r="K42" s="3151" t="s">
        <v>3091</v>
      </c>
      <c r="L42" s="3152"/>
      <c r="M42" s="3153"/>
      <c r="N42" s="3154" t="s">
        <v>3092</v>
      </c>
      <c r="O42" s="3154" t="s">
        <v>3093</v>
      </c>
      <c r="P42" s="3155" t="s">
        <v>3094</v>
      </c>
      <c r="Q42" s="3155" t="s">
        <v>3095</v>
      </c>
      <c r="R42" s="3058" t="s">
        <v>3020</v>
      </c>
      <c r="S42" s="3156"/>
      <c r="T42" s="3156"/>
      <c r="U42" s="3041"/>
      <c r="V42" s="3049"/>
    </row>
    <row r="43" spans="1:23" ht="13.15" customHeight="1">
      <c r="A43" s="3053"/>
      <c r="B43" s="3053"/>
      <c r="C43" s="3053"/>
      <c r="D43" s="3053"/>
      <c r="E43" s="3053"/>
      <c r="F43" s="3053"/>
      <c r="I43" s="3036"/>
      <c r="J43" s="3522"/>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3098</v>
      </c>
      <c r="L44" s="3204" t="s">
        <v>3099</v>
      </c>
      <c r="M44" s="3167"/>
      <c r="N44" s="3204" t="s">
        <v>3100</v>
      </c>
      <c r="O44" s="3167"/>
      <c r="P44" s="3204" t="s">
        <v>3101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3504</v>
      </c>
      <c r="C2" s="2027" t="s">
        <v>2280</v>
      </c>
      <c r="D2" s="2028" t="s">
        <v>2281</v>
      </c>
      <c r="E2" s="2802">
        <f>SUM(E6:E13)</f>
        <v>3519.53</v>
      </c>
      <c r="F2" s="2905"/>
      <c r="G2" s="1643"/>
      <c r="H2" s="1643"/>
      <c r="I2" s="1643"/>
      <c r="J2" s="1643"/>
      <c r="K2" s="1643"/>
      <c r="L2" s="1643"/>
      <c r="M2" s="1643"/>
      <c r="N2" s="1643"/>
      <c r="O2" s="1643"/>
      <c r="P2" s="1643"/>
      <c r="Q2" s="1643"/>
      <c r="R2" s="1643"/>
      <c r="S2" s="1643"/>
    </row>
    <row r="3" spans="1:22" ht="15.75">
      <c r="A3" s="2025" t="s">
        <v>1300</v>
      </c>
      <c r="B3" s="2796">
        <f ca="1">ROUND(B2*10000/E2,0)</f>
        <v>9956</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36" t="s">
        <v>2283</v>
      </c>
      <c r="C5" s="3537"/>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3504</v>
      </c>
      <c r="C6" s="2027" t="s">
        <v>2280</v>
      </c>
      <c r="D6" s="2907"/>
      <c r="E6" s="2801">
        <f>IF(OR(A6=0,F6="否"),0,'数据-取费表'!K6+'数据-取费表'!S6)</f>
        <v>3519.53</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3519.53</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42" t="s">
        <v>2297</v>
      </c>
      <c r="D4" s="3470"/>
      <c r="E4" s="3471" t="s">
        <v>2298</v>
      </c>
      <c r="F4" s="3472"/>
      <c r="G4" s="3442" t="s">
        <v>2299</v>
      </c>
      <c r="H4" s="3470"/>
      <c r="I4" s="3442" t="s">
        <v>2300</v>
      </c>
      <c r="J4" s="3470"/>
      <c r="K4" s="2044" t="s">
        <v>2301</v>
      </c>
      <c r="L4" s="2913"/>
      <c r="M4" s="2914"/>
      <c r="N4" s="2914"/>
      <c r="O4" s="2914"/>
      <c r="P4" s="3473" t="s">
        <v>2302</v>
      </c>
      <c r="Q4" s="3474"/>
      <c r="R4" s="3449" t="s">
        <v>2298</v>
      </c>
      <c r="S4" s="3450"/>
      <c r="T4" s="3449" t="s">
        <v>2299</v>
      </c>
      <c r="U4" s="3450"/>
      <c r="V4" s="3463" t="s">
        <v>2300</v>
      </c>
      <c r="W4" s="3463"/>
      <c r="X4" s="1508"/>
      <c r="Y4" s="3449" t="s">
        <v>2302</v>
      </c>
      <c r="Z4" s="3450"/>
      <c r="AA4" s="3467" t="s">
        <v>2298</v>
      </c>
      <c r="AB4" s="3467" t="s">
        <v>2299</v>
      </c>
      <c r="AC4" s="3467" t="s">
        <v>2300</v>
      </c>
    </row>
    <row r="5" spans="1:29" ht="15">
      <c r="A5" s="364"/>
      <c r="B5" s="365"/>
      <c r="C5" s="3453" t="s">
        <v>2303</v>
      </c>
      <c r="D5" s="3454"/>
      <c r="E5" s="3550" t="s">
        <v>2304</v>
      </c>
      <c r="F5" s="3480"/>
      <c r="G5" s="3453" t="s">
        <v>2305</v>
      </c>
      <c r="H5" s="3454"/>
      <c r="I5" s="3453" t="s">
        <v>2306</v>
      </c>
      <c r="J5" s="3454"/>
      <c r="K5" s="2045"/>
      <c r="L5" s="2913"/>
      <c r="M5" s="2914"/>
      <c r="N5" s="2914"/>
      <c r="O5" s="2914"/>
      <c r="P5" s="3475"/>
      <c r="Q5" s="3476"/>
      <c r="R5" s="3451"/>
      <c r="S5" s="3452"/>
      <c r="T5" s="3451"/>
      <c r="U5" s="3452"/>
      <c r="V5" s="3463"/>
      <c r="W5" s="3463"/>
      <c r="X5" s="1508"/>
      <c r="Y5" s="3451"/>
      <c r="Z5" s="3452"/>
      <c r="AA5" s="3468"/>
      <c r="AB5" s="3468"/>
      <c r="AC5" s="3468"/>
    </row>
    <row r="6" spans="1:29" ht="15.75" thickBot="1">
      <c r="A6" s="366"/>
      <c r="B6" s="367"/>
      <c r="C6" s="3546" t="s">
        <v>2307</v>
      </c>
      <c r="D6" s="3547"/>
      <c r="E6" s="3548" t="s">
        <v>2307</v>
      </c>
      <c r="F6" s="3549"/>
      <c r="G6" s="3546" t="s">
        <v>2307</v>
      </c>
      <c r="H6" s="3547"/>
      <c r="I6" s="3546" t="s">
        <v>2307</v>
      </c>
      <c r="J6" s="3547"/>
      <c r="K6" s="2045" t="s">
        <v>2308</v>
      </c>
      <c r="L6" s="2913"/>
      <c r="M6" s="2914"/>
      <c r="N6" s="2914"/>
      <c r="O6" s="2914"/>
      <c r="P6" s="3477"/>
      <c r="Q6" s="3478"/>
      <c r="R6" s="3451"/>
      <c r="S6" s="3452"/>
      <c r="T6" s="3461"/>
      <c r="U6" s="3462"/>
      <c r="V6" s="3463"/>
      <c r="W6" s="3463"/>
      <c r="X6" s="1508"/>
      <c r="Y6" s="3461"/>
      <c r="Z6" s="3462"/>
      <c r="AA6" s="3469"/>
      <c r="AB6" s="3469"/>
      <c r="AC6" s="3469"/>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47" t="s">
        <v>2310</v>
      </c>
      <c r="Q7" s="3458"/>
      <c r="R7" s="710" t="s">
        <v>23</v>
      </c>
      <c r="S7" s="711">
        <f t="shared" ref="S7:S15" si="0">F7</f>
        <v>0</v>
      </c>
      <c r="T7" s="710" t="s">
        <v>23</v>
      </c>
      <c r="U7" s="711">
        <f t="shared" ref="U7:U15" si="1">H7</f>
        <v>0</v>
      </c>
      <c r="V7" s="710" t="s">
        <v>23</v>
      </c>
      <c r="W7" s="711">
        <f t="shared" ref="W7:W15" si="2">J7</f>
        <v>0</v>
      </c>
      <c r="X7" s="712"/>
      <c r="Y7" s="3447" t="s">
        <v>2310</v>
      </c>
      <c r="Z7" s="3448"/>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47" t="s">
        <v>2313</v>
      </c>
      <c r="Q8" s="3448"/>
      <c r="R8" s="710" t="s">
        <v>23</v>
      </c>
      <c r="S8" s="711">
        <f t="shared" si="0"/>
        <v>0</v>
      </c>
      <c r="T8" s="710" t="s">
        <v>23</v>
      </c>
      <c r="U8" s="711">
        <f t="shared" si="1"/>
        <v>0</v>
      </c>
      <c r="V8" s="710" t="s">
        <v>23</v>
      </c>
      <c r="W8" s="711">
        <f t="shared" si="2"/>
        <v>0</v>
      </c>
      <c r="X8" s="712"/>
      <c r="Y8" s="3447" t="s">
        <v>2313</v>
      </c>
      <c r="Z8" s="344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44"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44"/>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44"/>
      <c r="Q11" s="1496" t="str">
        <f t="shared" si="6"/>
        <v>容积率</v>
      </c>
      <c r="R11" s="710" t="s">
        <v>21</v>
      </c>
      <c r="S11" s="711" t="e">
        <f t="shared" si="0"/>
        <v>#N/A</v>
      </c>
      <c r="T11" s="710" t="s">
        <v>21</v>
      </c>
      <c r="U11" s="711" t="e">
        <f t="shared" si="1"/>
        <v>#N/A</v>
      </c>
      <c r="V11" s="710" t="s">
        <v>21</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44"/>
      <c r="Q12" s="1496">
        <f t="shared" si="6"/>
        <v>111</v>
      </c>
      <c r="R12" s="710" t="s">
        <v>21</v>
      </c>
      <c r="S12" s="711">
        <f t="shared" si="0"/>
        <v>100</v>
      </c>
      <c r="T12" s="710" t="s">
        <v>21</v>
      </c>
      <c r="U12" s="711">
        <f t="shared" si="1"/>
        <v>100</v>
      </c>
      <c r="V12" s="710" t="s">
        <v>21</v>
      </c>
      <c r="W12" s="711">
        <f t="shared" si="2"/>
        <v>100</v>
      </c>
      <c r="X12" s="712"/>
      <c r="Y12" s="334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44"/>
      <c r="Q13" s="1496">
        <f t="shared" si="6"/>
        <v>111</v>
      </c>
      <c r="R13" s="710" t="s">
        <v>21</v>
      </c>
      <c r="S13" s="711">
        <f t="shared" si="0"/>
        <v>100</v>
      </c>
      <c r="T13" s="710" t="s">
        <v>21</v>
      </c>
      <c r="U13" s="711">
        <f t="shared" si="1"/>
        <v>100</v>
      </c>
      <c r="V13" s="710" t="s">
        <v>21</v>
      </c>
      <c r="W13" s="711">
        <f t="shared" si="2"/>
        <v>100</v>
      </c>
      <c r="X13" s="712"/>
      <c r="Y13" s="334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44"/>
      <c r="Q14" s="1496">
        <f t="shared" si="6"/>
        <v>111</v>
      </c>
      <c r="R14" s="710" t="s">
        <v>21</v>
      </c>
      <c r="S14" s="711">
        <f t="shared" si="0"/>
        <v>100</v>
      </c>
      <c r="T14" s="710" t="s">
        <v>21</v>
      </c>
      <c r="U14" s="711">
        <f t="shared" si="1"/>
        <v>100</v>
      </c>
      <c r="V14" s="710" t="s">
        <v>21</v>
      </c>
      <c r="W14" s="711">
        <f t="shared" si="2"/>
        <v>100</v>
      </c>
      <c r="X14" s="712"/>
      <c r="Y14" s="3343"/>
      <c r="Z14" s="55">
        <f t="shared" si="7"/>
        <v>111</v>
      </c>
      <c r="AA14" s="713">
        <f t="shared" si="3"/>
        <v>1</v>
      </c>
      <c r="AB14" s="713">
        <f t="shared" si="4"/>
        <v>1</v>
      </c>
      <c r="AC14" s="713">
        <f t="shared" si="5"/>
        <v>1</v>
      </c>
    </row>
    <row r="15" spans="1:29" ht="15">
      <c r="A15" s="399" t="s">
        <v>2320</v>
      </c>
      <c r="B15" s="65" t="s">
        <v>1883</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44" t="s">
        <v>2321</v>
      </c>
      <c r="Q15" s="1505" t="str">
        <f t="shared" si="6"/>
        <v>居住社区成熟度</v>
      </c>
      <c r="R15" s="714" t="s">
        <v>21</v>
      </c>
      <c r="S15" s="715">
        <f t="shared" si="0"/>
        <v>100</v>
      </c>
      <c r="T15" s="714" t="s">
        <v>21</v>
      </c>
      <c r="U15" s="715">
        <f t="shared" si="1"/>
        <v>100</v>
      </c>
      <c r="V15" s="714" t="s">
        <v>21</v>
      </c>
      <c r="W15" s="715">
        <f t="shared" si="2"/>
        <v>100</v>
      </c>
      <c r="X15" s="1508"/>
      <c r="Y15" s="3464"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45"/>
      <c r="Q16" s="1505"/>
      <c r="R16" s="714"/>
      <c r="S16" s="715"/>
      <c r="T16" s="714"/>
      <c r="U16" s="715"/>
      <c r="V16" s="714"/>
      <c r="W16" s="715"/>
      <c r="X16" s="1508"/>
      <c r="Y16" s="3465"/>
      <c r="Z16" s="1509"/>
      <c r="AA16" s="1506">
        <v>1</v>
      </c>
      <c r="AB16" s="1506">
        <v>1</v>
      </c>
      <c r="AC16" s="1506">
        <v>1</v>
      </c>
    </row>
    <row r="17" spans="1:29" ht="15">
      <c r="A17" s="387"/>
      <c r="B17" s="410" t="s">
        <v>1885</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45"/>
      <c r="Q17" s="1505" t="str">
        <f>B17</f>
        <v>交通便捷度</v>
      </c>
      <c r="R17" s="714" t="s">
        <v>21</v>
      </c>
      <c r="S17" s="715">
        <f>F17</f>
        <v>100</v>
      </c>
      <c r="T17" s="714" t="s">
        <v>21</v>
      </c>
      <c r="U17" s="715">
        <f>H17</f>
        <v>100</v>
      </c>
      <c r="V17" s="714" t="s">
        <v>21</v>
      </c>
      <c r="W17" s="715">
        <f>J17</f>
        <v>100</v>
      </c>
      <c r="X17" s="1508"/>
      <c r="Y17" s="3465"/>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45"/>
      <c r="Q18" s="1505"/>
      <c r="R18" s="714"/>
      <c r="S18" s="715"/>
      <c r="T18" s="714"/>
      <c r="U18" s="715"/>
      <c r="V18" s="714"/>
      <c r="W18" s="715"/>
      <c r="X18" s="1508"/>
      <c r="Y18" s="3465"/>
      <c r="Z18" s="1509"/>
      <c r="AA18" s="1506">
        <v>1</v>
      </c>
      <c r="AB18" s="1506">
        <v>1</v>
      </c>
      <c r="AC18" s="1506">
        <v>1</v>
      </c>
    </row>
    <row r="19" spans="1:29" ht="15">
      <c r="A19" s="387"/>
      <c r="B19" s="410" t="s">
        <v>1884</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45"/>
      <c r="Q19" s="1505" t="str">
        <f>B19</f>
        <v>公共配套设施</v>
      </c>
      <c r="R19" s="714" t="s">
        <v>21</v>
      </c>
      <c r="S19" s="715">
        <f>F19</f>
        <v>100</v>
      </c>
      <c r="T19" s="714" t="s">
        <v>21</v>
      </c>
      <c r="U19" s="715">
        <f>H19</f>
        <v>100</v>
      </c>
      <c r="V19" s="714" t="s">
        <v>21</v>
      </c>
      <c r="W19" s="715">
        <f>J19</f>
        <v>100</v>
      </c>
      <c r="X19" s="1508"/>
      <c r="Y19" s="3465"/>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45"/>
      <c r="Q20" s="1505"/>
      <c r="R20" s="714"/>
      <c r="S20" s="715"/>
      <c r="T20" s="714"/>
      <c r="U20" s="715"/>
      <c r="V20" s="714"/>
      <c r="W20" s="715"/>
      <c r="X20" s="1508"/>
      <c r="Y20" s="3465"/>
      <c r="Z20" s="1509"/>
      <c r="AA20" s="1506">
        <v>1</v>
      </c>
      <c r="AB20" s="1506">
        <v>1</v>
      </c>
      <c r="AC20" s="1506">
        <v>1</v>
      </c>
    </row>
    <row r="21" spans="1:29" ht="15">
      <c r="A21" s="387"/>
      <c r="B21" s="1265" t="s">
        <v>1886</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45"/>
      <c r="Q21" s="1505" t="str">
        <f>B21</f>
        <v>基础设施水平</v>
      </c>
      <c r="R21" s="714" t="s">
        <v>17</v>
      </c>
      <c r="S21" s="715">
        <f>F21</f>
        <v>100</v>
      </c>
      <c r="T21" s="714" t="s">
        <v>17</v>
      </c>
      <c r="U21" s="715">
        <f>H21</f>
        <v>100</v>
      </c>
      <c r="V21" s="714" t="s">
        <v>17</v>
      </c>
      <c r="W21" s="715">
        <f>J21</f>
        <v>100</v>
      </c>
      <c r="X21" s="1508"/>
      <c r="Y21" s="346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45"/>
      <c r="Q22" s="1505"/>
      <c r="R22" s="714"/>
      <c r="S22" s="715"/>
      <c r="T22" s="714"/>
      <c r="U22" s="715"/>
      <c r="V22" s="714"/>
      <c r="W22" s="715"/>
      <c r="X22" s="1508"/>
      <c r="Y22" s="3465"/>
      <c r="Z22" s="1509"/>
      <c r="AA22" s="1506">
        <v>1</v>
      </c>
      <c r="AB22" s="1506">
        <v>1</v>
      </c>
      <c r="AC22" s="1506">
        <v>1</v>
      </c>
    </row>
    <row r="23" spans="1:29" ht="15">
      <c r="A23" s="387"/>
      <c r="B23" s="410" t="s">
        <v>1887</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45"/>
      <c r="Q23" s="1505" t="str">
        <f>B23</f>
        <v>自然及人文环境</v>
      </c>
      <c r="R23" s="714" t="s">
        <v>21</v>
      </c>
      <c r="S23" s="715">
        <f>F23</f>
        <v>100</v>
      </c>
      <c r="T23" s="714" t="s">
        <v>21</v>
      </c>
      <c r="U23" s="715">
        <f>H23</f>
        <v>100</v>
      </c>
      <c r="V23" s="714" t="s">
        <v>21</v>
      </c>
      <c r="W23" s="715">
        <f>J23</f>
        <v>100</v>
      </c>
      <c r="X23" s="1508"/>
      <c r="Y23" s="3465"/>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45"/>
      <c r="Q24" s="1505"/>
      <c r="R24" s="714"/>
      <c r="S24" s="715"/>
      <c r="T24" s="714"/>
      <c r="U24" s="715"/>
      <c r="V24" s="714"/>
      <c r="W24" s="715"/>
      <c r="X24" s="1508"/>
      <c r="Y24" s="3465"/>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45"/>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65"/>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45"/>
      <c r="Q26" s="1505" t="str">
        <f t="shared" si="11"/>
        <v>朝向</v>
      </c>
      <c r="R26" s="714" t="s">
        <v>21</v>
      </c>
      <c r="S26" s="715">
        <f t="shared" si="12"/>
        <v>100</v>
      </c>
      <c r="T26" s="714" t="s">
        <v>21</v>
      </c>
      <c r="U26" s="715">
        <f t="shared" si="13"/>
        <v>100</v>
      </c>
      <c r="V26" s="714" t="s">
        <v>21</v>
      </c>
      <c r="W26" s="715">
        <f t="shared" si="14"/>
        <v>100</v>
      </c>
      <c r="X26" s="1508"/>
      <c r="Y26" s="3465"/>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45"/>
      <c r="Q27" s="1496">
        <f t="shared" si="11"/>
        <v>111</v>
      </c>
      <c r="R27" s="710" t="s">
        <v>21</v>
      </c>
      <c r="S27" s="711">
        <f t="shared" si="12"/>
        <v>100</v>
      </c>
      <c r="T27" s="710" t="s">
        <v>21</v>
      </c>
      <c r="U27" s="711">
        <f t="shared" si="13"/>
        <v>100</v>
      </c>
      <c r="V27" s="710" t="s">
        <v>21</v>
      </c>
      <c r="W27" s="711">
        <f t="shared" si="14"/>
        <v>100</v>
      </c>
      <c r="X27" s="712"/>
      <c r="Y27" s="3465"/>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45"/>
      <c r="Q28" s="1505">
        <f t="shared" si="11"/>
        <v>111</v>
      </c>
      <c r="R28" s="714" t="s">
        <v>21</v>
      </c>
      <c r="S28" s="715">
        <f t="shared" si="12"/>
        <v>100</v>
      </c>
      <c r="T28" s="714" t="s">
        <v>21</v>
      </c>
      <c r="U28" s="715">
        <f t="shared" si="13"/>
        <v>100</v>
      </c>
      <c r="V28" s="714" t="s">
        <v>21</v>
      </c>
      <c r="W28" s="715">
        <f t="shared" si="14"/>
        <v>100</v>
      </c>
      <c r="X28" s="1508"/>
      <c r="Y28" s="3465"/>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45"/>
      <c r="Q29" s="1505">
        <f t="shared" si="11"/>
        <v>111</v>
      </c>
      <c r="R29" s="714" t="s">
        <v>21</v>
      </c>
      <c r="S29" s="715">
        <f t="shared" si="12"/>
        <v>100</v>
      </c>
      <c r="T29" s="714" t="s">
        <v>21</v>
      </c>
      <c r="U29" s="715">
        <f t="shared" si="13"/>
        <v>100</v>
      </c>
      <c r="V29" s="714" t="s">
        <v>21</v>
      </c>
      <c r="W29" s="715">
        <f t="shared" si="14"/>
        <v>100</v>
      </c>
      <c r="X29" s="1508"/>
      <c r="Y29" s="3465"/>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45"/>
      <c r="Q30" s="1505">
        <f t="shared" si="11"/>
        <v>111</v>
      </c>
      <c r="R30" s="714" t="s">
        <v>21</v>
      </c>
      <c r="S30" s="715">
        <f t="shared" si="12"/>
        <v>100</v>
      </c>
      <c r="T30" s="714" t="s">
        <v>21</v>
      </c>
      <c r="U30" s="715">
        <f t="shared" si="13"/>
        <v>100</v>
      </c>
      <c r="V30" s="714" t="s">
        <v>21</v>
      </c>
      <c r="W30" s="715">
        <f t="shared" si="14"/>
        <v>100</v>
      </c>
      <c r="X30" s="1508"/>
      <c r="Y30" s="3465"/>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45"/>
      <c r="Q31" s="1505">
        <f t="shared" si="11"/>
        <v>111</v>
      </c>
      <c r="R31" s="714" t="s">
        <v>21</v>
      </c>
      <c r="S31" s="715">
        <f t="shared" si="12"/>
        <v>100</v>
      </c>
      <c r="T31" s="714" t="s">
        <v>21</v>
      </c>
      <c r="U31" s="715">
        <f t="shared" si="13"/>
        <v>100</v>
      </c>
      <c r="V31" s="714" t="s">
        <v>21</v>
      </c>
      <c r="W31" s="715">
        <f t="shared" si="14"/>
        <v>100</v>
      </c>
      <c r="X31" s="1508"/>
      <c r="Y31" s="3465"/>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40" t="s">
        <v>2326</v>
      </c>
      <c r="Q32" s="1505" t="str">
        <f t="shared" si="11"/>
        <v>建筑类型</v>
      </c>
      <c r="R32" s="714" t="s">
        <v>21</v>
      </c>
      <c r="S32" s="715">
        <f t="shared" si="12"/>
        <v>100</v>
      </c>
      <c r="T32" s="714" t="s">
        <v>21</v>
      </c>
      <c r="U32" s="715">
        <f t="shared" si="13"/>
        <v>100</v>
      </c>
      <c r="V32" s="714" t="s">
        <v>21</v>
      </c>
      <c r="W32" s="715">
        <f t="shared" si="14"/>
        <v>100</v>
      </c>
      <c r="X32" s="1508"/>
      <c r="Y32" s="3466"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41"/>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41"/>
      <c r="Q34" s="1505" t="str">
        <f t="shared" si="11"/>
        <v>建筑结构</v>
      </c>
      <c r="R34" s="714" t="s">
        <v>21</v>
      </c>
      <c r="S34" s="715">
        <f t="shared" si="12"/>
        <v>100</v>
      </c>
      <c r="T34" s="714" t="s">
        <v>21</v>
      </c>
      <c r="U34" s="715">
        <f t="shared" si="13"/>
        <v>100</v>
      </c>
      <c r="V34" s="714" t="s">
        <v>21</v>
      </c>
      <c r="W34" s="715">
        <f t="shared" si="14"/>
        <v>100</v>
      </c>
      <c r="X34" s="1508"/>
      <c r="Y34" s="3466"/>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41"/>
      <c r="Q35" s="1505" t="str">
        <f t="shared" si="11"/>
        <v>建筑品质</v>
      </c>
      <c r="R35" s="714" t="s">
        <v>21</v>
      </c>
      <c r="S35" s="715">
        <f t="shared" si="12"/>
        <v>100</v>
      </c>
      <c r="T35" s="714" t="s">
        <v>21</v>
      </c>
      <c r="U35" s="715">
        <f t="shared" si="13"/>
        <v>100</v>
      </c>
      <c r="V35" s="714" t="s">
        <v>21</v>
      </c>
      <c r="W35" s="715">
        <f t="shared" si="14"/>
        <v>100</v>
      </c>
      <c r="X35" s="1508"/>
      <c r="Y35" s="3466"/>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41"/>
      <c r="Q36" s="1505" t="str">
        <f t="shared" si="11"/>
        <v>公共部分装修</v>
      </c>
      <c r="R36" s="714" t="s">
        <v>21</v>
      </c>
      <c r="S36" s="715">
        <f t="shared" si="12"/>
        <v>100</v>
      </c>
      <c r="T36" s="714" t="s">
        <v>21</v>
      </c>
      <c r="U36" s="715">
        <f t="shared" si="13"/>
        <v>100</v>
      </c>
      <c r="V36" s="714" t="s">
        <v>21</v>
      </c>
      <c r="W36" s="715">
        <f t="shared" si="14"/>
        <v>100</v>
      </c>
      <c r="X36" s="1508"/>
      <c r="Y36" s="3466"/>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41"/>
      <c r="Q37" s="1496"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41" t="s">
        <v>2326</v>
      </c>
      <c r="Q38" s="1505" t="str">
        <f t="shared" si="11"/>
        <v>物业管理</v>
      </c>
      <c r="R38" s="714" t="s">
        <v>21</v>
      </c>
      <c r="S38" s="715">
        <f t="shared" si="12"/>
        <v>100</v>
      </c>
      <c r="T38" s="714" t="s">
        <v>21</v>
      </c>
      <c r="U38" s="715">
        <f t="shared" si="13"/>
        <v>100</v>
      </c>
      <c r="V38" s="714" t="s">
        <v>21</v>
      </c>
      <c r="W38" s="715">
        <f t="shared" si="14"/>
        <v>100</v>
      </c>
      <c r="X38" s="1508"/>
      <c r="Y38" s="3466"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41"/>
      <c r="Q39" s="1505" t="str">
        <f t="shared" si="11"/>
        <v>市政基础设施</v>
      </c>
      <c r="R39" s="714" t="s">
        <v>21</v>
      </c>
      <c r="S39" s="715">
        <f t="shared" si="12"/>
        <v>100</v>
      </c>
      <c r="T39" s="714" t="s">
        <v>21</v>
      </c>
      <c r="U39" s="715">
        <f t="shared" si="13"/>
        <v>100</v>
      </c>
      <c r="V39" s="714" t="s">
        <v>21</v>
      </c>
      <c r="W39" s="715">
        <f t="shared" si="14"/>
        <v>100</v>
      </c>
      <c r="X39" s="1508"/>
      <c r="Y39" s="3466"/>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41"/>
      <c r="Q40" s="1505" t="str">
        <f t="shared" si="11"/>
        <v>房型</v>
      </c>
      <c r="R40" s="714" t="s">
        <v>21</v>
      </c>
      <c r="S40" s="715">
        <f t="shared" si="12"/>
        <v>100</v>
      </c>
      <c r="T40" s="714" t="s">
        <v>21</v>
      </c>
      <c r="U40" s="715">
        <f t="shared" si="13"/>
        <v>100</v>
      </c>
      <c r="V40" s="714" t="s">
        <v>21</v>
      </c>
      <c r="W40" s="715">
        <f t="shared" si="14"/>
        <v>100</v>
      </c>
      <c r="X40" s="1508"/>
      <c r="Y40" s="3466"/>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41"/>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41"/>
      <c r="Q42" s="1505" t="str">
        <f t="shared" si="11"/>
        <v>内部装修</v>
      </c>
      <c r="R42" s="714" t="s">
        <v>21</v>
      </c>
      <c r="S42" s="715">
        <f t="shared" si="12"/>
        <v>100</v>
      </c>
      <c r="T42" s="714" t="s">
        <v>21</v>
      </c>
      <c r="U42" s="715">
        <f t="shared" si="13"/>
        <v>100</v>
      </c>
      <c r="V42" s="714" t="s">
        <v>21</v>
      </c>
      <c r="W42" s="715">
        <f t="shared" si="14"/>
        <v>100</v>
      </c>
      <c r="X42" s="1508"/>
      <c r="Y42" s="3466"/>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41"/>
      <c r="Q43" s="1505" t="str">
        <f t="shared" si="11"/>
        <v>内部装修维护情况</v>
      </c>
      <c r="R43" s="714" t="s">
        <v>21</v>
      </c>
      <c r="S43" s="715">
        <f t="shared" si="12"/>
        <v>100</v>
      </c>
      <c r="T43" s="714" t="s">
        <v>21</v>
      </c>
      <c r="U43" s="715">
        <f t="shared" si="13"/>
        <v>100</v>
      </c>
      <c r="V43" s="714" t="s">
        <v>21</v>
      </c>
      <c r="W43" s="715">
        <f t="shared" si="14"/>
        <v>100</v>
      </c>
      <c r="X43" s="1508"/>
      <c r="Y43" s="3466"/>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41"/>
      <c r="Q44" s="1496">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41"/>
      <c r="Q45" s="1505">
        <f t="shared" si="11"/>
        <v>111</v>
      </c>
      <c r="R45" s="714" t="s">
        <v>21</v>
      </c>
      <c r="S45" s="715">
        <f t="shared" si="12"/>
        <v>100</v>
      </c>
      <c r="T45" s="714" t="s">
        <v>21</v>
      </c>
      <c r="U45" s="715">
        <f t="shared" si="13"/>
        <v>100</v>
      </c>
      <c r="V45" s="714" t="s">
        <v>21</v>
      </c>
      <c r="W45" s="715">
        <f t="shared" si="14"/>
        <v>100</v>
      </c>
      <c r="X45" s="1508"/>
      <c r="Y45" s="346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42"/>
      <c r="Q46" s="1505">
        <f t="shared" si="11"/>
        <v>111</v>
      </c>
      <c r="R46" s="714" t="s">
        <v>20</v>
      </c>
      <c r="S46" s="715">
        <f t="shared" si="12"/>
        <v>100</v>
      </c>
      <c r="T46" s="714" t="s">
        <v>20</v>
      </c>
      <c r="U46" s="715">
        <f t="shared" si="13"/>
        <v>100</v>
      </c>
      <c r="V46" s="714" t="s">
        <v>20</v>
      </c>
      <c r="W46" s="715">
        <f t="shared" si="14"/>
        <v>100</v>
      </c>
      <c r="X46" s="1508"/>
      <c r="Y46" s="3543"/>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45" t="str">
        <f>A47</f>
        <v>成交单价（元/平方米）</v>
      </c>
      <c r="Q47" s="3445"/>
      <c r="R47" s="3539">
        <f>E47</f>
        <v>0</v>
      </c>
      <c r="S47" s="3539"/>
      <c r="T47" s="3539">
        <f>G47</f>
        <v>0</v>
      </c>
      <c r="U47" s="3539"/>
      <c r="V47" s="3539">
        <f>I47</f>
        <v>0</v>
      </c>
      <c r="W47" s="3539"/>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45" t="str">
        <f>A48</f>
        <v>比较价值（元/平方米）</v>
      </c>
      <c r="Q48" s="3445"/>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2" t="str">
        <f>A49</f>
        <v>估价对象XX用房的比较价值（楼面单价，元/平方米）</v>
      </c>
      <c r="Q49" s="3483"/>
      <c r="R49" s="3538" t="e">
        <f>IF(F1="售价",ROUND(IF(D48="简单平均",AVERAGE(R48:V48),R48*F48+T48*H48+V48*J48),0),ROUND(IF(D48="简单平均",AVERAGE(R48:V48),R48*F48+T48*H48+V48*J48),1))</f>
        <v>#DIV/0!</v>
      </c>
      <c r="S49" s="3538"/>
      <c r="T49" s="3538"/>
      <c r="U49" s="3538"/>
      <c r="V49" s="3538"/>
      <c r="W49" s="353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42" t="s">
        <v>2407</v>
      </c>
      <c r="D4" s="3470"/>
      <c r="E4" s="3471" t="s">
        <v>2408</v>
      </c>
      <c r="F4" s="3472"/>
      <c r="G4" s="3442" t="s">
        <v>2409</v>
      </c>
      <c r="H4" s="3470"/>
      <c r="I4" s="3442" t="s">
        <v>2410</v>
      </c>
      <c r="J4" s="3470"/>
      <c r="K4" s="567" t="s">
        <v>2411</v>
      </c>
      <c r="L4" s="2913"/>
      <c r="M4" s="2914"/>
      <c r="N4" s="2914"/>
      <c r="O4" s="2914"/>
      <c r="P4" s="3473" t="s">
        <v>2412</v>
      </c>
      <c r="Q4" s="3474"/>
      <c r="R4" s="3449" t="s">
        <v>2408</v>
      </c>
      <c r="S4" s="3450"/>
      <c r="T4" s="3449" t="s">
        <v>2409</v>
      </c>
      <c r="U4" s="3450"/>
      <c r="V4" s="3463" t="s">
        <v>2410</v>
      </c>
      <c r="W4" s="3463"/>
      <c r="X4" s="1508"/>
      <c r="Y4" s="3449" t="s">
        <v>2412</v>
      </c>
      <c r="Z4" s="3450"/>
      <c r="AA4" s="3467" t="s">
        <v>2408</v>
      </c>
      <c r="AB4" s="3463" t="s">
        <v>2409</v>
      </c>
      <c r="AC4" s="3467" t="s">
        <v>2410</v>
      </c>
    </row>
    <row r="5" spans="1:29" ht="15">
      <c r="A5" s="364"/>
      <c r="B5" s="365"/>
      <c r="C5" s="3453" t="s">
        <v>2303</v>
      </c>
      <c r="D5" s="3454"/>
      <c r="E5" s="3550" t="s">
        <v>2304</v>
      </c>
      <c r="F5" s="3480"/>
      <c r="G5" s="3453" t="s">
        <v>2305</v>
      </c>
      <c r="H5" s="3454"/>
      <c r="I5" s="3453" t="s">
        <v>2306</v>
      </c>
      <c r="J5" s="3454"/>
      <c r="K5" s="567"/>
      <c r="L5" s="2913"/>
      <c r="M5" s="2914"/>
      <c r="N5" s="2914"/>
      <c r="O5" s="2914"/>
      <c r="P5" s="3475"/>
      <c r="Q5" s="3476"/>
      <c r="R5" s="3451"/>
      <c r="S5" s="3452"/>
      <c r="T5" s="3451"/>
      <c r="U5" s="3452"/>
      <c r="V5" s="3463"/>
      <c r="W5" s="3463"/>
      <c r="X5" s="1508"/>
      <c r="Y5" s="3451"/>
      <c r="Z5" s="3452"/>
      <c r="AA5" s="3468"/>
      <c r="AB5" s="3463"/>
      <c r="AC5" s="3468"/>
    </row>
    <row r="6" spans="1:29" ht="15.75" thickBot="1">
      <c r="A6" s="366"/>
      <c r="B6" s="367"/>
      <c r="C6" s="3546" t="s">
        <v>2307</v>
      </c>
      <c r="D6" s="3547"/>
      <c r="E6" s="3548" t="s">
        <v>2307</v>
      </c>
      <c r="F6" s="3549"/>
      <c r="G6" s="3546" t="s">
        <v>2307</v>
      </c>
      <c r="H6" s="3547"/>
      <c r="I6" s="3546" t="s">
        <v>2307</v>
      </c>
      <c r="J6" s="3547"/>
      <c r="K6" s="567" t="s">
        <v>2308</v>
      </c>
      <c r="L6" s="2913"/>
      <c r="M6" s="2914"/>
      <c r="N6" s="2914"/>
      <c r="O6" s="2914"/>
      <c r="P6" s="3477"/>
      <c r="Q6" s="3478"/>
      <c r="R6" s="3451"/>
      <c r="S6" s="3452"/>
      <c r="T6" s="3461"/>
      <c r="U6" s="3462"/>
      <c r="V6" s="3463"/>
      <c r="W6" s="3463"/>
      <c r="X6" s="1508"/>
      <c r="Y6" s="3461"/>
      <c r="Z6" s="3462"/>
      <c r="AA6" s="3469"/>
      <c r="AB6" s="3463"/>
      <c r="AC6" s="3469"/>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47" t="s">
        <v>2310</v>
      </c>
      <c r="Q7" s="3458"/>
      <c r="R7" s="710" t="s">
        <v>17</v>
      </c>
      <c r="S7" s="711">
        <f t="shared" ref="S7:S15" si="0">F7</f>
        <v>0</v>
      </c>
      <c r="T7" s="710" t="s">
        <v>17</v>
      </c>
      <c r="U7" s="711">
        <f t="shared" ref="U7:U15" si="1">H7</f>
        <v>0</v>
      </c>
      <c r="V7" s="710" t="s">
        <v>17</v>
      </c>
      <c r="W7" s="711">
        <f t="shared" ref="W7:W15" si="2">J7</f>
        <v>0</v>
      </c>
      <c r="X7" s="712"/>
      <c r="Y7" s="3447" t="s">
        <v>2310</v>
      </c>
      <c r="Z7" s="344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47" t="s">
        <v>2313</v>
      </c>
      <c r="Q8" s="3448"/>
      <c r="R8" s="710" t="s">
        <v>17</v>
      </c>
      <c r="S8" s="711">
        <f t="shared" si="0"/>
        <v>0</v>
      </c>
      <c r="T8" s="710" t="s">
        <v>17</v>
      </c>
      <c r="U8" s="711">
        <f t="shared" si="1"/>
        <v>0</v>
      </c>
      <c r="V8" s="710" t="s">
        <v>17</v>
      </c>
      <c r="W8" s="711">
        <f t="shared" si="2"/>
        <v>0</v>
      </c>
      <c r="X8" s="712"/>
      <c r="Y8" s="3447" t="s">
        <v>2313</v>
      </c>
      <c r="Z8" s="344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44"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44"/>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44"/>
      <c r="Q11" s="1496"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44"/>
      <c r="Q12" s="1496">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44"/>
      <c r="Q13" s="1496">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44"/>
      <c r="Q14" s="1496">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713">
        <f t="shared" si="5"/>
        <v>1</v>
      </c>
    </row>
    <row r="15" spans="1:29" ht="15">
      <c r="A15" s="399" t="s">
        <v>2320</v>
      </c>
      <c r="B15" s="65" t="s">
        <v>2414</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44" t="s">
        <v>2321</v>
      </c>
      <c r="Q15" s="1505" t="str">
        <f t="shared" si="6"/>
        <v>商业繁华度</v>
      </c>
      <c r="R15" s="714" t="s">
        <v>17</v>
      </c>
      <c r="S15" s="715">
        <f t="shared" si="0"/>
        <v>100</v>
      </c>
      <c r="T15" s="714" t="s">
        <v>17</v>
      </c>
      <c r="U15" s="715">
        <f t="shared" si="1"/>
        <v>100</v>
      </c>
      <c r="V15" s="714" t="s">
        <v>17</v>
      </c>
      <c r="W15" s="715">
        <f t="shared" si="2"/>
        <v>100</v>
      </c>
      <c r="X15" s="1508"/>
      <c r="Y15" s="3464"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45"/>
      <c r="Q16" s="1505"/>
      <c r="R16" s="714"/>
      <c r="S16" s="715"/>
      <c r="T16" s="714"/>
      <c r="U16" s="715"/>
      <c r="V16" s="714"/>
      <c r="W16" s="715"/>
      <c r="X16" s="1508"/>
      <c r="Y16" s="3465"/>
      <c r="Z16" s="1509"/>
      <c r="AA16" s="1506">
        <v>1</v>
      </c>
      <c r="AB16" s="1506">
        <v>1</v>
      </c>
      <c r="AC16" s="1506">
        <v>1</v>
      </c>
    </row>
    <row r="17" spans="1:29" ht="15">
      <c r="A17" s="387"/>
      <c r="B17" s="410" t="s">
        <v>1885</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45"/>
      <c r="Q17" s="1505" t="str">
        <f>B17</f>
        <v>交通便捷度</v>
      </c>
      <c r="R17" s="714" t="s">
        <v>17</v>
      </c>
      <c r="S17" s="715">
        <f>F17</f>
        <v>100</v>
      </c>
      <c r="T17" s="714" t="s">
        <v>17</v>
      </c>
      <c r="U17" s="715">
        <f>H17</f>
        <v>100</v>
      </c>
      <c r="V17" s="714" t="s">
        <v>17</v>
      </c>
      <c r="W17" s="715">
        <f>J17</f>
        <v>100</v>
      </c>
      <c r="X17" s="1508"/>
      <c r="Y17" s="346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45"/>
      <c r="Q18" s="1505"/>
      <c r="R18" s="714"/>
      <c r="S18" s="715"/>
      <c r="T18" s="714"/>
      <c r="U18" s="715"/>
      <c r="V18" s="714"/>
      <c r="W18" s="715"/>
      <c r="X18" s="1508"/>
      <c r="Y18" s="3465"/>
      <c r="Z18" s="1509"/>
      <c r="AA18" s="1506">
        <v>1</v>
      </c>
      <c r="AB18" s="1506">
        <v>1</v>
      </c>
      <c r="AC18" s="1506">
        <v>1</v>
      </c>
    </row>
    <row r="19" spans="1:29" ht="15">
      <c r="A19" s="387"/>
      <c r="B19" s="410" t="s">
        <v>2415</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45"/>
      <c r="Q19" s="1505" t="str">
        <f>B19</f>
        <v>公共配套设施</v>
      </c>
      <c r="R19" s="714" t="s">
        <v>17</v>
      </c>
      <c r="S19" s="715">
        <f>F19</f>
        <v>100</v>
      </c>
      <c r="T19" s="714" t="s">
        <v>17</v>
      </c>
      <c r="U19" s="715">
        <f>H19</f>
        <v>100</v>
      </c>
      <c r="V19" s="714" t="s">
        <v>17</v>
      </c>
      <c r="W19" s="715">
        <f>J19</f>
        <v>100</v>
      </c>
      <c r="X19" s="1508"/>
      <c r="Y19" s="346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45"/>
      <c r="Q20" s="1505"/>
      <c r="R20" s="714"/>
      <c r="S20" s="715"/>
      <c r="T20" s="714"/>
      <c r="U20" s="715"/>
      <c r="V20" s="714"/>
      <c r="W20" s="715"/>
      <c r="X20" s="1508"/>
      <c r="Y20" s="3465"/>
      <c r="Z20" s="1509"/>
      <c r="AA20" s="1506">
        <v>1</v>
      </c>
      <c r="AB20" s="1506">
        <v>1</v>
      </c>
      <c r="AC20" s="1506">
        <v>1</v>
      </c>
    </row>
    <row r="21" spans="1:29" ht="15">
      <c r="A21" s="387"/>
      <c r="B21" s="1265" t="s">
        <v>2416</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45"/>
      <c r="Q21" s="1505" t="str">
        <f>B21</f>
        <v>基础设施水平</v>
      </c>
      <c r="R21" s="714" t="s">
        <v>17</v>
      </c>
      <c r="S21" s="715">
        <f>F21</f>
        <v>100</v>
      </c>
      <c r="T21" s="714" t="s">
        <v>17</v>
      </c>
      <c r="U21" s="715">
        <f>H21</f>
        <v>100</v>
      </c>
      <c r="V21" s="714" t="s">
        <v>17</v>
      </c>
      <c r="W21" s="715">
        <f>J21</f>
        <v>100</v>
      </c>
      <c r="X21" s="1508"/>
      <c r="Y21" s="346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45"/>
      <c r="Q22" s="1505"/>
      <c r="R22" s="714"/>
      <c r="S22" s="715"/>
      <c r="T22" s="714"/>
      <c r="U22" s="715"/>
      <c r="V22" s="714"/>
      <c r="W22" s="715"/>
      <c r="X22" s="1508"/>
      <c r="Y22" s="3465"/>
      <c r="Z22" s="1509"/>
      <c r="AA22" s="1506">
        <v>1</v>
      </c>
      <c r="AB22" s="1506">
        <v>1</v>
      </c>
      <c r="AC22" s="1506">
        <v>1</v>
      </c>
    </row>
    <row r="23" spans="1:29" ht="15">
      <c r="A23" s="387"/>
      <c r="B23" s="410" t="s">
        <v>1887</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45"/>
      <c r="Q23" s="1505" t="str">
        <f>B23</f>
        <v>自然及人文环境</v>
      </c>
      <c r="R23" s="714" t="s">
        <v>17</v>
      </c>
      <c r="S23" s="715">
        <f>F23</f>
        <v>100</v>
      </c>
      <c r="T23" s="714" t="s">
        <v>17</v>
      </c>
      <c r="U23" s="715">
        <f>H23</f>
        <v>100</v>
      </c>
      <c r="V23" s="714" t="s">
        <v>17</v>
      </c>
      <c r="W23" s="715">
        <f>J23</f>
        <v>100</v>
      </c>
      <c r="X23" s="1508"/>
      <c r="Y23" s="3465"/>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45"/>
      <c r="Q24" s="1505"/>
      <c r="R24" s="714"/>
      <c r="S24" s="715"/>
      <c r="T24" s="714"/>
      <c r="U24" s="715"/>
      <c r="V24" s="714"/>
      <c r="W24" s="715"/>
      <c r="X24" s="1508"/>
      <c r="Y24" s="3465"/>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45"/>
      <c r="Q25" s="1505" t="str">
        <f t="shared" ref="Q25:Q46" si="11">B25</f>
        <v>临街状况</v>
      </c>
      <c r="R25" s="714" t="s">
        <v>17</v>
      </c>
      <c r="S25" s="715">
        <f>F25</f>
        <v>100</v>
      </c>
      <c r="T25" s="714" t="s">
        <v>17</v>
      </c>
      <c r="U25" s="715">
        <f>H25</f>
        <v>100</v>
      </c>
      <c r="V25" s="714" t="s">
        <v>17</v>
      </c>
      <c r="W25" s="715">
        <f>J25</f>
        <v>100</v>
      </c>
      <c r="X25" s="1508"/>
      <c r="Y25" s="3465"/>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45"/>
      <c r="Q26" s="1505" t="str">
        <f t="shared" si="11"/>
        <v>平面位置/可视性</v>
      </c>
      <c r="R26" s="714" t="s">
        <v>17</v>
      </c>
      <c r="S26" s="715">
        <f>F26</f>
        <v>100</v>
      </c>
      <c r="T26" s="714" t="s">
        <v>17</v>
      </c>
      <c r="U26" s="715">
        <f>H26</f>
        <v>100</v>
      </c>
      <c r="V26" s="714" t="s">
        <v>17</v>
      </c>
      <c r="W26" s="715">
        <f>J26</f>
        <v>100</v>
      </c>
      <c r="X26" s="1508"/>
      <c r="Y26" s="3465"/>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45"/>
      <c r="Q27" s="1496" t="str">
        <f t="shared" si="11"/>
        <v>人流量</v>
      </c>
      <c r="R27" s="710" t="s">
        <v>17</v>
      </c>
      <c r="S27" s="711">
        <f>F27</f>
        <v>100</v>
      </c>
      <c r="T27" s="710" t="s">
        <v>17</v>
      </c>
      <c r="U27" s="711">
        <f>H27</f>
        <v>100</v>
      </c>
      <c r="V27" s="710" t="s">
        <v>17</v>
      </c>
      <c r="W27" s="711">
        <f>J27</f>
        <v>100</v>
      </c>
      <c r="X27" s="712"/>
      <c r="Y27" s="3465"/>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45"/>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65"/>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45"/>
      <c r="Q29" s="1505">
        <f t="shared" si="11"/>
        <v>111</v>
      </c>
      <c r="R29" s="714" t="s">
        <v>17</v>
      </c>
      <c r="S29" s="715">
        <f t="shared" si="12"/>
        <v>100</v>
      </c>
      <c r="T29" s="714" t="s">
        <v>17</v>
      </c>
      <c r="U29" s="715">
        <f t="shared" si="13"/>
        <v>100</v>
      </c>
      <c r="V29" s="714" t="s">
        <v>17</v>
      </c>
      <c r="W29" s="715">
        <f t="shared" si="14"/>
        <v>100</v>
      </c>
      <c r="X29" s="1508"/>
      <c r="Y29" s="3465"/>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45"/>
      <c r="Q30" s="1505">
        <f t="shared" si="11"/>
        <v>111</v>
      </c>
      <c r="R30" s="714" t="s">
        <v>17</v>
      </c>
      <c r="S30" s="715">
        <f t="shared" si="12"/>
        <v>100</v>
      </c>
      <c r="T30" s="714" t="s">
        <v>17</v>
      </c>
      <c r="U30" s="715">
        <f t="shared" si="13"/>
        <v>100</v>
      </c>
      <c r="V30" s="714" t="s">
        <v>17</v>
      </c>
      <c r="W30" s="715">
        <f t="shared" si="14"/>
        <v>100</v>
      </c>
      <c r="X30" s="1508"/>
      <c r="Y30" s="3465"/>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45"/>
      <c r="Q31" s="1505">
        <f t="shared" si="11"/>
        <v>111</v>
      </c>
      <c r="R31" s="714" t="s">
        <v>17</v>
      </c>
      <c r="S31" s="715">
        <f t="shared" si="12"/>
        <v>100</v>
      </c>
      <c r="T31" s="714" t="s">
        <v>17</v>
      </c>
      <c r="U31" s="715">
        <f t="shared" si="13"/>
        <v>100</v>
      </c>
      <c r="V31" s="714" t="s">
        <v>17</v>
      </c>
      <c r="W31" s="715">
        <f t="shared" si="14"/>
        <v>100</v>
      </c>
      <c r="X31" s="1508"/>
      <c r="Y31" s="3465"/>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40" t="s">
        <v>2326</v>
      </c>
      <c r="Q32" s="1505" t="str">
        <f t="shared" si="11"/>
        <v>商业类型</v>
      </c>
      <c r="R32" s="714" t="s">
        <v>17</v>
      </c>
      <c r="S32" s="715">
        <f t="shared" si="12"/>
        <v>100</v>
      </c>
      <c r="T32" s="714" t="s">
        <v>17</v>
      </c>
      <c r="U32" s="715">
        <f t="shared" si="13"/>
        <v>100</v>
      </c>
      <c r="V32" s="714" t="s">
        <v>17</v>
      </c>
      <c r="W32" s="715">
        <f t="shared" si="14"/>
        <v>100</v>
      </c>
      <c r="X32" s="1508"/>
      <c r="Y32" s="3466"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41"/>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41"/>
      <c r="Q34" s="1505" t="str">
        <f t="shared" si="11"/>
        <v>建筑结构</v>
      </c>
      <c r="R34" s="714" t="s">
        <v>17</v>
      </c>
      <c r="S34" s="715">
        <f t="shared" si="12"/>
        <v>100</v>
      </c>
      <c r="T34" s="714" t="s">
        <v>17</v>
      </c>
      <c r="U34" s="715">
        <f t="shared" si="13"/>
        <v>100</v>
      </c>
      <c r="V34" s="714" t="s">
        <v>17</v>
      </c>
      <c r="W34" s="715">
        <f t="shared" si="14"/>
        <v>100</v>
      </c>
      <c r="X34" s="1508"/>
      <c r="Y34" s="3466"/>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41"/>
      <c r="Q35" s="1505" t="str">
        <f t="shared" si="11"/>
        <v>公共部分装修</v>
      </c>
      <c r="R35" s="714" t="s">
        <v>17</v>
      </c>
      <c r="S35" s="715">
        <f t="shared" si="12"/>
        <v>100</v>
      </c>
      <c r="T35" s="714" t="s">
        <v>17</v>
      </c>
      <c r="U35" s="715">
        <f t="shared" si="13"/>
        <v>100</v>
      </c>
      <c r="V35" s="714" t="s">
        <v>17</v>
      </c>
      <c r="W35" s="715">
        <f t="shared" si="14"/>
        <v>100</v>
      </c>
      <c r="X35" s="1508"/>
      <c r="Y35" s="3466"/>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41"/>
      <c r="Q36" s="1505" t="str">
        <f t="shared" si="11"/>
        <v>成新度</v>
      </c>
      <c r="R36" s="714" t="s">
        <v>17</v>
      </c>
      <c r="S36" s="715" t="e">
        <f t="shared" si="12"/>
        <v>#N/A</v>
      </c>
      <c r="T36" s="714" t="s">
        <v>17</v>
      </c>
      <c r="U36" s="715" t="e">
        <f t="shared" si="13"/>
        <v>#N/A</v>
      </c>
      <c r="V36" s="714" t="s">
        <v>17</v>
      </c>
      <c r="W36" s="715" t="e">
        <f t="shared" si="14"/>
        <v>#N/A</v>
      </c>
      <c r="X36" s="1508"/>
      <c r="Y36" s="3466"/>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41"/>
      <c r="Q37" s="1496"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41" t="s">
        <v>2326</v>
      </c>
      <c r="Q38" s="1505" t="str">
        <f t="shared" si="11"/>
        <v>业态</v>
      </c>
      <c r="R38" s="714" t="s">
        <v>17</v>
      </c>
      <c r="S38" s="715">
        <f t="shared" si="12"/>
        <v>100</v>
      </c>
      <c r="T38" s="714" t="s">
        <v>17</v>
      </c>
      <c r="U38" s="715">
        <f t="shared" si="13"/>
        <v>100</v>
      </c>
      <c r="V38" s="714" t="s">
        <v>17</v>
      </c>
      <c r="W38" s="715">
        <f t="shared" si="14"/>
        <v>100</v>
      </c>
      <c r="X38" s="1508"/>
      <c r="Y38" s="3466"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41"/>
      <c r="Q39" s="1505" t="str">
        <f t="shared" si="11"/>
        <v>层高</v>
      </c>
      <c r="R39" s="714" t="s">
        <v>17</v>
      </c>
      <c r="S39" s="715">
        <f t="shared" si="12"/>
        <v>100</v>
      </c>
      <c r="T39" s="714" t="s">
        <v>17</v>
      </c>
      <c r="U39" s="715">
        <f t="shared" si="13"/>
        <v>100</v>
      </c>
      <c r="V39" s="714" t="s">
        <v>17</v>
      </c>
      <c r="W39" s="715">
        <f t="shared" si="14"/>
        <v>100</v>
      </c>
      <c r="X39" s="1508"/>
      <c r="Y39" s="3466"/>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41"/>
      <c r="Q40" s="1505" t="str">
        <f t="shared" si="11"/>
        <v>单套建筑面积</v>
      </c>
      <c r="R40" s="714" t="s">
        <v>17</v>
      </c>
      <c r="S40" s="715">
        <f t="shared" si="12"/>
        <v>100</v>
      </c>
      <c r="T40" s="714" t="s">
        <v>17</v>
      </c>
      <c r="U40" s="715">
        <f t="shared" si="13"/>
        <v>100</v>
      </c>
      <c r="V40" s="714" t="s">
        <v>17</v>
      </c>
      <c r="W40" s="715">
        <f t="shared" si="14"/>
        <v>100</v>
      </c>
      <c r="X40" s="1508"/>
      <c r="Y40" s="3466"/>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41"/>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41"/>
      <c r="Q42" s="1505" t="str">
        <f t="shared" si="11"/>
        <v>内部装修</v>
      </c>
      <c r="R42" s="714" t="s">
        <v>17</v>
      </c>
      <c r="S42" s="715">
        <f t="shared" si="12"/>
        <v>100</v>
      </c>
      <c r="T42" s="714" t="s">
        <v>17</v>
      </c>
      <c r="U42" s="715">
        <f t="shared" si="13"/>
        <v>100</v>
      </c>
      <c r="V42" s="714" t="s">
        <v>17</v>
      </c>
      <c r="W42" s="715">
        <f t="shared" si="14"/>
        <v>100</v>
      </c>
      <c r="X42" s="1508"/>
      <c r="Y42" s="3466"/>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41"/>
      <c r="Q43" s="1505" t="str">
        <f t="shared" si="11"/>
        <v>内部装修维护情况</v>
      </c>
      <c r="R43" s="714" t="s">
        <v>17</v>
      </c>
      <c r="S43" s="715">
        <f t="shared" si="12"/>
        <v>100</v>
      </c>
      <c r="T43" s="714" t="s">
        <v>17</v>
      </c>
      <c r="U43" s="715">
        <f t="shared" si="13"/>
        <v>100</v>
      </c>
      <c r="V43" s="714" t="s">
        <v>17</v>
      </c>
      <c r="W43" s="715">
        <f t="shared" si="14"/>
        <v>100</v>
      </c>
      <c r="X43" s="1508"/>
      <c r="Y43" s="3466"/>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41"/>
      <c r="Q44" s="1496">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41"/>
      <c r="Q45" s="1505">
        <f t="shared" si="11"/>
        <v>111</v>
      </c>
      <c r="R45" s="714" t="s">
        <v>17</v>
      </c>
      <c r="S45" s="715">
        <f t="shared" si="12"/>
        <v>100</v>
      </c>
      <c r="T45" s="714" t="s">
        <v>17</v>
      </c>
      <c r="U45" s="715">
        <f t="shared" si="13"/>
        <v>100</v>
      </c>
      <c r="V45" s="714" t="s">
        <v>17</v>
      </c>
      <c r="W45" s="715">
        <f t="shared" si="14"/>
        <v>100</v>
      </c>
      <c r="X45" s="1508"/>
      <c r="Y45" s="346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42"/>
      <c r="Q46" s="1505">
        <f t="shared" si="11"/>
        <v>111</v>
      </c>
      <c r="R46" s="714" t="s">
        <v>17</v>
      </c>
      <c r="S46" s="715">
        <f t="shared" si="12"/>
        <v>100</v>
      </c>
      <c r="T46" s="714" t="s">
        <v>17</v>
      </c>
      <c r="U46" s="715">
        <f t="shared" si="13"/>
        <v>100</v>
      </c>
      <c r="V46" s="714" t="s">
        <v>17</v>
      </c>
      <c r="W46" s="715">
        <f t="shared" si="14"/>
        <v>100</v>
      </c>
      <c r="X46" s="1508"/>
      <c r="Y46" s="3543"/>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45" t="str">
        <f>A47</f>
        <v>成交单价（元/平方米）</v>
      </c>
      <c r="Q47" s="3445"/>
      <c r="R47" s="3463">
        <f>E47</f>
        <v>0</v>
      </c>
      <c r="S47" s="3463"/>
      <c r="T47" s="3463">
        <f>G47</f>
        <v>0</v>
      </c>
      <c r="U47" s="3463"/>
      <c r="V47" s="3463">
        <f>I47</f>
        <v>0</v>
      </c>
      <c r="W47" s="3463"/>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45" t="str">
        <f>A48</f>
        <v>比较价值（元/平方米）</v>
      </c>
      <c r="Q48" s="3445"/>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2" t="str">
        <f>A49</f>
        <v>估价对象XX用房的比较价值（楼面单价，元/平方米）</v>
      </c>
      <c r="Q49" s="3483"/>
      <c r="R49" s="3538" t="e">
        <f>IF(F1="售价",ROUND(IF(D48="简单平均",AVERAGE(R48:V48),R48*F48+T48*H48+V48*J48),0),ROUND(IF(D48="简单平均",AVERAGE(R48:V48),R48*F48+T48*H48+V48*J48),1))</f>
        <v>#DIV/0!</v>
      </c>
      <c r="S49" s="3538"/>
      <c r="T49" s="3538"/>
      <c r="U49" s="3538"/>
      <c r="V49" s="3538"/>
      <c r="W49" s="353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估价对象为北京市房地产，为所有。根据《国有土地使用证》[]，估价对象（分摊）出让国有建设用地使用权面积为0平方米，建筑面积为3519.53平方米。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估价对象为北京市房地产,属开发建设的，该项目尚在开发建设中。根据《国有土地使用证》[]，估价对象（分摊）出让国有建设用地使用权面积为0平方米，规划建筑面积为3519.53平方米。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2022年3月18日（评估专业人员实地查勘之日）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42" t="s">
        <v>2407</v>
      </c>
      <c r="D4" s="3470"/>
      <c r="E4" s="3471" t="s">
        <v>2408</v>
      </c>
      <c r="F4" s="3472"/>
      <c r="G4" s="3442" t="s">
        <v>2409</v>
      </c>
      <c r="H4" s="3470"/>
      <c r="I4" s="3442" t="s">
        <v>2410</v>
      </c>
      <c r="J4" s="3470"/>
      <c r="K4" s="567" t="s">
        <v>2411</v>
      </c>
      <c r="L4" s="2913"/>
      <c r="M4" s="2914"/>
      <c r="N4" s="2914"/>
      <c r="O4" s="2914"/>
      <c r="P4" s="3557" t="s">
        <v>2412</v>
      </c>
      <c r="Q4" s="3558"/>
      <c r="R4" s="3561" t="s">
        <v>2408</v>
      </c>
      <c r="S4" s="3562"/>
      <c r="T4" s="3561" t="s">
        <v>2409</v>
      </c>
      <c r="U4" s="3562"/>
      <c r="V4" s="3563" t="s">
        <v>2410</v>
      </c>
      <c r="W4" s="3563"/>
      <c r="X4" s="2113"/>
      <c r="Y4" s="3561" t="s">
        <v>2412</v>
      </c>
      <c r="Z4" s="3562"/>
      <c r="AA4" s="3565" t="s">
        <v>2408</v>
      </c>
      <c r="AB4" s="3565" t="s">
        <v>2409</v>
      </c>
      <c r="AC4" s="3554" t="s">
        <v>2410</v>
      </c>
    </row>
    <row r="5" spans="1:29" ht="15">
      <c r="A5" s="364"/>
      <c r="B5" s="365"/>
      <c r="C5" s="3453" t="s">
        <v>2303</v>
      </c>
      <c r="D5" s="3454"/>
      <c r="E5" s="3550" t="s">
        <v>2304</v>
      </c>
      <c r="F5" s="3480"/>
      <c r="G5" s="3453" t="s">
        <v>2305</v>
      </c>
      <c r="H5" s="3454"/>
      <c r="I5" s="3453" t="s">
        <v>2306</v>
      </c>
      <c r="J5" s="3454"/>
      <c r="K5" s="567"/>
      <c r="L5" s="2913"/>
      <c r="M5" s="2914"/>
      <c r="N5" s="2914"/>
      <c r="O5" s="2914"/>
      <c r="P5" s="3559"/>
      <c r="Q5" s="3476"/>
      <c r="R5" s="3451"/>
      <c r="S5" s="3452"/>
      <c r="T5" s="3451"/>
      <c r="U5" s="3452"/>
      <c r="V5" s="3463"/>
      <c r="W5" s="3463"/>
      <c r="X5" s="1508"/>
      <c r="Y5" s="3451"/>
      <c r="Z5" s="3452"/>
      <c r="AA5" s="3468"/>
      <c r="AB5" s="3468"/>
      <c r="AC5" s="3555"/>
    </row>
    <row r="6" spans="1:29" ht="15.75" thickBot="1">
      <c r="A6" s="366"/>
      <c r="B6" s="367"/>
      <c r="C6" s="3546" t="s">
        <v>2307</v>
      </c>
      <c r="D6" s="3547"/>
      <c r="E6" s="3548" t="s">
        <v>2307</v>
      </c>
      <c r="F6" s="3549"/>
      <c r="G6" s="3546" t="s">
        <v>2307</v>
      </c>
      <c r="H6" s="3547"/>
      <c r="I6" s="3546" t="s">
        <v>2307</v>
      </c>
      <c r="J6" s="3547"/>
      <c r="K6" s="567" t="s">
        <v>2308</v>
      </c>
      <c r="L6" s="2913"/>
      <c r="M6" s="2914"/>
      <c r="N6" s="2914"/>
      <c r="O6" s="2914"/>
      <c r="P6" s="3560"/>
      <c r="Q6" s="3478"/>
      <c r="R6" s="3451"/>
      <c r="S6" s="3452"/>
      <c r="T6" s="3461"/>
      <c r="U6" s="3462"/>
      <c r="V6" s="3463"/>
      <c r="W6" s="3463"/>
      <c r="X6" s="1508"/>
      <c r="Y6" s="3461"/>
      <c r="Z6" s="3462"/>
      <c r="AA6" s="3469"/>
      <c r="AB6" s="3469"/>
      <c r="AC6" s="3556"/>
    </row>
    <row r="7" spans="1:29" s="113" customFormat="1" ht="15.75" thickBot="1">
      <c r="A7" s="368" t="s">
        <v>2309</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64" t="s">
        <v>2310</v>
      </c>
      <c r="Q7" s="3458"/>
      <c r="R7" s="710" t="s">
        <v>17</v>
      </c>
      <c r="S7" s="711">
        <f t="shared" ref="S7:S15" si="0">F7</f>
        <v>0</v>
      </c>
      <c r="T7" s="710" t="s">
        <v>17</v>
      </c>
      <c r="U7" s="711">
        <f t="shared" ref="U7:U15" si="1">H7</f>
        <v>0</v>
      </c>
      <c r="V7" s="710" t="s">
        <v>17</v>
      </c>
      <c r="W7" s="711">
        <f t="shared" ref="W7:W15" si="2">J7</f>
        <v>0</v>
      </c>
      <c r="X7" s="712"/>
      <c r="Y7" s="3447" t="s">
        <v>2310</v>
      </c>
      <c r="Z7" s="3448"/>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64" t="s">
        <v>2313</v>
      </c>
      <c r="Q8" s="3448"/>
      <c r="R8" s="710" t="s">
        <v>17</v>
      </c>
      <c r="S8" s="711">
        <f t="shared" si="0"/>
        <v>0</v>
      </c>
      <c r="T8" s="710" t="s">
        <v>17</v>
      </c>
      <c r="U8" s="711">
        <f t="shared" si="1"/>
        <v>0</v>
      </c>
      <c r="V8" s="710" t="s">
        <v>17</v>
      </c>
      <c r="W8" s="711">
        <f t="shared" si="2"/>
        <v>0</v>
      </c>
      <c r="X8" s="712"/>
      <c r="Y8" s="3447" t="s">
        <v>2313</v>
      </c>
      <c r="Z8" s="3448"/>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44"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44"/>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44"/>
      <c r="Q11" s="1496"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44"/>
      <c r="Q12" s="1496">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44"/>
      <c r="Q13" s="1496">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44"/>
      <c r="Q14" s="1496">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2114">
        <f t="shared" si="5"/>
        <v>1</v>
      </c>
    </row>
    <row r="15" spans="1:29" ht="15">
      <c r="A15" s="399" t="s">
        <v>2320</v>
      </c>
      <c r="B15" s="585" t="s">
        <v>2448</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44" t="s">
        <v>2321</v>
      </c>
      <c r="Q15" s="1505" t="str">
        <f t="shared" si="6"/>
        <v>办公集聚程度</v>
      </c>
      <c r="R15" s="714" t="s">
        <v>17</v>
      </c>
      <c r="S15" s="715">
        <f t="shared" si="0"/>
        <v>100</v>
      </c>
      <c r="T15" s="714" t="s">
        <v>17</v>
      </c>
      <c r="U15" s="715">
        <f t="shared" si="1"/>
        <v>100</v>
      </c>
      <c r="V15" s="714" t="s">
        <v>17</v>
      </c>
      <c r="W15" s="715">
        <f t="shared" si="2"/>
        <v>100</v>
      </c>
      <c r="X15" s="1508"/>
      <c r="Y15" s="3464"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45"/>
      <c r="Q16" s="1505"/>
      <c r="R16" s="714"/>
      <c r="S16" s="715"/>
      <c r="T16" s="714"/>
      <c r="U16" s="715"/>
      <c r="V16" s="714"/>
      <c r="W16" s="715"/>
      <c r="X16" s="1508"/>
      <c r="Y16" s="3465"/>
      <c r="Z16" s="1509"/>
      <c r="AA16" s="1506">
        <v>1</v>
      </c>
      <c r="AB16" s="1506">
        <v>1</v>
      </c>
      <c r="AC16" s="2117">
        <v>1</v>
      </c>
    </row>
    <row r="17" spans="1:29" ht="15">
      <c r="A17" s="387"/>
      <c r="B17" s="587" t="s">
        <v>1885</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45"/>
      <c r="Q17" s="1505" t="str">
        <f>B17</f>
        <v>交通便捷度</v>
      </c>
      <c r="R17" s="714" t="s">
        <v>17</v>
      </c>
      <c r="S17" s="715">
        <f>F17</f>
        <v>100</v>
      </c>
      <c r="T17" s="714" t="s">
        <v>17</v>
      </c>
      <c r="U17" s="715">
        <f>H17</f>
        <v>100</v>
      </c>
      <c r="V17" s="714" t="s">
        <v>17</v>
      </c>
      <c r="W17" s="715">
        <f>J17</f>
        <v>100</v>
      </c>
      <c r="X17" s="1508"/>
      <c r="Y17" s="3465"/>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45"/>
      <c r="Q18" s="1505"/>
      <c r="R18" s="714"/>
      <c r="S18" s="715"/>
      <c r="T18" s="714"/>
      <c r="U18" s="715"/>
      <c r="V18" s="714"/>
      <c r="W18" s="715"/>
      <c r="X18" s="1508"/>
      <c r="Y18" s="3465"/>
      <c r="Z18" s="1509"/>
      <c r="AA18" s="1506">
        <v>1</v>
      </c>
      <c r="AB18" s="1506">
        <v>1</v>
      </c>
      <c r="AC18" s="2117">
        <v>1</v>
      </c>
    </row>
    <row r="19" spans="1:29" ht="15">
      <c r="A19" s="387"/>
      <c r="B19" s="587" t="s">
        <v>2449</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45"/>
      <c r="Q19" s="1505" t="str">
        <f>B19</f>
        <v>公共配套设施</v>
      </c>
      <c r="R19" s="714" t="s">
        <v>17</v>
      </c>
      <c r="S19" s="715">
        <f>F19</f>
        <v>100</v>
      </c>
      <c r="T19" s="714" t="s">
        <v>17</v>
      </c>
      <c r="U19" s="715">
        <f>H19</f>
        <v>100</v>
      </c>
      <c r="V19" s="714" t="s">
        <v>17</v>
      </c>
      <c r="W19" s="715">
        <f>J19</f>
        <v>100</v>
      </c>
      <c r="X19" s="1508"/>
      <c r="Y19" s="3465"/>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45"/>
      <c r="Q20" s="1505"/>
      <c r="R20" s="714"/>
      <c r="S20" s="715"/>
      <c r="T20" s="714"/>
      <c r="U20" s="715"/>
      <c r="V20" s="714"/>
      <c r="W20" s="715"/>
      <c r="X20" s="1508"/>
      <c r="Y20" s="3465"/>
      <c r="Z20" s="1509"/>
      <c r="AA20" s="1506">
        <v>1</v>
      </c>
      <c r="AB20" s="1506">
        <v>1</v>
      </c>
      <c r="AC20" s="2117">
        <v>1</v>
      </c>
    </row>
    <row r="21" spans="1:29" ht="15">
      <c r="A21" s="387"/>
      <c r="B21" s="589" t="s">
        <v>2450</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45"/>
      <c r="Q21" s="1505" t="str">
        <f>B21</f>
        <v>基础设施水平</v>
      </c>
      <c r="R21" s="714" t="s">
        <v>17</v>
      </c>
      <c r="S21" s="715">
        <f>F21</f>
        <v>100</v>
      </c>
      <c r="T21" s="714" t="s">
        <v>17</v>
      </c>
      <c r="U21" s="715">
        <f>H21</f>
        <v>100</v>
      </c>
      <c r="V21" s="714" t="s">
        <v>17</v>
      </c>
      <c r="W21" s="715">
        <f>J21</f>
        <v>100</v>
      </c>
      <c r="X21" s="1508"/>
      <c r="Y21" s="3465"/>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45"/>
      <c r="Q22" s="1505"/>
      <c r="R22" s="714"/>
      <c r="S22" s="715"/>
      <c r="T22" s="714"/>
      <c r="U22" s="715"/>
      <c r="V22" s="714"/>
      <c r="W22" s="715"/>
      <c r="X22" s="1508"/>
      <c r="Y22" s="3465"/>
      <c r="Z22" s="1509"/>
      <c r="AA22" s="1506">
        <v>1</v>
      </c>
      <c r="AB22" s="1506">
        <v>1</v>
      </c>
      <c r="AC22" s="2117">
        <v>1</v>
      </c>
    </row>
    <row r="23" spans="1:29" ht="15">
      <c r="A23" s="387"/>
      <c r="B23" s="587" t="s">
        <v>2451</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45"/>
      <c r="Q23" s="1505" t="str">
        <f>B23</f>
        <v>环境质量</v>
      </c>
      <c r="R23" s="714" t="s">
        <v>17</v>
      </c>
      <c r="S23" s="715">
        <f>F23</f>
        <v>100</v>
      </c>
      <c r="T23" s="714" t="s">
        <v>17</v>
      </c>
      <c r="U23" s="715">
        <f>H23</f>
        <v>100</v>
      </c>
      <c r="V23" s="714" t="s">
        <v>17</v>
      </c>
      <c r="W23" s="715">
        <f>J23</f>
        <v>100</v>
      </c>
      <c r="X23" s="1508"/>
      <c r="Y23" s="3465"/>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45"/>
      <c r="Q24" s="1505"/>
      <c r="R24" s="714"/>
      <c r="S24" s="715"/>
      <c r="T24" s="714"/>
      <c r="U24" s="715"/>
      <c r="V24" s="714"/>
      <c r="W24" s="715"/>
      <c r="X24" s="1508"/>
      <c r="Y24" s="3465"/>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45"/>
      <c r="Q25" s="1505" t="str">
        <f>B25</f>
        <v>毗邻道路的类型与等级</v>
      </c>
      <c r="R25" s="714" t="s">
        <v>17</v>
      </c>
      <c r="S25" s="715">
        <f>F25</f>
        <v>100</v>
      </c>
      <c r="T25" s="714" t="s">
        <v>17</v>
      </c>
      <c r="U25" s="715">
        <f>H25</f>
        <v>100</v>
      </c>
      <c r="V25" s="714" t="s">
        <v>17</v>
      </c>
      <c r="W25" s="715">
        <f>J25</f>
        <v>100</v>
      </c>
      <c r="X25" s="1508"/>
      <c r="Y25" s="3465"/>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45"/>
      <c r="Q26" s="1505"/>
      <c r="R26" s="714"/>
      <c r="S26" s="715"/>
      <c r="T26" s="714"/>
      <c r="U26" s="715"/>
      <c r="V26" s="714"/>
      <c r="W26" s="715"/>
      <c r="X26" s="1508"/>
      <c r="Y26" s="3465"/>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45"/>
      <c r="Q27" s="1505" t="str">
        <f t="shared" ref="Q27:Q47" si="11">B27</f>
        <v>楼层</v>
      </c>
      <c r="R27" s="714" t="s">
        <v>17</v>
      </c>
      <c r="S27" s="715">
        <f>F27</f>
        <v>100</v>
      </c>
      <c r="T27" s="714" t="s">
        <v>17</v>
      </c>
      <c r="U27" s="715">
        <f>H27</f>
        <v>100</v>
      </c>
      <c r="V27" s="714" t="s">
        <v>17</v>
      </c>
      <c r="W27" s="715">
        <f>J27</f>
        <v>100</v>
      </c>
      <c r="X27" s="1508"/>
      <c r="Y27" s="3465"/>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45"/>
      <c r="Q28" s="1496" t="str">
        <f t="shared" si="11"/>
        <v>朝向</v>
      </c>
      <c r="R28" s="710" t="s">
        <v>17</v>
      </c>
      <c r="S28" s="711">
        <f>F28</f>
        <v>100</v>
      </c>
      <c r="T28" s="710" t="s">
        <v>17</v>
      </c>
      <c r="U28" s="711">
        <f>H28</f>
        <v>100</v>
      </c>
      <c r="V28" s="710" t="s">
        <v>17</v>
      </c>
      <c r="W28" s="711">
        <f>J28</f>
        <v>100</v>
      </c>
      <c r="X28" s="712"/>
      <c r="Y28" s="3465"/>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45"/>
      <c r="Q29" s="1505">
        <f t="shared" si="11"/>
        <v>111</v>
      </c>
      <c r="R29" s="714" t="s">
        <v>17</v>
      </c>
      <c r="S29" s="715">
        <f t="shared" ref="S29:S47" si="12">F29</f>
        <v>100</v>
      </c>
      <c r="T29" s="714" t="s">
        <v>17</v>
      </c>
      <c r="U29" s="715">
        <f t="shared" ref="U29:U47" si="13">H29</f>
        <v>100</v>
      </c>
      <c r="V29" s="714" t="s">
        <v>17</v>
      </c>
      <c r="W29" s="715">
        <f t="shared" ref="W29:W47" si="14">J29</f>
        <v>100</v>
      </c>
      <c r="X29" s="1508"/>
      <c r="Y29" s="3465"/>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45"/>
      <c r="Q30" s="1505">
        <f t="shared" si="11"/>
        <v>111</v>
      </c>
      <c r="R30" s="714" t="s">
        <v>17</v>
      </c>
      <c r="S30" s="715">
        <f t="shared" si="12"/>
        <v>100</v>
      </c>
      <c r="T30" s="714" t="s">
        <v>17</v>
      </c>
      <c r="U30" s="715">
        <f t="shared" si="13"/>
        <v>100</v>
      </c>
      <c r="V30" s="714" t="s">
        <v>17</v>
      </c>
      <c r="W30" s="715">
        <f t="shared" si="14"/>
        <v>100</v>
      </c>
      <c r="X30" s="1508"/>
      <c r="Y30" s="3465"/>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45"/>
      <c r="Q31" s="1505">
        <f t="shared" si="11"/>
        <v>111</v>
      </c>
      <c r="R31" s="714" t="s">
        <v>17</v>
      </c>
      <c r="S31" s="715">
        <f t="shared" si="12"/>
        <v>100</v>
      </c>
      <c r="T31" s="714" t="s">
        <v>17</v>
      </c>
      <c r="U31" s="715">
        <f t="shared" si="13"/>
        <v>100</v>
      </c>
      <c r="V31" s="714" t="s">
        <v>17</v>
      </c>
      <c r="W31" s="715">
        <f t="shared" si="14"/>
        <v>100</v>
      </c>
      <c r="X31" s="1508"/>
      <c r="Y31" s="3465"/>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45"/>
      <c r="Q32" s="1505">
        <f t="shared" si="11"/>
        <v>111</v>
      </c>
      <c r="R32" s="714" t="s">
        <v>17</v>
      </c>
      <c r="S32" s="715">
        <f t="shared" si="12"/>
        <v>100</v>
      </c>
      <c r="T32" s="714" t="s">
        <v>17</v>
      </c>
      <c r="U32" s="715">
        <f t="shared" si="13"/>
        <v>100</v>
      </c>
      <c r="V32" s="714" t="s">
        <v>17</v>
      </c>
      <c r="W32" s="715">
        <f t="shared" si="14"/>
        <v>100</v>
      </c>
      <c r="X32" s="1508"/>
      <c r="Y32" s="3465"/>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40" t="s">
        <v>2326</v>
      </c>
      <c r="Q33" s="1505" t="str">
        <f t="shared" si="11"/>
        <v>建筑类型</v>
      </c>
      <c r="R33" s="714" t="s">
        <v>17</v>
      </c>
      <c r="S33" s="715">
        <f t="shared" si="12"/>
        <v>100</v>
      </c>
      <c r="T33" s="714" t="s">
        <v>17</v>
      </c>
      <c r="U33" s="715">
        <f t="shared" si="13"/>
        <v>100</v>
      </c>
      <c r="V33" s="714" t="s">
        <v>17</v>
      </c>
      <c r="W33" s="715">
        <f t="shared" si="14"/>
        <v>100</v>
      </c>
      <c r="X33" s="1508"/>
      <c r="Y33" s="3466"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41"/>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41"/>
      <c r="Q35" s="1505" t="str">
        <f t="shared" si="11"/>
        <v>建筑结构</v>
      </c>
      <c r="R35" s="714" t="s">
        <v>17</v>
      </c>
      <c r="S35" s="715">
        <f t="shared" si="12"/>
        <v>100</v>
      </c>
      <c r="T35" s="714" t="s">
        <v>17</v>
      </c>
      <c r="U35" s="715">
        <f t="shared" si="13"/>
        <v>100</v>
      </c>
      <c r="V35" s="714" t="s">
        <v>17</v>
      </c>
      <c r="W35" s="715">
        <f t="shared" si="14"/>
        <v>100</v>
      </c>
      <c r="X35" s="1508"/>
      <c r="Y35" s="3466"/>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41"/>
      <c r="Q36" s="1505" t="str">
        <f t="shared" si="11"/>
        <v>公共部分装修</v>
      </c>
      <c r="R36" s="714" t="s">
        <v>17</v>
      </c>
      <c r="S36" s="715">
        <f t="shared" si="12"/>
        <v>100</v>
      </c>
      <c r="T36" s="714" t="s">
        <v>17</v>
      </c>
      <c r="U36" s="715">
        <f t="shared" si="13"/>
        <v>100</v>
      </c>
      <c r="V36" s="714" t="s">
        <v>17</v>
      </c>
      <c r="W36" s="715">
        <f t="shared" si="14"/>
        <v>100</v>
      </c>
      <c r="X36" s="1508"/>
      <c r="Y36" s="3466"/>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41"/>
      <c r="Q37" s="1505" t="str">
        <f t="shared" si="11"/>
        <v>成新度</v>
      </c>
      <c r="R37" s="714" t="s">
        <v>17</v>
      </c>
      <c r="S37" s="715" t="e">
        <f t="shared" si="12"/>
        <v>#N/A</v>
      </c>
      <c r="T37" s="714" t="s">
        <v>17</v>
      </c>
      <c r="U37" s="715" t="e">
        <f t="shared" si="13"/>
        <v>#N/A</v>
      </c>
      <c r="V37" s="714" t="s">
        <v>17</v>
      </c>
      <c r="W37" s="715" t="e">
        <f t="shared" si="14"/>
        <v>#N/A</v>
      </c>
      <c r="X37" s="1508"/>
      <c r="Y37" s="3466"/>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41"/>
      <c r="Q38" s="1496"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41" t="s">
        <v>2326</v>
      </c>
      <c r="Q39" s="1505" t="str">
        <f t="shared" si="11"/>
        <v>物业管理</v>
      </c>
      <c r="R39" s="714" t="s">
        <v>17</v>
      </c>
      <c r="S39" s="715">
        <f t="shared" si="12"/>
        <v>100</v>
      </c>
      <c r="T39" s="714" t="s">
        <v>17</v>
      </c>
      <c r="U39" s="715">
        <f t="shared" si="13"/>
        <v>100</v>
      </c>
      <c r="V39" s="714" t="s">
        <v>17</v>
      </c>
      <c r="W39" s="715">
        <f t="shared" si="14"/>
        <v>100</v>
      </c>
      <c r="X39" s="1508"/>
      <c r="Y39" s="3466"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41"/>
      <c r="Q40" s="1505" t="str">
        <f t="shared" si="11"/>
        <v>市政基础设施</v>
      </c>
      <c r="R40" s="714" t="s">
        <v>17</v>
      </c>
      <c r="S40" s="715">
        <f t="shared" si="12"/>
        <v>100</v>
      </c>
      <c r="T40" s="714" t="s">
        <v>17</v>
      </c>
      <c r="U40" s="715">
        <f t="shared" si="13"/>
        <v>100</v>
      </c>
      <c r="V40" s="714" t="s">
        <v>17</v>
      </c>
      <c r="W40" s="715">
        <f t="shared" si="14"/>
        <v>100</v>
      </c>
      <c r="X40" s="1508"/>
      <c r="Y40" s="3466"/>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41"/>
      <c r="Q41" s="1505" t="str">
        <f t="shared" si="11"/>
        <v>层高</v>
      </c>
      <c r="R41" s="714" t="s">
        <v>17</v>
      </c>
      <c r="S41" s="715">
        <f t="shared" si="12"/>
        <v>100</v>
      </c>
      <c r="T41" s="714" t="s">
        <v>17</v>
      </c>
      <c r="U41" s="715">
        <f t="shared" si="13"/>
        <v>100</v>
      </c>
      <c r="V41" s="714" t="s">
        <v>17</v>
      </c>
      <c r="W41" s="715">
        <f t="shared" si="14"/>
        <v>100</v>
      </c>
      <c r="X41" s="1508"/>
      <c r="Y41" s="3466"/>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41"/>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41"/>
      <c r="Q43" s="1505" t="str">
        <f t="shared" si="11"/>
        <v>内部装修</v>
      </c>
      <c r="R43" s="714" t="s">
        <v>17</v>
      </c>
      <c r="S43" s="715">
        <f t="shared" si="12"/>
        <v>100</v>
      </c>
      <c r="T43" s="714" t="s">
        <v>17</v>
      </c>
      <c r="U43" s="715">
        <f t="shared" si="13"/>
        <v>100</v>
      </c>
      <c r="V43" s="714" t="s">
        <v>17</v>
      </c>
      <c r="W43" s="715">
        <f t="shared" si="14"/>
        <v>100</v>
      </c>
      <c r="X43" s="1508"/>
      <c r="Y43" s="3466"/>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41"/>
      <c r="Q44" s="1505" t="str">
        <f t="shared" si="11"/>
        <v>内部装修维护情况</v>
      </c>
      <c r="R44" s="714" t="s">
        <v>17</v>
      </c>
      <c r="S44" s="715">
        <f t="shared" si="12"/>
        <v>100</v>
      </c>
      <c r="T44" s="714" t="s">
        <v>17</v>
      </c>
      <c r="U44" s="715">
        <f t="shared" si="13"/>
        <v>100</v>
      </c>
      <c r="V44" s="714" t="s">
        <v>17</v>
      </c>
      <c r="W44" s="715">
        <f t="shared" si="14"/>
        <v>100</v>
      </c>
      <c r="X44" s="1508"/>
      <c r="Y44" s="3466"/>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41"/>
      <c r="Q45" s="1496">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41"/>
      <c r="Q46" s="1505">
        <f t="shared" si="11"/>
        <v>111</v>
      </c>
      <c r="R46" s="714" t="s">
        <v>17</v>
      </c>
      <c r="S46" s="715">
        <f t="shared" si="12"/>
        <v>100</v>
      </c>
      <c r="T46" s="714" t="s">
        <v>17</v>
      </c>
      <c r="U46" s="715">
        <f t="shared" si="13"/>
        <v>100</v>
      </c>
      <c r="V46" s="714" t="s">
        <v>17</v>
      </c>
      <c r="W46" s="715">
        <f t="shared" si="14"/>
        <v>100</v>
      </c>
      <c r="X46" s="1508"/>
      <c r="Y46" s="3466"/>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42"/>
      <c r="Q47" s="1505">
        <f t="shared" si="11"/>
        <v>111</v>
      </c>
      <c r="R47" s="714" t="s">
        <v>17</v>
      </c>
      <c r="S47" s="715">
        <f t="shared" si="12"/>
        <v>100</v>
      </c>
      <c r="T47" s="714" t="s">
        <v>17</v>
      </c>
      <c r="U47" s="715">
        <f t="shared" si="13"/>
        <v>100</v>
      </c>
      <c r="V47" s="714" t="s">
        <v>17</v>
      </c>
      <c r="W47" s="715">
        <f t="shared" si="14"/>
        <v>100</v>
      </c>
      <c r="X47" s="1508"/>
      <c r="Y47" s="3543"/>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44" t="str">
        <f>A48</f>
        <v>成交单价（元/平方米）</v>
      </c>
      <c r="Q48" s="3445"/>
      <c r="R48" s="3539">
        <f>E48</f>
        <v>0</v>
      </c>
      <c r="S48" s="3539"/>
      <c r="T48" s="3539">
        <f>G48</f>
        <v>0</v>
      </c>
      <c r="U48" s="3539"/>
      <c r="V48" s="3539">
        <f>I48</f>
        <v>0</v>
      </c>
      <c r="W48" s="3539"/>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44" t="str">
        <f>A49</f>
        <v>比较价值（元/平方米）</v>
      </c>
      <c r="Q49" s="3445"/>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51" t="str">
        <f>A50</f>
        <v>估价对象XX用房的比较价值（楼面单价，元/平方米）</v>
      </c>
      <c r="Q50" s="3552"/>
      <c r="R50" s="3553" t="e">
        <f>IF(F1="售价",ROUND(IF(D49="简单平均",AVERAGE(R49:V49),R49*F49+T49*H49+V49*J49),0),ROUND(IF(D49="简单平均",AVERAGE(R49:V49),R49*F49+T49*H49+V49*J49),1))</f>
        <v>#DIV/0!</v>
      </c>
      <c r="S50" s="3553"/>
      <c r="T50" s="3553"/>
      <c r="U50" s="3553"/>
      <c r="V50" s="3553"/>
      <c r="W50" s="355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3519.53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2" t="s">
        <v>2407</v>
      </c>
      <c r="D4" s="3470"/>
      <c r="E4" s="3471" t="s">
        <v>2408</v>
      </c>
      <c r="F4" s="3472"/>
      <c r="G4" s="3442" t="s">
        <v>2409</v>
      </c>
      <c r="H4" s="3470"/>
      <c r="I4" s="3442" t="s">
        <v>2410</v>
      </c>
      <c r="J4" s="3470"/>
      <c r="K4" s="567" t="s">
        <v>2411</v>
      </c>
      <c r="L4" s="1044"/>
      <c r="M4" s="1045"/>
      <c r="N4" s="1045"/>
      <c r="O4" s="1045"/>
      <c r="P4" s="3473" t="s">
        <v>2412</v>
      </c>
      <c r="Q4" s="3474"/>
      <c r="R4" s="3449" t="s">
        <v>2408</v>
      </c>
      <c r="S4" s="3450"/>
      <c r="T4" s="3449" t="s">
        <v>2409</v>
      </c>
      <c r="U4" s="3450"/>
      <c r="V4" s="3463" t="s">
        <v>2410</v>
      </c>
      <c r="W4" s="3463"/>
      <c r="X4" s="1508"/>
      <c r="Y4" s="3449" t="s">
        <v>2412</v>
      </c>
      <c r="Z4" s="3450"/>
      <c r="AA4" s="3467" t="s">
        <v>2408</v>
      </c>
      <c r="AB4" s="3468" t="s">
        <v>2409</v>
      </c>
      <c r="AC4" s="3467" t="s">
        <v>2410</v>
      </c>
    </row>
    <row r="5" spans="1:29" ht="15">
      <c r="A5" s="364"/>
      <c r="B5" s="365"/>
      <c r="C5" s="3453" t="s">
        <v>2303</v>
      </c>
      <c r="D5" s="3454"/>
      <c r="E5" s="3550" t="s">
        <v>2304</v>
      </c>
      <c r="F5" s="3480"/>
      <c r="G5" s="3453" t="s">
        <v>2305</v>
      </c>
      <c r="H5" s="3454"/>
      <c r="I5" s="3453" t="s">
        <v>2306</v>
      </c>
      <c r="J5" s="3454"/>
      <c r="K5" s="567"/>
      <c r="L5" s="1044"/>
      <c r="M5" s="1045"/>
      <c r="N5" s="1045"/>
      <c r="O5" s="1045"/>
      <c r="P5" s="3475"/>
      <c r="Q5" s="3476"/>
      <c r="R5" s="3451"/>
      <c r="S5" s="3452"/>
      <c r="T5" s="3451"/>
      <c r="U5" s="3452"/>
      <c r="V5" s="3463"/>
      <c r="W5" s="3463"/>
      <c r="X5" s="1508"/>
      <c r="Y5" s="3451"/>
      <c r="Z5" s="3452"/>
      <c r="AA5" s="3468"/>
      <c r="AB5" s="3468"/>
      <c r="AC5" s="3468"/>
    </row>
    <row r="6" spans="1:29" ht="15.75" thickBot="1">
      <c r="A6" s="366"/>
      <c r="B6" s="367"/>
      <c r="C6" s="3546" t="s">
        <v>2307</v>
      </c>
      <c r="D6" s="3547"/>
      <c r="E6" s="3548" t="s">
        <v>2307</v>
      </c>
      <c r="F6" s="3549"/>
      <c r="G6" s="3546" t="s">
        <v>2307</v>
      </c>
      <c r="H6" s="3547"/>
      <c r="I6" s="3546" t="s">
        <v>2307</v>
      </c>
      <c r="J6" s="3547"/>
      <c r="K6" s="567" t="s">
        <v>2308</v>
      </c>
      <c r="L6" s="1044"/>
      <c r="M6" s="1045"/>
      <c r="N6" s="1045"/>
      <c r="O6" s="1045"/>
      <c r="P6" s="3477"/>
      <c r="Q6" s="3478"/>
      <c r="R6" s="3451"/>
      <c r="S6" s="3452"/>
      <c r="T6" s="3461"/>
      <c r="U6" s="3462"/>
      <c r="V6" s="3463"/>
      <c r="W6" s="3463"/>
      <c r="X6" s="1508"/>
      <c r="Y6" s="3461"/>
      <c r="Z6" s="3462"/>
      <c r="AA6" s="3469"/>
      <c r="AB6" s="3469"/>
      <c r="AC6" s="3469"/>
    </row>
    <row r="7" spans="1:29" s="113" customFormat="1" ht="15.75" thickBot="1">
      <c r="A7" s="368" t="s">
        <v>2309</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7" t="s">
        <v>2310</v>
      </c>
      <c r="Q7" s="3458"/>
      <c r="R7" s="710" t="s">
        <v>17</v>
      </c>
      <c r="S7" s="711">
        <f t="shared" ref="S7:S15" si="0">F7</f>
        <v>0</v>
      </c>
      <c r="T7" s="710" t="s">
        <v>17</v>
      </c>
      <c r="U7" s="711">
        <f t="shared" ref="U7:U15" si="1">H7</f>
        <v>0</v>
      </c>
      <c r="V7" s="710" t="s">
        <v>17</v>
      </c>
      <c r="W7" s="711">
        <f t="shared" ref="W7:W15" si="2">J7</f>
        <v>0</v>
      </c>
      <c r="X7" s="712"/>
      <c r="Y7" s="3447" t="s">
        <v>2310</v>
      </c>
      <c r="Z7" s="344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7" t="s">
        <v>2313</v>
      </c>
      <c r="Q8" s="3448"/>
      <c r="R8" s="710" t="s">
        <v>17</v>
      </c>
      <c r="S8" s="711">
        <f t="shared" si="0"/>
        <v>0</v>
      </c>
      <c r="T8" s="710" t="s">
        <v>17</v>
      </c>
      <c r="U8" s="711">
        <f t="shared" si="1"/>
        <v>0</v>
      </c>
      <c r="V8" s="710" t="s">
        <v>17</v>
      </c>
      <c r="W8" s="711">
        <f t="shared" si="2"/>
        <v>0</v>
      </c>
      <c r="X8" s="712"/>
      <c r="Y8" s="3447" t="s">
        <v>2313</v>
      </c>
      <c r="Z8" s="344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5"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5"/>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5"/>
      <c r="Q11" s="1496"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45"/>
      <c r="Q12" s="1496">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45"/>
      <c r="Q13" s="1496">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45"/>
      <c r="Q14" s="1496">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713">
        <f t="shared" si="5"/>
        <v>1</v>
      </c>
    </row>
    <row r="15" spans="1:29" ht="15">
      <c r="A15" s="399" t="s">
        <v>2320</v>
      </c>
      <c r="B15" s="65" t="s">
        <v>2464</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4" t="s">
        <v>2321</v>
      </c>
      <c r="Q15" s="1505" t="str">
        <f t="shared" si="6"/>
        <v>产业集聚程度</v>
      </c>
      <c r="R15" s="714" t="s">
        <v>17</v>
      </c>
      <c r="S15" s="715">
        <f t="shared" si="0"/>
        <v>100</v>
      </c>
      <c r="T15" s="714" t="s">
        <v>17</v>
      </c>
      <c r="U15" s="715">
        <f t="shared" si="1"/>
        <v>100</v>
      </c>
      <c r="V15" s="714" t="s">
        <v>17</v>
      </c>
      <c r="W15" s="715">
        <f t="shared" si="2"/>
        <v>100</v>
      </c>
      <c r="X15" s="1508"/>
      <c r="Y15" s="3464"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65"/>
      <c r="Q16" s="1505"/>
      <c r="R16" s="714"/>
      <c r="S16" s="715"/>
      <c r="T16" s="714"/>
      <c r="U16" s="715"/>
      <c r="V16" s="714"/>
      <c r="W16" s="715"/>
      <c r="X16" s="1508"/>
      <c r="Y16" s="3465"/>
      <c r="Z16" s="1509"/>
      <c r="AA16" s="1506">
        <v>1</v>
      </c>
      <c r="AB16" s="1506">
        <v>1</v>
      </c>
      <c r="AC16" s="1506">
        <v>1</v>
      </c>
    </row>
    <row r="17" spans="1:29" ht="15">
      <c r="A17" s="387"/>
      <c r="B17" s="410" t="s">
        <v>1885</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5"/>
      <c r="Q17" s="1505" t="str">
        <f>B17</f>
        <v>交通便捷度</v>
      </c>
      <c r="R17" s="714" t="s">
        <v>17</v>
      </c>
      <c r="S17" s="715">
        <f>F17</f>
        <v>100</v>
      </c>
      <c r="T17" s="714" t="s">
        <v>17</v>
      </c>
      <c r="U17" s="715">
        <f>H17</f>
        <v>100</v>
      </c>
      <c r="V17" s="714" t="s">
        <v>17</v>
      </c>
      <c r="W17" s="715">
        <f>J17</f>
        <v>100</v>
      </c>
      <c r="X17" s="1508"/>
      <c r="Y17" s="3465"/>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65"/>
      <c r="Q18" s="1505"/>
      <c r="R18" s="714"/>
      <c r="S18" s="715"/>
      <c r="T18" s="714"/>
      <c r="U18" s="715"/>
      <c r="V18" s="714"/>
      <c r="W18" s="715"/>
      <c r="X18" s="1508"/>
      <c r="Y18" s="3465"/>
      <c r="Z18" s="1509"/>
      <c r="AA18" s="1506">
        <v>1</v>
      </c>
      <c r="AB18" s="1506">
        <v>1</v>
      </c>
      <c r="AC18" s="1506">
        <v>1</v>
      </c>
    </row>
    <row r="19" spans="1:29" ht="15">
      <c r="A19" s="387"/>
      <c r="B19" s="410" t="s">
        <v>2449</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5"/>
      <c r="Q19" s="1505" t="str">
        <f>B19</f>
        <v>公共配套设施</v>
      </c>
      <c r="R19" s="714" t="s">
        <v>17</v>
      </c>
      <c r="S19" s="715">
        <f>F19</f>
        <v>100</v>
      </c>
      <c r="T19" s="714" t="s">
        <v>17</v>
      </c>
      <c r="U19" s="715">
        <f>H19</f>
        <v>100</v>
      </c>
      <c r="V19" s="714" t="s">
        <v>17</v>
      </c>
      <c r="W19" s="715">
        <f>J19</f>
        <v>100</v>
      </c>
      <c r="X19" s="1508"/>
      <c r="Y19" s="3465"/>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65"/>
      <c r="Q20" s="1505"/>
      <c r="R20" s="714"/>
      <c r="S20" s="715"/>
      <c r="T20" s="714"/>
      <c r="U20" s="715"/>
      <c r="V20" s="714"/>
      <c r="W20" s="715"/>
      <c r="X20" s="1508"/>
      <c r="Y20" s="3465"/>
      <c r="Z20" s="1509"/>
      <c r="AA20" s="1506">
        <v>1</v>
      </c>
      <c r="AB20" s="1506">
        <v>1</v>
      </c>
      <c r="AC20" s="1506">
        <v>1</v>
      </c>
    </row>
    <row r="21" spans="1:29" ht="15">
      <c r="A21" s="387"/>
      <c r="B21" s="1265" t="s">
        <v>2450</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5"/>
      <c r="Q21" s="1505" t="str">
        <f>B21</f>
        <v>基础设施水平</v>
      </c>
      <c r="R21" s="714" t="s">
        <v>17</v>
      </c>
      <c r="S21" s="715">
        <f>F21</f>
        <v>100</v>
      </c>
      <c r="T21" s="714" t="s">
        <v>17</v>
      </c>
      <c r="U21" s="715">
        <f>H21</f>
        <v>100</v>
      </c>
      <c r="V21" s="714" t="s">
        <v>17</v>
      </c>
      <c r="W21" s="715">
        <f>J21</f>
        <v>100</v>
      </c>
      <c r="X21" s="1508"/>
      <c r="Y21" s="3465"/>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65"/>
      <c r="Q22" s="1505"/>
      <c r="R22" s="714"/>
      <c r="S22" s="715"/>
      <c r="T22" s="714"/>
      <c r="U22" s="715"/>
      <c r="V22" s="714"/>
      <c r="W22" s="715"/>
      <c r="X22" s="1508"/>
      <c r="Y22" s="3465"/>
      <c r="Z22" s="1509"/>
      <c r="AA22" s="1506">
        <v>1</v>
      </c>
      <c r="AB22" s="1506">
        <v>1</v>
      </c>
      <c r="AC22" s="1506">
        <v>1</v>
      </c>
    </row>
    <row r="23" spans="1:29" ht="15">
      <c r="A23" s="387"/>
      <c r="B23" s="410" t="s">
        <v>2451</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5"/>
      <c r="Q23" s="1505" t="str">
        <f>B23</f>
        <v>环境质量</v>
      </c>
      <c r="R23" s="714" t="s">
        <v>17</v>
      </c>
      <c r="S23" s="715">
        <f>F23</f>
        <v>100</v>
      </c>
      <c r="T23" s="714" t="s">
        <v>17</v>
      </c>
      <c r="U23" s="715">
        <f>H23</f>
        <v>100</v>
      </c>
      <c r="V23" s="714" t="s">
        <v>17</v>
      </c>
      <c r="W23" s="715">
        <f>J23</f>
        <v>100</v>
      </c>
      <c r="X23" s="1508"/>
      <c r="Y23" s="3465"/>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65"/>
      <c r="Q24" s="1505"/>
      <c r="R24" s="714"/>
      <c r="S24" s="715"/>
      <c r="T24" s="714"/>
      <c r="U24" s="715"/>
      <c r="V24" s="714"/>
      <c r="W24" s="715"/>
      <c r="X24" s="1508"/>
      <c r="Y24" s="3465"/>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5"/>
      <c r="Q25" s="1505">
        <f>B25</f>
        <v>111</v>
      </c>
      <c r="R25" s="714" t="s">
        <v>17</v>
      </c>
      <c r="S25" s="715">
        <f>F25</f>
        <v>100</v>
      </c>
      <c r="T25" s="714" t="s">
        <v>17</v>
      </c>
      <c r="U25" s="715">
        <f>H25</f>
        <v>100</v>
      </c>
      <c r="V25" s="714" t="s">
        <v>17</v>
      </c>
      <c r="W25" s="715">
        <f>J25</f>
        <v>100</v>
      </c>
      <c r="X25" s="1508"/>
      <c r="Y25" s="3465"/>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5"/>
      <c r="Q26" s="1505">
        <f t="shared" ref="Q26:Q40" si="11">B26</f>
        <v>111</v>
      </c>
      <c r="R26" s="714" t="s">
        <v>17</v>
      </c>
      <c r="S26" s="715">
        <f>F26</f>
        <v>100</v>
      </c>
      <c r="T26" s="714" t="s">
        <v>17</v>
      </c>
      <c r="U26" s="715">
        <f>H26</f>
        <v>100</v>
      </c>
      <c r="V26" s="714" t="s">
        <v>17</v>
      </c>
      <c r="W26" s="715">
        <f>J26</f>
        <v>100</v>
      </c>
      <c r="X26" s="1508"/>
      <c r="Y26" s="3465"/>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5"/>
      <c r="Q27" s="1496">
        <f t="shared" si="11"/>
        <v>111</v>
      </c>
      <c r="R27" s="710" t="s">
        <v>17</v>
      </c>
      <c r="S27" s="711">
        <f>F27</f>
        <v>100</v>
      </c>
      <c r="T27" s="710" t="s">
        <v>17</v>
      </c>
      <c r="U27" s="711">
        <f>H27</f>
        <v>100</v>
      </c>
      <c r="V27" s="710" t="s">
        <v>17</v>
      </c>
      <c r="W27" s="711">
        <f>J27</f>
        <v>100</v>
      </c>
      <c r="X27" s="712"/>
      <c r="Y27" s="3465"/>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5"/>
      <c r="Q28" s="1505">
        <f t="shared" si="11"/>
        <v>111</v>
      </c>
      <c r="R28" s="714" t="s">
        <v>17</v>
      </c>
      <c r="S28" s="715">
        <f t="shared" ref="S28:S40" si="12">F28</f>
        <v>100</v>
      </c>
      <c r="T28" s="714" t="s">
        <v>17</v>
      </c>
      <c r="U28" s="715">
        <f t="shared" ref="U28:U40" si="13">H28</f>
        <v>100</v>
      </c>
      <c r="V28" s="714" t="s">
        <v>17</v>
      </c>
      <c r="W28" s="715">
        <f t="shared" ref="W28:W40" si="14">J28</f>
        <v>100</v>
      </c>
      <c r="X28" s="1508"/>
      <c r="Y28" s="3465"/>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1" t="s">
        <v>2326</v>
      </c>
      <c r="Q29" s="1505" t="str">
        <f t="shared" si="11"/>
        <v>建筑类型</v>
      </c>
      <c r="R29" s="714" t="s">
        <v>17</v>
      </c>
      <c r="S29" s="715">
        <f t="shared" si="12"/>
        <v>100</v>
      </c>
      <c r="T29" s="714" t="s">
        <v>17</v>
      </c>
      <c r="U29" s="715">
        <f t="shared" si="13"/>
        <v>100</v>
      </c>
      <c r="V29" s="714" t="s">
        <v>17</v>
      </c>
      <c r="W29" s="715">
        <f t="shared" si="14"/>
        <v>100</v>
      </c>
      <c r="X29" s="1508"/>
      <c r="Y29" s="3466"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6"/>
      <c r="Q31" s="1505" t="str">
        <f t="shared" si="11"/>
        <v>建筑结构</v>
      </c>
      <c r="R31" s="714" t="s">
        <v>17</v>
      </c>
      <c r="S31" s="715">
        <f t="shared" si="12"/>
        <v>100</v>
      </c>
      <c r="T31" s="714" t="s">
        <v>17</v>
      </c>
      <c r="U31" s="715">
        <f t="shared" si="13"/>
        <v>100</v>
      </c>
      <c r="V31" s="714" t="s">
        <v>17</v>
      </c>
      <c r="W31" s="715">
        <f t="shared" si="14"/>
        <v>100</v>
      </c>
      <c r="X31" s="1508"/>
      <c r="Y31" s="3466"/>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6"/>
      <c r="Q32" s="1505" t="str">
        <f t="shared" si="11"/>
        <v>公共部分装修</v>
      </c>
      <c r="R32" s="714" t="s">
        <v>17</v>
      </c>
      <c r="S32" s="715">
        <f t="shared" si="12"/>
        <v>100</v>
      </c>
      <c r="T32" s="714" t="s">
        <v>17</v>
      </c>
      <c r="U32" s="715">
        <f t="shared" si="13"/>
        <v>100</v>
      </c>
      <c r="V32" s="714" t="s">
        <v>17</v>
      </c>
      <c r="W32" s="715">
        <f t="shared" si="14"/>
        <v>100</v>
      </c>
      <c r="X32" s="1508"/>
      <c r="Y32" s="3466"/>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6"/>
      <c r="Q33" s="1505" t="str">
        <f t="shared" si="11"/>
        <v>成新度</v>
      </c>
      <c r="R33" s="714" t="s">
        <v>17</v>
      </c>
      <c r="S33" s="715" t="e">
        <f t="shared" si="12"/>
        <v>#N/A</v>
      </c>
      <c r="T33" s="714" t="s">
        <v>17</v>
      </c>
      <c r="U33" s="715" t="e">
        <f t="shared" si="13"/>
        <v>#N/A</v>
      </c>
      <c r="V33" s="714" t="s">
        <v>17</v>
      </c>
      <c r="W33" s="715" t="e">
        <f t="shared" si="14"/>
        <v>#N/A</v>
      </c>
      <c r="X33" s="1508"/>
      <c r="Y33" s="3466"/>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6"/>
      <c r="Q34" s="1496"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6" t="s">
        <v>2326</v>
      </c>
      <c r="Q35" s="1505" t="str">
        <f t="shared" si="11"/>
        <v>市政基础设施</v>
      </c>
      <c r="R35" s="714" t="s">
        <v>17</v>
      </c>
      <c r="S35" s="715">
        <f t="shared" si="12"/>
        <v>100</v>
      </c>
      <c r="T35" s="714" t="s">
        <v>17</v>
      </c>
      <c r="U35" s="715">
        <f t="shared" si="13"/>
        <v>100</v>
      </c>
      <c r="V35" s="714" t="s">
        <v>17</v>
      </c>
      <c r="W35" s="715">
        <f t="shared" si="14"/>
        <v>100</v>
      </c>
      <c r="X35" s="1508"/>
      <c r="Y35" s="3466"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6"/>
      <c r="Q36" s="1505" t="str">
        <f t="shared" si="11"/>
        <v>内部装修</v>
      </c>
      <c r="R36" s="714" t="s">
        <v>17</v>
      </c>
      <c r="S36" s="715">
        <f t="shared" si="12"/>
        <v>100</v>
      </c>
      <c r="T36" s="714" t="s">
        <v>17</v>
      </c>
      <c r="U36" s="715">
        <f t="shared" si="13"/>
        <v>100</v>
      </c>
      <c r="V36" s="714" t="s">
        <v>17</v>
      </c>
      <c r="W36" s="715">
        <f t="shared" si="14"/>
        <v>100</v>
      </c>
      <c r="X36" s="1508"/>
      <c r="Y36" s="3466"/>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6"/>
      <c r="Q37" s="1505" t="str">
        <f t="shared" si="11"/>
        <v>内部装修状况</v>
      </c>
      <c r="R37" s="714" t="s">
        <v>17</v>
      </c>
      <c r="S37" s="715">
        <f t="shared" si="12"/>
        <v>100</v>
      </c>
      <c r="T37" s="714" t="s">
        <v>17</v>
      </c>
      <c r="U37" s="715">
        <f t="shared" si="13"/>
        <v>100</v>
      </c>
      <c r="V37" s="714" t="s">
        <v>17</v>
      </c>
      <c r="W37" s="715">
        <f t="shared" si="14"/>
        <v>100</v>
      </c>
      <c r="X37" s="1508"/>
      <c r="Y37" s="3466"/>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6"/>
      <c r="Q39" s="1505">
        <f t="shared" si="11"/>
        <v>111</v>
      </c>
      <c r="R39" s="714" t="s">
        <v>17</v>
      </c>
      <c r="S39" s="715">
        <f t="shared" si="12"/>
        <v>100</v>
      </c>
      <c r="T39" s="714" t="s">
        <v>17</v>
      </c>
      <c r="U39" s="715">
        <f t="shared" si="13"/>
        <v>100</v>
      </c>
      <c r="V39" s="714" t="s">
        <v>17</v>
      </c>
      <c r="W39" s="715">
        <f t="shared" si="14"/>
        <v>100</v>
      </c>
      <c r="X39" s="1508"/>
      <c r="Y39" s="3466"/>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43"/>
      <c r="Q40" s="1505">
        <f t="shared" si="11"/>
        <v>111</v>
      </c>
      <c r="R40" s="714" t="s">
        <v>17</v>
      </c>
      <c r="S40" s="715">
        <f t="shared" si="12"/>
        <v>100</v>
      </c>
      <c r="T40" s="714" t="s">
        <v>17</v>
      </c>
      <c r="U40" s="715">
        <f t="shared" si="13"/>
        <v>100</v>
      </c>
      <c r="V40" s="714" t="s">
        <v>17</v>
      </c>
      <c r="W40" s="715">
        <f t="shared" si="14"/>
        <v>100</v>
      </c>
      <c r="X40" s="1508"/>
      <c r="Y40" s="3543"/>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45" t="str">
        <f>A41</f>
        <v>成交单价（元/平方米）</v>
      </c>
      <c r="Q41" s="3445"/>
      <c r="R41" s="3539">
        <f>E41</f>
        <v>0</v>
      </c>
      <c r="S41" s="3539"/>
      <c r="T41" s="3539">
        <f>G41</f>
        <v>0</v>
      </c>
      <c r="U41" s="3539"/>
      <c r="V41" s="3539">
        <f>I41</f>
        <v>0</v>
      </c>
      <c r="W41" s="3539"/>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45" t="str">
        <f>A42</f>
        <v>比较价值（元/平方米）</v>
      </c>
      <c r="Q42" s="3445"/>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2" t="str">
        <f>A43</f>
        <v>估价对象XX用房的比较价值（楼面单价，元/平方米）</v>
      </c>
      <c r="Q43" s="3483"/>
      <c r="R43" s="3538" t="e">
        <f>IF(F1="售价",ROUND(IF(D42="简单平均",AVERAGE(R42:V42),R42*F42+T42*H42+V42*J42),0),ROUND(IF(D42="简单平均",AVERAGE(R42:V42),R42*F42+T42*H42+V42*J42),1))</f>
        <v>#DIV/0!</v>
      </c>
      <c r="S43" s="3538"/>
      <c r="T43" s="3538"/>
      <c r="U43" s="3538"/>
      <c r="V43" s="3538"/>
      <c r="W43" s="3538"/>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42" t="s">
        <v>2407</v>
      </c>
      <c r="D4" s="3470"/>
      <c r="E4" s="3471" t="s">
        <v>2408</v>
      </c>
      <c r="F4" s="3472"/>
      <c r="G4" s="3442" t="s">
        <v>2409</v>
      </c>
      <c r="H4" s="3470"/>
      <c r="I4" s="3442" t="s">
        <v>2410</v>
      </c>
      <c r="J4" s="3470"/>
      <c r="K4" s="567" t="s">
        <v>2411</v>
      </c>
      <c r="L4" s="2913"/>
      <c r="M4" s="2914"/>
      <c r="N4" s="2914"/>
      <c r="O4" s="2914"/>
      <c r="P4" s="3473" t="s">
        <v>2412</v>
      </c>
      <c r="Q4" s="3474"/>
      <c r="R4" s="3449" t="s">
        <v>2408</v>
      </c>
      <c r="S4" s="3450"/>
      <c r="T4" s="3449" t="s">
        <v>2409</v>
      </c>
      <c r="U4" s="3450"/>
      <c r="V4" s="3463" t="s">
        <v>2410</v>
      </c>
      <c r="W4" s="3463"/>
      <c r="X4" s="1508"/>
      <c r="Y4" s="3449" t="s">
        <v>2412</v>
      </c>
      <c r="Z4" s="3450"/>
      <c r="AA4" s="3467" t="s">
        <v>2408</v>
      </c>
      <c r="AB4" s="3468" t="s">
        <v>2409</v>
      </c>
      <c r="AC4" s="3467" t="s">
        <v>2410</v>
      </c>
    </row>
    <row r="5" spans="1:29" ht="15">
      <c r="A5" s="364"/>
      <c r="B5" s="365"/>
      <c r="C5" s="3453" t="s">
        <v>2303</v>
      </c>
      <c r="D5" s="3454"/>
      <c r="E5" s="3550" t="s">
        <v>2304</v>
      </c>
      <c r="F5" s="3480"/>
      <c r="G5" s="3453" t="s">
        <v>2305</v>
      </c>
      <c r="H5" s="3454"/>
      <c r="I5" s="3453" t="s">
        <v>2306</v>
      </c>
      <c r="J5" s="3454"/>
      <c r="K5" s="567"/>
      <c r="L5" s="2913"/>
      <c r="M5" s="2914"/>
      <c r="N5" s="2914"/>
      <c r="O5" s="2914"/>
      <c r="P5" s="3475"/>
      <c r="Q5" s="3476"/>
      <c r="R5" s="3451"/>
      <c r="S5" s="3452"/>
      <c r="T5" s="3451"/>
      <c r="U5" s="3452"/>
      <c r="V5" s="3463"/>
      <c r="W5" s="3463"/>
      <c r="X5" s="1508"/>
      <c r="Y5" s="3451"/>
      <c r="Z5" s="3452"/>
      <c r="AA5" s="3468"/>
      <c r="AB5" s="3468"/>
      <c r="AC5" s="3468"/>
    </row>
    <row r="6" spans="1:29" ht="15.75" thickBot="1">
      <c r="A6" s="366"/>
      <c r="B6" s="367"/>
      <c r="C6" s="3546" t="s">
        <v>2307</v>
      </c>
      <c r="D6" s="3547"/>
      <c r="E6" s="3548" t="s">
        <v>2307</v>
      </c>
      <c r="F6" s="3549"/>
      <c r="G6" s="3546" t="s">
        <v>2307</v>
      </c>
      <c r="H6" s="3547"/>
      <c r="I6" s="3546" t="s">
        <v>2307</v>
      </c>
      <c r="J6" s="3547"/>
      <c r="K6" s="567" t="s">
        <v>2308</v>
      </c>
      <c r="L6" s="2913"/>
      <c r="M6" s="2914"/>
      <c r="N6" s="2914"/>
      <c r="O6" s="2914"/>
      <c r="P6" s="3477"/>
      <c r="Q6" s="3478"/>
      <c r="R6" s="3451"/>
      <c r="S6" s="3452"/>
      <c r="T6" s="3461"/>
      <c r="U6" s="3462"/>
      <c r="V6" s="3463"/>
      <c r="W6" s="3463"/>
      <c r="X6" s="1508"/>
      <c r="Y6" s="3461"/>
      <c r="Z6" s="3462"/>
      <c r="AA6" s="3469"/>
      <c r="AB6" s="3469"/>
      <c r="AC6" s="3469"/>
    </row>
    <row r="7" spans="1:29" s="113" customFormat="1" ht="15.75" thickBot="1">
      <c r="A7" s="368" t="s">
        <v>2309</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47" t="s">
        <v>2310</v>
      </c>
      <c r="Q7" s="3458"/>
      <c r="R7" s="710" t="s">
        <v>17</v>
      </c>
      <c r="S7" s="711">
        <f t="shared" ref="S7:S14" si="0">F7</f>
        <v>0</v>
      </c>
      <c r="T7" s="710" t="s">
        <v>17</v>
      </c>
      <c r="U7" s="711">
        <f t="shared" ref="U7:U14" si="1">H7</f>
        <v>0</v>
      </c>
      <c r="V7" s="710" t="s">
        <v>17</v>
      </c>
      <c r="W7" s="711">
        <f t="shared" ref="W7:W14" si="2">J7</f>
        <v>0</v>
      </c>
      <c r="X7" s="712"/>
      <c r="Y7" s="3447" t="s">
        <v>2310</v>
      </c>
      <c r="Z7" s="344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47" t="s">
        <v>2313</v>
      </c>
      <c r="Q8" s="3448"/>
      <c r="R8" s="710" t="s">
        <v>17</v>
      </c>
      <c r="S8" s="711">
        <f t="shared" si="0"/>
        <v>0</v>
      </c>
      <c r="T8" s="710" t="s">
        <v>17</v>
      </c>
      <c r="U8" s="711">
        <f t="shared" si="1"/>
        <v>0</v>
      </c>
      <c r="V8" s="710" t="s">
        <v>17</v>
      </c>
      <c r="W8" s="711">
        <f t="shared" si="2"/>
        <v>0</v>
      </c>
      <c r="X8" s="712"/>
      <c r="Y8" s="3447" t="s">
        <v>2313</v>
      </c>
      <c r="Z8" s="344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45" t="s">
        <v>2316</v>
      </c>
      <c r="Q9" s="1496" t="str">
        <f t="shared" ref="Q9:Q14" si="6">B9</f>
        <v>用途</v>
      </c>
      <c r="R9" s="710" t="s">
        <v>17</v>
      </c>
      <c r="S9" s="711">
        <f t="shared" si="0"/>
        <v>100</v>
      </c>
      <c r="T9" s="710" t="s">
        <v>17</v>
      </c>
      <c r="U9" s="711">
        <f t="shared" si="1"/>
        <v>100</v>
      </c>
      <c r="V9" s="710" t="s">
        <v>17</v>
      </c>
      <c r="W9" s="711">
        <f t="shared" si="2"/>
        <v>100</v>
      </c>
      <c r="X9" s="712"/>
      <c r="Y9" s="334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45"/>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45"/>
      <c r="Q11" s="1496">
        <f t="shared" si="6"/>
        <v>111</v>
      </c>
      <c r="R11" s="710" t="s">
        <v>17</v>
      </c>
      <c r="S11" s="711">
        <f t="shared" si="0"/>
        <v>100</v>
      </c>
      <c r="T11" s="710" t="s">
        <v>17</v>
      </c>
      <c r="U11" s="711">
        <f t="shared" si="1"/>
        <v>100</v>
      </c>
      <c r="V11" s="710" t="s">
        <v>17</v>
      </c>
      <c r="W11" s="711">
        <f t="shared" si="2"/>
        <v>100</v>
      </c>
      <c r="X11" s="712"/>
      <c r="Y11" s="33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45"/>
      <c r="Q12" s="1496">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45"/>
      <c r="Q13" s="1496">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
      <c r="A14" s="361" t="s">
        <v>2320</v>
      </c>
      <c r="B14" s="585" t="s">
        <v>2470</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64" t="s">
        <v>2321</v>
      </c>
      <c r="Q14" s="1505" t="str">
        <f t="shared" si="6"/>
        <v>交通便捷度</v>
      </c>
      <c r="R14" s="714" t="s">
        <v>17</v>
      </c>
      <c r="S14" s="715">
        <f t="shared" si="0"/>
        <v>100</v>
      </c>
      <c r="T14" s="714" t="s">
        <v>17</v>
      </c>
      <c r="U14" s="715">
        <f t="shared" si="1"/>
        <v>100</v>
      </c>
      <c r="V14" s="714" t="s">
        <v>17</v>
      </c>
      <c r="W14" s="715">
        <f t="shared" si="2"/>
        <v>100</v>
      </c>
      <c r="X14" s="1508"/>
      <c r="Y14" s="3464"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65"/>
      <c r="Q15" s="1505"/>
      <c r="R15" s="714"/>
      <c r="S15" s="715"/>
      <c r="T15" s="714"/>
      <c r="U15" s="715"/>
      <c r="V15" s="714"/>
      <c r="W15" s="715"/>
      <c r="X15" s="1508"/>
      <c r="Y15" s="3465"/>
      <c r="Z15" s="1509"/>
      <c r="AA15" s="1506">
        <v>1</v>
      </c>
      <c r="AB15" s="1506">
        <v>1</v>
      </c>
      <c r="AC15" s="1506">
        <v>1</v>
      </c>
    </row>
    <row r="16" spans="1:29" ht="15">
      <c r="A16" s="364"/>
      <c r="B16" s="587" t="s">
        <v>2449</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5"/>
      <c r="Q16" s="1505" t="str">
        <f>B16</f>
        <v>公共配套设施</v>
      </c>
      <c r="R16" s="714" t="s">
        <v>17</v>
      </c>
      <c r="S16" s="715">
        <f>F16</f>
        <v>100</v>
      </c>
      <c r="T16" s="714" t="s">
        <v>17</v>
      </c>
      <c r="U16" s="715">
        <f>H16</f>
        <v>100</v>
      </c>
      <c r="V16" s="714" t="s">
        <v>17</v>
      </c>
      <c r="W16" s="715">
        <f>J16</f>
        <v>100</v>
      </c>
      <c r="X16" s="1508"/>
      <c r="Y16" s="3465"/>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65"/>
      <c r="Q17" s="1505"/>
      <c r="R17" s="714"/>
      <c r="S17" s="715"/>
      <c r="T17" s="714"/>
      <c r="U17" s="715"/>
      <c r="V17" s="714"/>
      <c r="W17" s="715"/>
      <c r="X17" s="1508"/>
      <c r="Y17" s="3465"/>
      <c r="Z17" s="1509"/>
      <c r="AA17" s="1506">
        <v>1</v>
      </c>
      <c r="AB17" s="1506">
        <v>1</v>
      </c>
      <c r="AC17" s="1506">
        <v>1</v>
      </c>
    </row>
    <row r="18" spans="1:29" ht="15">
      <c r="A18" s="364"/>
      <c r="B18" s="589" t="s">
        <v>2450</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5"/>
      <c r="Q18" s="1505" t="str">
        <f>B18</f>
        <v>基础设施水平</v>
      </c>
      <c r="R18" s="714" t="s">
        <v>17</v>
      </c>
      <c r="S18" s="715">
        <f>F18</f>
        <v>100</v>
      </c>
      <c r="T18" s="714" t="s">
        <v>17</v>
      </c>
      <c r="U18" s="715">
        <f>H18</f>
        <v>100</v>
      </c>
      <c r="V18" s="714" t="s">
        <v>17</v>
      </c>
      <c r="W18" s="715">
        <f>J18</f>
        <v>100</v>
      </c>
      <c r="X18" s="1508"/>
      <c r="Y18" s="3465"/>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65"/>
      <c r="Q19" s="1505"/>
      <c r="R19" s="714"/>
      <c r="S19" s="715"/>
      <c r="T19" s="714"/>
      <c r="U19" s="715"/>
      <c r="V19" s="714"/>
      <c r="W19" s="715"/>
      <c r="X19" s="1508"/>
      <c r="Y19" s="3465"/>
      <c r="Z19" s="1509"/>
      <c r="AA19" s="1506">
        <v>1</v>
      </c>
      <c r="AB19" s="1506">
        <v>1</v>
      </c>
      <c r="AC19" s="1506">
        <v>1</v>
      </c>
    </row>
    <row r="20" spans="1:29" ht="15">
      <c r="A20" s="364"/>
      <c r="B20" s="587" t="s">
        <v>2471</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5"/>
      <c r="Q20" s="1505" t="str">
        <f>B20</f>
        <v>自然及人文环境</v>
      </c>
      <c r="R20" s="714" t="s">
        <v>17</v>
      </c>
      <c r="S20" s="715">
        <f>F20</f>
        <v>100</v>
      </c>
      <c r="T20" s="714" t="s">
        <v>17</v>
      </c>
      <c r="U20" s="715">
        <f>H20</f>
        <v>100</v>
      </c>
      <c r="V20" s="714" t="s">
        <v>17</v>
      </c>
      <c r="W20" s="715">
        <f>J20</f>
        <v>100</v>
      </c>
      <c r="X20" s="1508"/>
      <c r="Y20" s="3465"/>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65"/>
      <c r="Q21" s="1505"/>
      <c r="R21" s="714"/>
      <c r="S21" s="715"/>
      <c r="T21" s="714"/>
      <c r="U21" s="715"/>
      <c r="V21" s="714"/>
      <c r="W21" s="715"/>
      <c r="X21" s="1508"/>
      <c r="Y21" s="3465"/>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5"/>
      <c r="Q22" s="1505" t="str">
        <f>B22</f>
        <v>楼层</v>
      </c>
      <c r="R22" s="714" t="s">
        <v>17</v>
      </c>
      <c r="S22" s="715">
        <f>F22</f>
        <v>100</v>
      </c>
      <c r="T22" s="714" t="s">
        <v>17</v>
      </c>
      <c r="U22" s="715">
        <f>H22</f>
        <v>100</v>
      </c>
      <c r="V22" s="714" t="s">
        <v>17</v>
      </c>
      <c r="W22" s="715">
        <f>J22</f>
        <v>100</v>
      </c>
      <c r="X22" s="1508"/>
      <c r="Y22" s="3465"/>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5"/>
      <c r="Q23" s="1505">
        <f>B23</f>
        <v>111</v>
      </c>
      <c r="R23" s="714" t="s">
        <v>17</v>
      </c>
      <c r="S23" s="715">
        <f>F23</f>
        <v>100</v>
      </c>
      <c r="T23" s="714" t="s">
        <v>17</v>
      </c>
      <c r="U23" s="715">
        <f>H23</f>
        <v>100</v>
      </c>
      <c r="V23" s="714" t="s">
        <v>17</v>
      </c>
      <c r="W23" s="715">
        <f>J23</f>
        <v>100</v>
      </c>
      <c r="X23" s="1508"/>
      <c r="Y23" s="3465"/>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5"/>
      <c r="Q24" s="1505">
        <f t="shared" ref="Q24:Q36" si="11">B24</f>
        <v>111</v>
      </c>
      <c r="R24" s="714" t="s">
        <v>17</v>
      </c>
      <c r="S24" s="715">
        <f>F24</f>
        <v>100</v>
      </c>
      <c r="T24" s="714" t="s">
        <v>17</v>
      </c>
      <c r="U24" s="715">
        <f>H24</f>
        <v>100</v>
      </c>
      <c r="V24" s="714" t="s">
        <v>17</v>
      </c>
      <c r="W24" s="715">
        <f>J24</f>
        <v>100</v>
      </c>
      <c r="X24" s="1508"/>
      <c r="Y24" s="3465"/>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5"/>
      <c r="Q25" s="1496">
        <f t="shared" si="11"/>
        <v>111</v>
      </c>
      <c r="R25" s="710" t="s">
        <v>17</v>
      </c>
      <c r="S25" s="711">
        <f>F25</f>
        <v>100</v>
      </c>
      <c r="T25" s="710" t="s">
        <v>17</v>
      </c>
      <c r="U25" s="711">
        <f>H25</f>
        <v>100</v>
      </c>
      <c r="V25" s="710" t="s">
        <v>17</v>
      </c>
      <c r="W25" s="711">
        <f>J25</f>
        <v>100</v>
      </c>
      <c r="X25" s="712"/>
      <c r="Y25" s="3465"/>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8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66"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6"/>
      <c r="Q28" s="1505" t="str">
        <f t="shared" si="11"/>
        <v>公共部分装修</v>
      </c>
      <c r="R28" s="714" t="s">
        <v>17</v>
      </c>
      <c r="S28" s="715">
        <f t="shared" si="12"/>
        <v>100</v>
      </c>
      <c r="T28" s="714" t="s">
        <v>17</v>
      </c>
      <c r="U28" s="715">
        <f t="shared" si="13"/>
        <v>100</v>
      </c>
      <c r="V28" s="714" t="s">
        <v>17</v>
      </c>
      <c r="W28" s="715">
        <f t="shared" si="14"/>
        <v>100</v>
      </c>
      <c r="X28" s="1508"/>
      <c r="Y28" s="3466"/>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6"/>
      <c r="Q29" s="1505" t="str">
        <f t="shared" si="11"/>
        <v>成新率</v>
      </c>
      <c r="R29" s="714" t="s">
        <v>17</v>
      </c>
      <c r="S29" s="715" t="e">
        <f t="shared" si="12"/>
        <v>#N/A</v>
      </c>
      <c r="T29" s="714" t="s">
        <v>17</v>
      </c>
      <c r="U29" s="715" t="e">
        <f t="shared" si="13"/>
        <v>#N/A</v>
      </c>
      <c r="V29" s="714" t="s">
        <v>17</v>
      </c>
      <c r="W29" s="715" t="e">
        <f t="shared" si="14"/>
        <v>#N/A</v>
      </c>
      <c r="X29" s="1508"/>
      <c r="Y29" s="3466"/>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6"/>
      <c r="Q30" s="1505" t="str">
        <f t="shared" si="11"/>
        <v>物业等级</v>
      </c>
      <c r="R30" s="714" t="s">
        <v>17</v>
      </c>
      <c r="S30" s="715">
        <f t="shared" si="12"/>
        <v>100</v>
      </c>
      <c r="T30" s="714" t="s">
        <v>17</v>
      </c>
      <c r="U30" s="715">
        <f t="shared" si="13"/>
        <v>100</v>
      </c>
      <c r="V30" s="714" t="s">
        <v>17</v>
      </c>
      <c r="W30" s="715">
        <f t="shared" si="14"/>
        <v>100</v>
      </c>
      <c r="X30" s="1508"/>
      <c r="Y30" s="3466"/>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6"/>
      <c r="Q31" s="1496"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6" t="s">
        <v>2326</v>
      </c>
      <c r="Q32" s="1505" t="str">
        <f t="shared" si="11"/>
        <v>车位类型</v>
      </c>
      <c r="R32" s="714" t="s">
        <v>17</v>
      </c>
      <c r="S32" s="715">
        <f t="shared" si="12"/>
        <v>100</v>
      </c>
      <c r="T32" s="714" t="s">
        <v>17</v>
      </c>
      <c r="U32" s="715">
        <f t="shared" si="13"/>
        <v>100</v>
      </c>
      <c r="V32" s="714" t="s">
        <v>17</v>
      </c>
      <c r="W32" s="715">
        <f t="shared" si="14"/>
        <v>100</v>
      </c>
      <c r="X32" s="1508"/>
      <c r="Y32" s="3466"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6"/>
      <c r="Q33" s="1505" t="str">
        <f t="shared" si="11"/>
        <v>是否直接入户</v>
      </c>
      <c r="R33" s="714" t="s">
        <v>17</v>
      </c>
      <c r="S33" s="715">
        <f t="shared" si="12"/>
        <v>100</v>
      </c>
      <c r="T33" s="714" t="s">
        <v>17</v>
      </c>
      <c r="U33" s="715">
        <f t="shared" si="13"/>
        <v>100</v>
      </c>
      <c r="V33" s="714" t="s">
        <v>17</v>
      </c>
      <c r="W33" s="715">
        <f t="shared" si="14"/>
        <v>100</v>
      </c>
      <c r="X33" s="1508"/>
      <c r="Y33" s="346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6"/>
      <c r="Q34" s="1505">
        <f t="shared" si="11"/>
        <v>111</v>
      </c>
      <c r="R34" s="714" t="s">
        <v>17</v>
      </c>
      <c r="S34" s="715">
        <f t="shared" si="12"/>
        <v>100</v>
      </c>
      <c r="T34" s="714" t="s">
        <v>17</v>
      </c>
      <c r="U34" s="715">
        <f t="shared" si="13"/>
        <v>100</v>
      </c>
      <c r="V34" s="714" t="s">
        <v>17</v>
      </c>
      <c r="W34" s="715">
        <f t="shared" si="14"/>
        <v>100</v>
      </c>
      <c r="X34" s="1508"/>
      <c r="Y34" s="346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6"/>
      <c r="Q36" s="1505">
        <f t="shared" si="11"/>
        <v>111</v>
      </c>
      <c r="R36" s="714" t="s">
        <v>17</v>
      </c>
      <c r="S36" s="715">
        <f t="shared" si="12"/>
        <v>100</v>
      </c>
      <c r="T36" s="714" t="s">
        <v>17</v>
      </c>
      <c r="U36" s="715">
        <f t="shared" si="13"/>
        <v>100</v>
      </c>
      <c r="V36" s="714" t="s">
        <v>17</v>
      </c>
      <c r="W36" s="715">
        <f t="shared" si="14"/>
        <v>100</v>
      </c>
      <c r="X36" s="1508"/>
      <c r="Y36" s="3466"/>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45" t="str">
        <f>A37</f>
        <v>成交单价</v>
      </c>
      <c r="Q37" s="3445"/>
      <c r="R37" s="3539">
        <f>E37</f>
        <v>0</v>
      </c>
      <c r="S37" s="3539"/>
      <c r="T37" s="3539">
        <f>G37</f>
        <v>0</v>
      </c>
      <c r="U37" s="3539"/>
      <c r="V37" s="3539">
        <f>I37</f>
        <v>0</v>
      </c>
      <c r="W37" s="3539"/>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45" t="str">
        <f>A38</f>
        <v>比较价值（元/平方米）</v>
      </c>
      <c r="Q38" s="3445"/>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2" t="str">
        <f>A39</f>
        <v>估价对象XX用房的比较价值（楼面单价，元/平方米）</v>
      </c>
      <c r="Q39" s="3483"/>
      <c r="R39" s="3566" t="e">
        <f>IF(F1="售价",ROUND(IF(D38="简单平均",AVERAGE(R38:W38),R38*F38+T38*H38+V38*J38),0),ROUND(IF(D38="简单平均",AVERAGE(R38:V38),R38*F38+T38*H38+V38*J38),1))</f>
        <v>#DIV/0!</v>
      </c>
      <c r="S39" s="3566"/>
      <c r="T39" s="3566"/>
      <c r="U39" s="3566"/>
      <c r="V39" s="3566"/>
      <c r="W39" s="3566"/>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42" t="s">
        <v>2407</v>
      </c>
      <c r="D4" s="3470"/>
      <c r="E4" s="3471" t="s">
        <v>2408</v>
      </c>
      <c r="F4" s="3472"/>
      <c r="G4" s="3442" t="s">
        <v>2409</v>
      </c>
      <c r="H4" s="3470"/>
      <c r="I4" s="3442" t="s">
        <v>2410</v>
      </c>
      <c r="J4" s="3470"/>
      <c r="K4" s="567" t="s">
        <v>2411</v>
      </c>
      <c r="L4" s="2913"/>
      <c r="M4" s="2914"/>
      <c r="N4" s="2914"/>
      <c r="O4" s="2914"/>
      <c r="P4" s="3473" t="s">
        <v>2412</v>
      </c>
      <c r="Q4" s="3474"/>
      <c r="R4" s="3449" t="s">
        <v>2408</v>
      </c>
      <c r="S4" s="3450"/>
      <c r="T4" s="3449" t="s">
        <v>2409</v>
      </c>
      <c r="U4" s="3450"/>
      <c r="V4" s="3463" t="s">
        <v>2410</v>
      </c>
      <c r="W4" s="3463"/>
      <c r="X4" s="1508"/>
      <c r="Y4" s="3449" t="s">
        <v>2412</v>
      </c>
      <c r="Z4" s="3450"/>
      <c r="AA4" s="3467" t="s">
        <v>2408</v>
      </c>
      <c r="AB4" s="3468" t="s">
        <v>2409</v>
      </c>
      <c r="AC4" s="3467" t="s">
        <v>2410</v>
      </c>
    </row>
    <row r="5" spans="1:29" ht="15">
      <c r="A5" s="364"/>
      <c r="B5" s="365"/>
      <c r="C5" s="3453" t="s">
        <v>2303</v>
      </c>
      <c r="D5" s="3454"/>
      <c r="E5" s="3550" t="s">
        <v>2304</v>
      </c>
      <c r="F5" s="3480"/>
      <c r="G5" s="3453" t="s">
        <v>2305</v>
      </c>
      <c r="H5" s="3454"/>
      <c r="I5" s="3453" t="s">
        <v>2306</v>
      </c>
      <c r="J5" s="3454"/>
      <c r="K5" s="567"/>
      <c r="L5" s="2913"/>
      <c r="M5" s="2914"/>
      <c r="N5" s="2914"/>
      <c r="O5" s="2914"/>
      <c r="P5" s="3475"/>
      <c r="Q5" s="3476"/>
      <c r="R5" s="3451"/>
      <c r="S5" s="3452"/>
      <c r="T5" s="3451"/>
      <c r="U5" s="3452"/>
      <c r="V5" s="3463"/>
      <c r="W5" s="3463"/>
      <c r="X5" s="1508"/>
      <c r="Y5" s="3451"/>
      <c r="Z5" s="3452"/>
      <c r="AA5" s="3468"/>
      <c r="AB5" s="3468"/>
      <c r="AC5" s="3468"/>
    </row>
    <row r="6" spans="1:29" ht="15.75" thickBot="1">
      <c r="A6" s="366"/>
      <c r="B6" s="367"/>
      <c r="C6" s="3546" t="s">
        <v>2307</v>
      </c>
      <c r="D6" s="3547"/>
      <c r="E6" s="3548" t="s">
        <v>2307</v>
      </c>
      <c r="F6" s="3549"/>
      <c r="G6" s="3546" t="s">
        <v>2307</v>
      </c>
      <c r="H6" s="3547"/>
      <c r="I6" s="3546" t="s">
        <v>2307</v>
      </c>
      <c r="J6" s="3547"/>
      <c r="K6" s="567" t="s">
        <v>2308</v>
      </c>
      <c r="L6" s="2913"/>
      <c r="M6" s="2914"/>
      <c r="N6" s="2914"/>
      <c r="O6" s="2914"/>
      <c r="P6" s="3477"/>
      <c r="Q6" s="3478"/>
      <c r="R6" s="3451"/>
      <c r="S6" s="3452"/>
      <c r="T6" s="3461"/>
      <c r="U6" s="3462"/>
      <c r="V6" s="3463"/>
      <c r="W6" s="3463"/>
      <c r="X6" s="1508"/>
      <c r="Y6" s="3461"/>
      <c r="Z6" s="3462"/>
      <c r="AA6" s="3469"/>
      <c r="AB6" s="3469"/>
      <c r="AC6" s="3469"/>
    </row>
    <row r="7" spans="1:29" s="113" customFormat="1" ht="15.75" thickBot="1">
      <c r="A7" s="368" t="s">
        <v>2309</v>
      </c>
      <c r="B7" s="369"/>
      <c r="C7" s="370">
        <f>'数据-取费表'!B2</f>
        <v>44638</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47" t="s">
        <v>2310</v>
      </c>
      <c r="Q7" s="3458"/>
      <c r="R7" s="710" t="s">
        <v>17</v>
      </c>
      <c r="S7" s="711">
        <f t="shared" ref="S7:S14" si="0">F7</f>
        <v>0</v>
      </c>
      <c r="T7" s="710" t="s">
        <v>17</v>
      </c>
      <c r="U7" s="711">
        <f t="shared" ref="U7:U14" si="1">H7</f>
        <v>0</v>
      </c>
      <c r="V7" s="710" t="s">
        <v>17</v>
      </c>
      <c r="W7" s="711">
        <f t="shared" ref="W7:W14" si="2">J7</f>
        <v>0</v>
      </c>
      <c r="X7" s="712"/>
      <c r="Y7" s="3447" t="s">
        <v>2310</v>
      </c>
      <c r="Z7" s="344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47" t="s">
        <v>2313</v>
      </c>
      <c r="Q8" s="3448"/>
      <c r="R8" s="710" t="s">
        <v>17</v>
      </c>
      <c r="S8" s="711">
        <f t="shared" si="0"/>
        <v>0</v>
      </c>
      <c r="T8" s="710" t="s">
        <v>17</v>
      </c>
      <c r="U8" s="711">
        <f t="shared" si="1"/>
        <v>0</v>
      </c>
      <c r="V8" s="710" t="s">
        <v>17</v>
      </c>
      <c r="W8" s="711">
        <f t="shared" si="2"/>
        <v>0</v>
      </c>
      <c r="X8" s="712"/>
      <c r="Y8" s="3447" t="s">
        <v>2313</v>
      </c>
      <c r="Z8" s="344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45" t="s">
        <v>2316</v>
      </c>
      <c r="Q9" s="1496" t="str">
        <f t="shared" ref="Q9:Q14" si="6">B9</f>
        <v>用途</v>
      </c>
      <c r="R9" s="710" t="s">
        <v>17</v>
      </c>
      <c r="S9" s="711">
        <f t="shared" si="0"/>
        <v>100</v>
      </c>
      <c r="T9" s="710" t="s">
        <v>17</v>
      </c>
      <c r="U9" s="711">
        <f t="shared" si="1"/>
        <v>100</v>
      </c>
      <c r="V9" s="710" t="s">
        <v>17</v>
      </c>
      <c r="W9" s="711">
        <f t="shared" si="2"/>
        <v>100</v>
      </c>
      <c r="X9" s="712"/>
      <c r="Y9" s="334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45"/>
      <c r="Q10" s="1496"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45"/>
      <c r="Q11" s="1496">
        <f t="shared" si="6"/>
        <v>111</v>
      </c>
      <c r="R11" s="710" t="s">
        <v>17</v>
      </c>
      <c r="S11" s="711">
        <f t="shared" si="0"/>
        <v>100</v>
      </c>
      <c r="T11" s="710" t="s">
        <v>17</v>
      </c>
      <c r="U11" s="711">
        <f t="shared" si="1"/>
        <v>100</v>
      </c>
      <c r="V11" s="710" t="s">
        <v>17</v>
      </c>
      <c r="W11" s="711">
        <f t="shared" si="2"/>
        <v>100</v>
      </c>
      <c r="X11" s="712"/>
      <c r="Y11" s="334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45"/>
      <c r="Q12" s="1496">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45"/>
      <c r="Q13" s="1496">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
      <c r="A14" s="399" t="s">
        <v>2320</v>
      </c>
      <c r="B14" s="65" t="s">
        <v>2470</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4" t="s">
        <v>2321</v>
      </c>
      <c r="Q14" s="1505" t="str">
        <f t="shared" si="6"/>
        <v>交通便捷度</v>
      </c>
      <c r="R14" s="714" t="s">
        <v>17</v>
      </c>
      <c r="S14" s="715">
        <f t="shared" si="0"/>
        <v>100</v>
      </c>
      <c r="T14" s="714" t="s">
        <v>17</v>
      </c>
      <c r="U14" s="715">
        <f t="shared" si="1"/>
        <v>100</v>
      </c>
      <c r="V14" s="714" t="s">
        <v>17</v>
      </c>
      <c r="W14" s="715">
        <f t="shared" si="2"/>
        <v>100</v>
      </c>
      <c r="X14" s="1508"/>
      <c r="Y14" s="3464"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65"/>
      <c r="Q15" s="1505"/>
      <c r="R15" s="714"/>
      <c r="S15" s="715"/>
      <c r="T15" s="714"/>
      <c r="U15" s="715"/>
      <c r="V15" s="714"/>
      <c r="W15" s="715"/>
      <c r="X15" s="1508"/>
      <c r="Y15" s="3465"/>
      <c r="Z15" s="1509"/>
      <c r="AA15" s="1506">
        <v>1</v>
      </c>
      <c r="AB15" s="1506">
        <v>1</v>
      </c>
      <c r="AC15" s="1506">
        <v>1</v>
      </c>
    </row>
    <row r="16" spans="1:29" ht="15">
      <c r="A16" s="387"/>
      <c r="B16" s="410" t="s">
        <v>2449</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5"/>
      <c r="Q16" s="1505" t="str">
        <f>B16</f>
        <v>公共配套设施</v>
      </c>
      <c r="R16" s="714" t="s">
        <v>17</v>
      </c>
      <c r="S16" s="715">
        <f>F16</f>
        <v>100</v>
      </c>
      <c r="T16" s="714" t="s">
        <v>17</v>
      </c>
      <c r="U16" s="715">
        <f>H16</f>
        <v>100</v>
      </c>
      <c r="V16" s="714" t="s">
        <v>17</v>
      </c>
      <c r="W16" s="715">
        <f>J16</f>
        <v>100</v>
      </c>
      <c r="X16" s="1508"/>
      <c r="Y16" s="3465"/>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65"/>
      <c r="Q17" s="1505"/>
      <c r="R17" s="714"/>
      <c r="S17" s="715"/>
      <c r="T17" s="714"/>
      <c r="U17" s="715"/>
      <c r="V17" s="714"/>
      <c r="W17" s="715"/>
      <c r="X17" s="1508"/>
      <c r="Y17" s="3465"/>
      <c r="Z17" s="1509"/>
      <c r="AA17" s="1506">
        <v>1</v>
      </c>
      <c r="AB17" s="1506">
        <v>1</v>
      </c>
      <c r="AC17" s="1506">
        <v>1</v>
      </c>
    </row>
    <row r="18" spans="1:29" ht="15">
      <c r="A18" s="387"/>
      <c r="B18" s="1265" t="s">
        <v>2450</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5"/>
      <c r="Q18" s="1505" t="str">
        <f>B18</f>
        <v>基础设施水平</v>
      </c>
      <c r="R18" s="714" t="s">
        <v>17</v>
      </c>
      <c r="S18" s="715">
        <f>F18</f>
        <v>100</v>
      </c>
      <c r="T18" s="714" t="s">
        <v>17</v>
      </c>
      <c r="U18" s="715">
        <f>H18</f>
        <v>100</v>
      </c>
      <c r="V18" s="714" t="s">
        <v>17</v>
      </c>
      <c r="W18" s="715">
        <f>J18</f>
        <v>100</v>
      </c>
      <c r="X18" s="1508"/>
      <c r="Y18" s="3465"/>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65"/>
      <c r="Q19" s="1505"/>
      <c r="R19" s="714"/>
      <c r="S19" s="715"/>
      <c r="T19" s="714"/>
      <c r="U19" s="715"/>
      <c r="V19" s="714"/>
      <c r="W19" s="715"/>
      <c r="X19" s="1508"/>
      <c r="Y19" s="3465"/>
      <c r="Z19" s="1509"/>
      <c r="AA19" s="1506">
        <v>1</v>
      </c>
      <c r="AB19" s="1506">
        <v>1</v>
      </c>
      <c r="AC19" s="1506">
        <v>1</v>
      </c>
    </row>
    <row r="20" spans="1:29" ht="15">
      <c r="A20" s="387"/>
      <c r="B20" s="410" t="s">
        <v>2471</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5"/>
      <c r="Q20" s="1505" t="str">
        <f>B20</f>
        <v>自然及人文环境</v>
      </c>
      <c r="R20" s="714" t="s">
        <v>17</v>
      </c>
      <c r="S20" s="715">
        <f>F20</f>
        <v>100</v>
      </c>
      <c r="T20" s="714" t="s">
        <v>17</v>
      </c>
      <c r="U20" s="715">
        <f>H20</f>
        <v>100</v>
      </c>
      <c r="V20" s="714" t="s">
        <v>17</v>
      </c>
      <c r="W20" s="715">
        <f>J20</f>
        <v>100</v>
      </c>
      <c r="X20" s="1508"/>
      <c r="Y20" s="3465"/>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65"/>
      <c r="Q21" s="1505"/>
      <c r="R21" s="714"/>
      <c r="S21" s="715"/>
      <c r="T21" s="714"/>
      <c r="U21" s="715"/>
      <c r="V21" s="714"/>
      <c r="W21" s="715"/>
      <c r="X21" s="1508"/>
      <c r="Y21" s="3465"/>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5"/>
      <c r="Q22" s="1505" t="str">
        <f>B22</f>
        <v>楼层</v>
      </c>
      <c r="R22" s="714" t="s">
        <v>17</v>
      </c>
      <c r="S22" s="715">
        <f>F22</f>
        <v>100</v>
      </c>
      <c r="T22" s="714" t="s">
        <v>17</v>
      </c>
      <c r="U22" s="715">
        <f>H22</f>
        <v>100</v>
      </c>
      <c r="V22" s="714" t="s">
        <v>17</v>
      </c>
      <c r="W22" s="715">
        <f>J22</f>
        <v>100</v>
      </c>
      <c r="X22" s="1508"/>
      <c r="Y22" s="3465"/>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5"/>
      <c r="Q23" s="1505">
        <f>B23</f>
        <v>111</v>
      </c>
      <c r="R23" s="714" t="s">
        <v>17</v>
      </c>
      <c r="S23" s="715">
        <f>F23</f>
        <v>100</v>
      </c>
      <c r="T23" s="714" t="s">
        <v>17</v>
      </c>
      <c r="U23" s="715">
        <f>H23</f>
        <v>100</v>
      </c>
      <c r="V23" s="714" t="s">
        <v>17</v>
      </c>
      <c r="W23" s="715">
        <f>J23</f>
        <v>100</v>
      </c>
      <c r="X23" s="1508"/>
      <c r="Y23" s="3465"/>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5"/>
      <c r="Q24" s="1505">
        <f t="shared" ref="Q24:Q34" si="11">B24</f>
        <v>111</v>
      </c>
      <c r="R24" s="714" t="s">
        <v>17</v>
      </c>
      <c r="S24" s="715">
        <f>F24</f>
        <v>100</v>
      </c>
      <c r="T24" s="714" t="s">
        <v>17</v>
      </c>
      <c r="U24" s="715">
        <f>H24</f>
        <v>100</v>
      </c>
      <c r="V24" s="714" t="s">
        <v>17</v>
      </c>
      <c r="W24" s="715">
        <f>J24</f>
        <v>100</v>
      </c>
      <c r="X24" s="1508"/>
      <c r="Y24" s="3465"/>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65"/>
      <c r="Q25" s="1496">
        <f t="shared" si="11"/>
        <v>111</v>
      </c>
      <c r="R25" s="710" t="s">
        <v>17</v>
      </c>
      <c r="S25" s="711">
        <f>F25</f>
        <v>100</v>
      </c>
      <c r="T25" s="710" t="s">
        <v>17</v>
      </c>
      <c r="U25" s="711">
        <f>H25</f>
        <v>100</v>
      </c>
      <c r="V25" s="710" t="s">
        <v>17</v>
      </c>
      <c r="W25" s="711">
        <f>J25</f>
        <v>100</v>
      </c>
      <c r="X25" s="712"/>
      <c r="Y25" s="3465"/>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8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66"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6"/>
      <c r="Q28" s="1505" t="str">
        <f t="shared" si="11"/>
        <v>物业等级</v>
      </c>
      <c r="R28" s="714" t="s">
        <v>17</v>
      </c>
      <c r="S28" s="715">
        <f t="shared" si="12"/>
        <v>100</v>
      </c>
      <c r="T28" s="714" t="s">
        <v>17</v>
      </c>
      <c r="U28" s="715">
        <f t="shared" si="13"/>
        <v>100</v>
      </c>
      <c r="V28" s="714" t="s">
        <v>17</v>
      </c>
      <c r="W28" s="715">
        <f t="shared" si="14"/>
        <v>100</v>
      </c>
      <c r="X28" s="1508"/>
      <c r="Y28" s="3466"/>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6"/>
      <c r="Q29" s="1505" t="str">
        <f t="shared" si="11"/>
        <v>有无电梯</v>
      </c>
      <c r="R29" s="714" t="s">
        <v>17</v>
      </c>
      <c r="S29" s="715">
        <f t="shared" si="12"/>
        <v>100</v>
      </c>
      <c r="T29" s="714" t="s">
        <v>17</v>
      </c>
      <c r="U29" s="715">
        <f t="shared" si="13"/>
        <v>100</v>
      </c>
      <c r="V29" s="714" t="s">
        <v>17</v>
      </c>
      <c r="W29" s="715">
        <f t="shared" si="14"/>
        <v>100</v>
      </c>
      <c r="X29" s="1508"/>
      <c r="Y29" s="3466"/>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6"/>
      <c r="Q30" s="1505" t="str">
        <f t="shared" si="11"/>
        <v>建筑面积</v>
      </c>
      <c r="R30" s="714" t="s">
        <v>17</v>
      </c>
      <c r="S30" s="715" t="e">
        <f t="shared" si="12"/>
        <v>#N/A</v>
      </c>
      <c r="T30" s="714" t="s">
        <v>17</v>
      </c>
      <c r="U30" s="715" t="e">
        <f t="shared" si="13"/>
        <v>#N/A</v>
      </c>
      <c r="V30" s="714" t="s">
        <v>17</v>
      </c>
      <c r="W30" s="715" t="e">
        <f t="shared" si="14"/>
        <v>#N/A</v>
      </c>
      <c r="X30" s="1508"/>
      <c r="Y30" s="3466"/>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6"/>
      <c r="Q31" s="1496"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6" t="s">
        <v>2326</v>
      </c>
      <c r="Q32" s="1505">
        <f t="shared" si="11"/>
        <v>111</v>
      </c>
      <c r="R32" s="714" t="s">
        <v>17</v>
      </c>
      <c r="S32" s="715">
        <f t="shared" si="12"/>
        <v>100</v>
      </c>
      <c r="T32" s="714" t="s">
        <v>17</v>
      </c>
      <c r="U32" s="715">
        <f t="shared" si="13"/>
        <v>100</v>
      </c>
      <c r="V32" s="714" t="s">
        <v>17</v>
      </c>
      <c r="W32" s="715">
        <f t="shared" si="14"/>
        <v>100</v>
      </c>
      <c r="X32" s="1508"/>
      <c r="Y32" s="3466"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6"/>
      <c r="Q33" s="1505">
        <f t="shared" si="11"/>
        <v>111</v>
      </c>
      <c r="R33" s="714" t="s">
        <v>17</v>
      </c>
      <c r="S33" s="715">
        <f t="shared" si="12"/>
        <v>100</v>
      </c>
      <c r="T33" s="714" t="s">
        <v>17</v>
      </c>
      <c r="U33" s="715">
        <f t="shared" si="13"/>
        <v>100</v>
      </c>
      <c r="V33" s="714" t="s">
        <v>17</v>
      </c>
      <c r="W33" s="715">
        <f t="shared" si="14"/>
        <v>100</v>
      </c>
      <c r="X33" s="1508"/>
      <c r="Y33" s="3466"/>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66"/>
      <c r="Q34" s="1505">
        <f t="shared" si="11"/>
        <v>111</v>
      </c>
      <c r="R34" s="714" t="s">
        <v>17</v>
      </c>
      <c r="S34" s="715">
        <f t="shared" si="12"/>
        <v>100</v>
      </c>
      <c r="T34" s="714" t="s">
        <v>17</v>
      </c>
      <c r="U34" s="715">
        <f t="shared" si="13"/>
        <v>100</v>
      </c>
      <c r="V34" s="714" t="s">
        <v>17</v>
      </c>
      <c r="W34" s="715">
        <f t="shared" si="14"/>
        <v>100</v>
      </c>
      <c r="X34" s="1508"/>
      <c r="Y34" s="3466"/>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45" t="str">
        <f>A35</f>
        <v>成交单价（元/平方米）</v>
      </c>
      <c r="Q35" s="3445"/>
      <c r="R35" s="3539">
        <f>E35</f>
        <v>0</v>
      </c>
      <c r="S35" s="3539"/>
      <c r="T35" s="3539">
        <f>G35</f>
        <v>0</v>
      </c>
      <c r="U35" s="3539"/>
      <c r="V35" s="3539">
        <f>I35</f>
        <v>0</v>
      </c>
      <c r="W35" s="3539"/>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45" t="str">
        <f>A36</f>
        <v>比较价值（元/平方米）</v>
      </c>
      <c r="Q36" s="3445"/>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2" t="str">
        <f>A37</f>
        <v>估价对象XX用房的比较价值（楼面单价，元/平方米）</v>
      </c>
      <c r="Q37" s="3483"/>
      <c r="R37" s="3566" t="e">
        <f>IF(F1="售价",ROUND(IF(D36="简单平均",AVERAGE(R36:W36),R36*F36+T36*H36+V36*J36),0),ROUND(IF(D36="简单平均",AVERAGE(R36:V36),R36*F36+T36*H36+V36*J36),1))</f>
        <v>#DIV/0!</v>
      </c>
      <c r="S37" s="3566"/>
      <c r="T37" s="3566"/>
      <c r="U37" s="3566"/>
      <c r="V37" s="3566"/>
      <c r="W37" s="3566"/>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42" t="s">
        <v>2407</v>
      </c>
      <c r="D4" s="3470"/>
      <c r="E4" s="3471" t="s">
        <v>2408</v>
      </c>
      <c r="F4" s="3472"/>
      <c r="G4" s="3442" t="s">
        <v>2409</v>
      </c>
      <c r="H4" s="3470"/>
      <c r="I4" s="3442" t="s">
        <v>2410</v>
      </c>
      <c r="J4" s="3470"/>
      <c r="K4" s="567" t="s">
        <v>2411</v>
      </c>
      <c r="L4" s="2913"/>
      <c r="M4" s="2914"/>
      <c r="N4" s="2914"/>
      <c r="O4" s="2914"/>
      <c r="P4" s="3473" t="s">
        <v>2412</v>
      </c>
      <c r="Q4" s="3474"/>
      <c r="R4" s="3449" t="s">
        <v>2408</v>
      </c>
      <c r="S4" s="3450"/>
      <c r="T4" s="3449" t="s">
        <v>2409</v>
      </c>
      <c r="U4" s="3450"/>
      <c r="V4" s="3463" t="s">
        <v>2410</v>
      </c>
      <c r="W4" s="3463"/>
      <c r="X4" s="1508"/>
      <c r="Y4" s="3449" t="s">
        <v>2412</v>
      </c>
      <c r="Z4" s="3450"/>
      <c r="AA4" s="3467" t="s">
        <v>2408</v>
      </c>
      <c r="AB4" s="3468" t="s">
        <v>2409</v>
      </c>
      <c r="AC4" s="3467" t="s">
        <v>2410</v>
      </c>
    </row>
    <row r="5" spans="1:30" ht="15">
      <c r="A5" s="364"/>
      <c r="B5" s="365"/>
      <c r="C5" s="3453" t="s">
        <v>2303</v>
      </c>
      <c r="D5" s="3454"/>
      <c r="E5" s="3550" t="s">
        <v>2304</v>
      </c>
      <c r="F5" s="3480"/>
      <c r="G5" s="3453" t="s">
        <v>2305</v>
      </c>
      <c r="H5" s="3454"/>
      <c r="I5" s="3453" t="s">
        <v>2306</v>
      </c>
      <c r="J5" s="3454"/>
      <c r="K5" s="567"/>
      <c r="L5" s="2913"/>
      <c r="M5" s="2914"/>
      <c r="N5" s="2914"/>
      <c r="O5" s="2914"/>
      <c r="P5" s="3475"/>
      <c r="Q5" s="3476"/>
      <c r="R5" s="3451"/>
      <c r="S5" s="3452"/>
      <c r="T5" s="3451"/>
      <c r="U5" s="3452"/>
      <c r="V5" s="3463"/>
      <c r="W5" s="3463"/>
      <c r="X5" s="1508"/>
      <c r="Y5" s="3451"/>
      <c r="Z5" s="3452"/>
      <c r="AA5" s="3468"/>
      <c r="AB5" s="3468"/>
      <c r="AC5" s="3468"/>
    </row>
    <row r="6" spans="1:30" ht="15.75" thickBot="1">
      <c r="A6" s="366"/>
      <c r="B6" s="367"/>
      <c r="C6" s="3546" t="s">
        <v>2307</v>
      </c>
      <c r="D6" s="3547"/>
      <c r="E6" s="3548" t="s">
        <v>2307</v>
      </c>
      <c r="F6" s="3549"/>
      <c r="G6" s="3546" t="s">
        <v>2307</v>
      </c>
      <c r="H6" s="3547"/>
      <c r="I6" s="3546" t="s">
        <v>2307</v>
      </c>
      <c r="J6" s="3547"/>
      <c r="K6" s="567" t="s">
        <v>2308</v>
      </c>
      <c r="L6" s="2913"/>
      <c r="M6" s="2914"/>
      <c r="N6" s="2914"/>
      <c r="O6" s="2914"/>
      <c r="P6" s="3477"/>
      <c r="Q6" s="3478"/>
      <c r="R6" s="3451"/>
      <c r="S6" s="3452"/>
      <c r="T6" s="3461"/>
      <c r="U6" s="3462"/>
      <c r="V6" s="3463"/>
      <c r="W6" s="3463"/>
      <c r="X6" s="1508"/>
      <c r="Y6" s="3461"/>
      <c r="Z6" s="3462"/>
      <c r="AA6" s="3469"/>
      <c r="AB6" s="3469"/>
      <c r="AC6" s="3469"/>
    </row>
    <row r="7" spans="1:30" s="113" customFormat="1" ht="15.75" thickBot="1">
      <c r="A7" s="368" t="s">
        <v>2309</v>
      </c>
      <c r="B7" s="369"/>
      <c r="C7" s="370">
        <f>'数据-取费表'!B2</f>
        <v>44638</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47" t="s">
        <v>2310</v>
      </c>
      <c r="Q7" s="3458"/>
      <c r="R7" s="710" t="s">
        <v>17</v>
      </c>
      <c r="S7" s="711">
        <f t="shared" ref="S7:S15" si="0">F7</f>
        <v>0</v>
      </c>
      <c r="T7" s="710" t="s">
        <v>17</v>
      </c>
      <c r="U7" s="711">
        <f t="shared" ref="U7:U15" si="1">H7</f>
        <v>0</v>
      </c>
      <c r="V7" s="710" t="s">
        <v>17</v>
      </c>
      <c r="W7" s="711">
        <f t="shared" ref="W7:W15" si="2">J7</f>
        <v>0</v>
      </c>
      <c r="X7" s="712"/>
      <c r="Y7" s="3447" t="s">
        <v>2310</v>
      </c>
      <c r="Z7" s="344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47" t="s">
        <v>2313</v>
      </c>
      <c r="Q8" s="3448"/>
      <c r="R8" s="710" t="s">
        <v>17</v>
      </c>
      <c r="S8" s="711">
        <f t="shared" si="0"/>
        <v>0</v>
      </c>
      <c r="T8" s="710" t="s">
        <v>17</v>
      </c>
      <c r="U8" s="711">
        <f t="shared" si="1"/>
        <v>0</v>
      </c>
      <c r="V8" s="710" t="s">
        <v>17</v>
      </c>
      <c r="W8" s="711">
        <f t="shared" si="2"/>
        <v>0</v>
      </c>
      <c r="X8" s="712"/>
      <c r="Y8" s="3447" t="s">
        <v>2313</v>
      </c>
      <c r="Z8" s="3448"/>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45" t="s">
        <v>2316</v>
      </c>
      <c r="Q9" s="1496" t="str">
        <f t="shared" ref="Q9:Q15" si="6">B9</f>
        <v>用途</v>
      </c>
      <c r="R9" s="710" t="s">
        <v>17</v>
      </c>
      <c r="S9" s="711">
        <f t="shared" si="0"/>
        <v>100</v>
      </c>
      <c r="T9" s="710" t="s">
        <v>17</v>
      </c>
      <c r="U9" s="711">
        <f t="shared" si="1"/>
        <v>100</v>
      </c>
      <c r="V9" s="710" t="s">
        <v>17</v>
      </c>
      <c r="W9" s="711">
        <f t="shared" si="2"/>
        <v>100</v>
      </c>
      <c r="X9" s="712"/>
      <c r="Y9" s="334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7"/>
      <c r="M10" s="2918"/>
      <c r="N10" s="2918"/>
      <c r="O10" s="2971"/>
      <c r="P10" s="3445"/>
      <c r="Q10" s="1496" t="str">
        <f t="shared" si="6"/>
        <v>土地使用年限（年）</v>
      </c>
      <c r="R10" s="710" t="s">
        <v>17</v>
      </c>
      <c r="S10" s="711">
        <f t="shared" si="0"/>
        <v>109</v>
      </c>
      <c r="T10" s="710" t="s">
        <v>17</v>
      </c>
      <c r="U10" s="711">
        <f t="shared" si="1"/>
        <v>109</v>
      </c>
      <c r="V10" s="710" t="s">
        <v>17</v>
      </c>
      <c r="W10" s="711">
        <f t="shared" si="2"/>
        <v>109</v>
      </c>
      <c r="X10" s="712"/>
      <c r="Y10" s="3343"/>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45"/>
      <c r="Q11" s="1496"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45"/>
      <c r="Q12" s="1496" t="str">
        <f t="shared" si="6"/>
        <v>配建</v>
      </c>
      <c r="R12" s="710" t="s">
        <v>17</v>
      </c>
      <c r="S12" s="711">
        <f t="shared" si="0"/>
        <v>100</v>
      </c>
      <c r="T12" s="710" t="s">
        <v>17</v>
      </c>
      <c r="U12" s="711">
        <f t="shared" si="1"/>
        <v>100</v>
      </c>
      <c r="V12" s="710" t="s">
        <v>17</v>
      </c>
      <c r="W12" s="711">
        <f t="shared" si="2"/>
        <v>100</v>
      </c>
      <c r="X12" s="712"/>
      <c r="Y12" s="334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45"/>
      <c r="Q13" s="1496">
        <f t="shared" si="6"/>
        <v>111</v>
      </c>
      <c r="R13" s="710" t="s">
        <v>17</v>
      </c>
      <c r="S13" s="711">
        <f t="shared" si="0"/>
        <v>100</v>
      </c>
      <c r="T13" s="710" t="s">
        <v>17</v>
      </c>
      <c r="U13" s="711">
        <f t="shared" si="1"/>
        <v>100</v>
      </c>
      <c r="V13" s="710" t="s">
        <v>17</v>
      </c>
      <c r="W13" s="711">
        <f t="shared" si="2"/>
        <v>100</v>
      </c>
      <c r="X13" s="712"/>
      <c r="Y13" s="334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45"/>
      <c r="Q14" s="1496">
        <f t="shared" si="6"/>
        <v>111</v>
      </c>
      <c r="R14" s="710" t="s">
        <v>17</v>
      </c>
      <c r="S14" s="711">
        <f t="shared" si="0"/>
        <v>100</v>
      </c>
      <c r="T14" s="710" t="s">
        <v>17</v>
      </c>
      <c r="U14" s="711">
        <f t="shared" si="1"/>
        <v>100</v>
      </c>
      <c r="V14" s="710" t="s">
        <v>17</v>
      </c>
      <c r="W14" s="711">
        <f t="shared" si="2"/>
        <v>100</v>
      </c>
      <c r="X14" s="712"/>
      <c r="Y14" s="3343"/>
      <c r="Z14" s="55">
        <f t="shared" si="7"/>
        <v>111</v>
      </c>
      <c r="AA14" s="713">
        <f>D14/F14</f>
        <v>1</v>
      </c>
      <c r="AB14" s="713">
        <f>D14/H14</f>
        <v>1</v>
      </c>
      <c r="AC14" s="713">
        <f>D14/J14</f>
        <v>1</v>
      </c>
    </row>
    <row r="15" spans="1:30" ht="15">
      <c r="A15" s="399" t="s">
        <v>2320</v>
      </c>
      <c r="B15" s="65" t="s">
        <v>1883</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4" t="s">
        <v>2321</v>
      </c>
      <c r="Q15" s="1505" t="str">
        <f t="shared" si="6"/>
        <v>居住社区成熟度</v>
      </c>
      <c r="R15" s="714" t="s">
        <v>17</v>
      </c>
      <c r="S15" s="715">
        <f t="shared" si="0"/>
        <v>100</v>
      </c>
      <c r="T15" s="714" t="s">
        <v>17</v>
      </c>
      <c r="U15" s="715">
        <f t="shared" si="1"/>
        <v>100</v>
      </c>
      <c r="V15" s="714" t="s">
        <v>17</v>
      </c>
      <c r="W15" s="715">
        <f t="shared" si="2"/>
        <v>100</v>
      </c>
      <c r="X15" s="1508"/>
      <c r="Y15" s="3464"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65"/>
      <c r="Q16" s="1505"/>
      <c r="R16" s="714"/>
      <c r="S16" s="715"/>
      <c r="T16" s="714"/>
      <c r="U16" s="715"/>
      <c r="V16" s="714"/>
      <c r="W16" s="715"/>
      <c r="X16" s="1508"/>
      <c r="Y16" s="3465"/>
      <c r="Z16" s="1509"/>
      <c r="AA16" s="1506">
        <v>1</v>
      </c>
      <c r="AB16" s="1506">
        <v>1</v>
      </c>
      <c r="AC16" s="1506">
        <v>1</v>
      </c>
    </row>
    <row r="17" spans="1:29" ht="15">
      <c r="A17" s="387"/>
      <c r="B17" s="410" t="s">
        <v>2414</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65"/>
      <c r="Q17" s="1505" t="str">
        <f>B17</f>
        <v>商业繁华度</v>
      </c>
      <c r="R17" s="714" t="s">
        <v>17</v>
      </c>
      <c r="S17" s="715">
        <f>F17</f>
        <v>100</v>
      </c>
      <c r="T17" s="714" t="s">
        <v>17</v>
      </c>
      <c r="U17" s="715">
        <f>H17</f>
        <v>100</v>
      </c>
      <c r="V17" s="714" t="s">
        <v>17</v>
      </c>
      <c r="W17" s="715">
        <f>J17</f>
        <v>100</v>
      </c>
      <c r="X17" s="1508"/>
      <c r="Y17" s="3465"/>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65"/>
      <c r="Q18" s="1505"/>
      <c r="R18" s="714"/>
      <c r="S18" s="715"/>
      <c r="T18" s="714"/>
      <c r="U18" s="715"/>
      <c r="V18" s="714"/>
      <c r="W18" s="715"/>
      <c r="X18" s="1508"/>
      <c r="Y18" s="3465"/>
      <c r="Z18" s="1509"/>
      <c r="AA18" s="1506">
        <v>1</v>
      </c>
      <c r="AB18" s="1506">
        <v>1</v>
      </c>
      <c r="AC18" s="1506">
        <v>1</v>
      </c>
    </row>
    <row r="19" spans="1:29" ht="15">
      <c r="A19" s="387"/>
      <c r="B19" s="410" t="s">
        <v>2448</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5"/>
      <c r="Q19" s="1505" t="str">
        <f>B19</f>
        <v>办公集聚程度</v>
      </c>
      <c r="R19" s="714" t="s">
        <v>17</v>
      </c>
      <c r="S19" s="715">
        <f>F19</f>
        <v>100</v>
      </c>
      <c r="T19" s="714" t="s">
        <v>17</v>
      </c>
      <c r="U19" s="715">
        <f>H19</f>
        <v>100</v>
      </c>
      <c r="V19" s="714" t="s">
        <v>17</v>
      </c>
      <c r="W19" s="715">
        <f>J19</f>
        <v>100</v>
      </c>
      <c r="X19" s="1508"/>
      <c r="Y19" s="3465"/>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65"/>
      <c r="Q20" s="1505"/>
      <c r="R20" s="714"/>
      <c r="S20" s="715"/>
      <c r="T20" s="714"/>
      <c r="U20" s="715"/>
      <c r="V20" s="714"/>
      <c r="W20" s="715"/>
      <c r="X20" s="1508"/>
      <c r="Y20" s="3465"/>
      <c r="Z20" s="1509"/>
      <c r="AA20" s="1506">
        <v>1</v>
      </c>
      <c r="AB20" s="1506">
        <v>1</v>
      </c>
      <c r="AC20" s="1506">
        <v>1</v>
      </c>
    </row>
    <row r="21" spans="1:29" ht="15">
      <c r="A21" s="387"/>
      <c r="B21" s="410" t="s">
        <v>2470</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65"/>
      <c r="Q21" s="1505" t="str">
        <f>B21</f>
        <v>交通便捷度</v>
      </c>
      <c r="R21" s="714" t="s">
        <v>17</v>
      </c>
      <c r="S21" s="715">
        <f>F21</f>
        <v>100</v>
      </c>
      <c r="T21" s="714" t="s">
        <v>17</v>
      </c>
      <c r="U21" s="715">
        <f>H21</f>
        <v>100</v>
      </c>
      <c r="V21" s="714" t="s">
        <v>17</v>
      </c>
      <c r="W21" s="715">
        <f>J21</f>
        <v>100</v>
      </c>
      <c r="X21" s="1508"/>
      <c r="Y21" s="3465"/>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65"/>
      <c r="Q22" s="1505"/>
      <c r="R22" s="714"/>
      <c r="S22" s="715"/>
      <c r="T22" s="714"/>
      <c r="U22" s="715"/>
      <c r="V22" s="714"/>
      <c r="W22" s="715"/>
      <c r="X22" s="1508"/>
      <c r="Y22" s="3465"/>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65"/>
      <c r="Q23" s="1505" t="str">
        <f t="shared" ref="Q23:Q37" si="8">B23</f>
        <v>区域土地利用方向</v>
      </c>
      <c r="R23" s="714" t="s">
        <v>17</v>
      </c>
      <c r="S23" s="715">
        <f>F23</f>
        <v>100</v>
      </c>
      <c r="T23" s="714" t="s">
        <v>17</v>
      </c>
      <c r="U23" s="715">
        <f>H23</f>
        <v>100</v>
      </c>
      <c r="V23" s="714" t="s">
        <v>17</v>
      </c>
      <c r="W23" s="715">
        <f>J23</f>
        <v>100</v>
      </c>
      <c r="X23" s="1508"/>
      <c r="Y23" s="3465"/>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65"/>
      <c r="Q24" s="1505"/>
      <c r="R24" s="714"/>
      <c r="S24" s="715"/>
      <c r="T24" s="714"/>
      <c r="U24" s="715"/>
      <c r="V24" s="714"/>
      <c r="W24" s="715"/>
      <c r="X24" s="1508"/>
      <c r="Y24" s="3465"/>
      <c r="Z24" s="1509"/>
      <c r="AA24" s="1506"/>
      <c r="AB24" s="1506"/>
      <c r="AC24" s="1506"/>
    </row>
    <row r="25" spans="1:29" ht="27">
      <c r="A25" s="364"/>
      <c r="B25" s="1265" t="s">
        <v>2510</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65"/>
      <c r="Q25" s="1505" t="str">
        <f t="shared" si="8"/>
        <v>自然及人文环境状况</v>
      </c>
      <c r="R25" s="714" t="s">
        <v>17</v>
      </c>
      <c r="S25" s="715">
        <f>F25</f>
        <v>100</v>
      </c>
      <c r="T25" s="714" t="s">
        <v>17</v>
      </c>
      <c r="U25" s="715">
        <f>H25</f>
        <v>100</v>
      </c>
      <c r="V25" s="714" t="s">
        <v>17</v>
      </c>
      <c r="W25" s="715">
        <f>J25</f>
        <v>100</v>
      </c>
      <c r="X25" s="1508"/>
      <c r="Y25" s="3465"/>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65"/>
      <c r="Q26" s="1505"/>
      <c r="R26" s="714"/>
      <c r="S26" s="715"/>
      <c r="T26" s="714"/>
      <c r="U26" s="715"/>
      <c r="V26" s="714"/>
      <c r="W26" s="715"/>
      <c r="X26" s="1508"/>
      <c r="Y26" s="3465"/>
      <c r="Z26" s="1509"/>
      <c r="AA26" s="1506">
        <v>1</v>
      </c>
      <c r="AB26" s="1506">
        <v>1</v>
      </c>
      <c r="AC26" s="1506">
        <v>1</v>
      </c>
    </row>
    <row r="27" spans="1:29" s="113" customFormat="1" ht="15">
      <c r="A27" s="605"/>
      <c r="B27" s="1265" t="s">
        <v>2415</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65"/>
      <c r="Q27" s="1496" t="str">
        <f t="shared" si="8"/>
        <v>公共配套设施</v>
      </c>
      <c r="R27" s="710" t="s">
        <v>17</v>
      </c>
      <c r="S27" s="711">
        <f>F27</f>
        <v>100</v>
      </c>
      <c r="T27" s="710" t="s">
        <v>17</v>
      </c>
      <c r="U27" s="711">
        <f>H27</f>
        <v>100</v>
      </c>
      <c r="V27" s="710" t="s">
        <v>17</v>
      </c>
      <c r="W27" s="711">
        <f>J27</f>
        <v>100</v>
      </c>
      <c r="X27" s="712"/>
      <c r="Y27" s="3465"/>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65"/>
      <c r="Q28" s="1496"/>
      <c r="R28" s="710"/>
      <c r="S28" s="711"/>
      <c r="T28" s="710"/>
      <c r="U28" s="711"/>
      <c r="V28" s="710"/>
      <c r="W28" s="711"/>
      <c r="X28" s="712"/>
      <c r="Y28" s="3465"/>
      <c r="Z28" s="55"/>
      <c r="AA28" s="1506">
        <v>1</v>
      </c>
      <c r="AB28" s="1506">
        <v>1</v>
      </c>
      <c r="AC28" s="1506">
        <v>1</v>
      </c>
    </row>
    <row r="29" spans="1:29" s="113" customFormat="1" ht="15">
      <c r="A29" s="605"/>
      <c r="B29" s="1265" t="s">
        <v>2416</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65"/>
      <c r="Q29" s="1496" t="str">
        <f t="shared" ref="Q29" si="9">B29</f>
        <v>基础设施水平</v>
      </c>
      <c r="R29" s="710" t="s">
        <v>17</v>
      </c>
      <c r="S29" s="711">
        <f>F29</f>
        <v>100</v>
      </c>
      <c r="T29" s="710" t="s">
        <v>17</v>
      </c>
      <c r="U29" s="711">
        <f>H29</f>
        <v>100</v>
      </c>
      <c r="V29" s="710" t="s">
        <v>17</v>
      </c>
      <c r="W29" s="711">
        <f>J29</f>
        <v>100</v>
      </c>
      <c r="X29" s="712"/>
      <c r="Y29" s="3465"/>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65"/>
      <c r="Q30" s="1496"/>
      <c r="R30" s="710"/>
      <c r="S30" s="711"/>
      <c r="T30" s="710"/>
      <c r="U30" s="711"/>
      <c r="V30" s="710"/>
      <c r="W30" s="711"/>
      <c r="X30" s="712"/>
      <c r="Y30" s="3465"/>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65"/>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65"/>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65"/>
      <c r="Q32" s="1505" t="str">
        <f t="shared" si="8"/>
        <v>毗邻道路的类型与等级</v>
      </c>
      <c r="R32" s="714" t="s">
        <v>17</v>
      </c>
      <c r="S32" s="715">
        <f t="shared" si="10"/>
        <v>100</v>
      </c>
      <c r="T32" s="714" t="s">
        <v>17</v>
      </c>
      <c r="U32" s="715">
        <f t="shared" si="11"/>
        <v>100</v>
      </c>
      <c r="V32" s="714" t="s">
        <v>17</v>
      </c>
      <c r="W32" s="715">
        <f t="shared" si="12"/>
        <v>100</v>
      </c>
      <c r="X32" s="1508"/>
      <c r="Y32" s="3465"/>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65"/>
      <c r="Q33" s="1505"/>
      <c r="R33" s="714"/>
      <c r="S33" s="715"/>
      <c r="T33" s="714"/>
      <c r="U33" s="715"/>
      <c r="V33" s="714"/>
      <c r="W33" s="715"/>
      <c r="X33" s="1508"/>
      <c r="Y33" s="3465"/>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65"/>
      <c r="Q34" s="1505" t="str">
        <f t="shared" si="8"/>
        <v>土地级别</v>
      </c>
      <c r="R34" s="714" t="s">
        <v>17</v>
      </c>
      <c r="S34" s="715">
        <f t="shared" si="10"/>
        <v>100</v>
      </c>
      <c r="T34" s="714" t="s">
        <v>17</v>
      </c>
      <c r="U34" s="715">
        <f t="shared" si="11"/>
        <v>100</v>
      </c>
      <c r="V34" s="714" t="s">
        <v>17</v>
      </c>
      <c r="W34" s="715">
        <f t="shared" si="12"/>
        <v>100</v>
      </c>
      <c r="X34" s="1508"/>
      <c r="Y34" s="3465"/>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65"/>
      <c r="Q35" s="1505">
        <f t="shared" si="8"/>
        <v>111</v>
      </c>
      <c r="R35" s="714" t="s">
        <v>17</v>
      </c>
      <c r="S35" s="715">
        <f t="shared" si="10"/>
        <v>100</v>
      </c>
      <c r="T35" s="714" t="s">
        <v>17</v>
      </c>
      <c r="U35" s="715">
        <f t="shared" si="11"/>
        <v>100</v>
      </c>
      <c r="V35" s="714" t="s">
        <v>17</v>
      </c>
      <c r="W35" s="715">
        <f t="shared" si="12"/>
        <v>100</v>
      </c>
      <c r="X35" s="1508"/>
      <c r="Y35" s="3465"/>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81" t="s">
        <v>2326</v>
      </c>
      <c r="Q36" s="1505">
        <f t="shared" si="8"/>
        <v>111</v>
      </c>
      <c r="R36" s="714" t="s">
        <v>17</v>
      </c>
      <c r="S36" s="715">
        <f t="shared" si="10"/>
        <v>100</v>
      </c>
      <c r="T36" s="714" t="s">
        <v>17</v>
      </c>
      <c r="U36" s="715">
        <f t="shared" si="11"/>
        <v>100</v>
      </c>
      <c r="V36" s="714" t="s">
        <v>17</v>
      </c>
      <c r="W36" s="715">
        <f t="shared" si="12"/>
        <v>100</v>
      </c>
      <c r="X36" s="1508"/>
      <c r="Y36" s="3466"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6"/>
      <c r="Q37" s="1505">
        <f t="shared" si="8"/>
        <v>111</v>
      </c>
      <c r="R37" s="717" t="s">
        <v>17</v>
      </c>
      <c r="S37" s="718">
        <f t="shared" si="10"/>
        <v>100</v>
      </c>
      <c r="T37" s="717" t="s">
        <v>17</v>
      </c>
      <c r="U37" s="718">
        <f t="shared" si="11"/>
        <v>100</v>
      </c>
      <c r="V37" s="717" t="s">
        <v>17</v>
      </c>
      <c r="W37" s="718">
        <f t="shared" si="12"/>
        <v>100</v>
      </c>
      <c r="X37" s="719"/>
      <c r="Y37" s="3466"/>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66"/>
      <c r="Q38" s="1505" t="str">
        <f>B38</f>
        <v>宗地面积</v>
      </c>
      <c r="R38" s="714" t="s">
        <v>17</v>
      </c>
      <c r="S38" s="715" t="e">
        <f t="shared" si="10"/>
        <v>#N/A</v>
      </c>
      <c r="T38" s="714" t="s">
        <v>17</v>
      </c>
      <c r="U38" s="715" t="e">
        <f t="shared" si="11"/>
        <v>#N/A</v>
      </c>
      <c r="V38" s="714" t="s">
        <v>17</v>
      </c>
      <c r="W38" s="715" t="e">
        <f t="shared" si="12"/>
        <v>#N/A</v>
      </c>
      <c r="X38" s="1508"/>
      <c r="Y38" s="3466"/>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66"/>
      <c r="Q39" s="1505" t="str">
        <f t="shared" ref="Q39:Q45" si="14">B39</f>
        <v>宗地形状</v>
      </c>
      <c r="R39" s="714" t="s">
        <v>17</v>
      </c>
      <c r="S39" s="715">
        <f t="shared" si="10"/>
        <v>100</v>
      </c>
      <c r="T39" s="714" t="s">
        <v>17</v>
      </c>
      <c r="U39" s="715">
        <f t="shared" si="11"/>
        <v>100</v>
      </c>
      <c r="V39" s="714" t="s">
        <v>17</v>
      </c>
      <c r="W39" s="715">
        <f t="shared" si="12"/>
        <v>100</v>
      </c>
      <c r="X39" s="1508"/>
      <c r="Y39" s="3466"/>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66"/>
      <c r="Q40" s="1505" t="str">
        <f t="shared" si="14"/>
        <v>临街宽度及深度</v>
      </c>
      <c r="R40" s="714" t="s">
        <v>17</v>
      </c>
      <c r="S40" s="715">
        <f t="shared" si="10"/>
        <v>100</v>
      </c>
      <c r="T40" s="714" t="s">
        <v>17</v>
      </c>
      <c r="U40" s="715">
        <f t="shared" si="11"/>
        <v>100</v>
      </c>
      <c r="V40" s="714" t="s">
        <v>17</v>
      </c>
      <c r="W40" s="715">
        <f t="shared" si="12"/>
        <v>100</v>
      </c>
      <c r="X40" s="1508"/>
      <c r="Y40" s="3466"/>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66"/>
      <c r="Q41" s="1505"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66" t="s">
        <v>2326</v>
      </c>
      <c r="Q42" s="1505" t="str">
        <f t="shared" si="14"/>
        <v>工程地质条件</v>
      </c>
      <c r="R42" s="714" t="s">
        <v>17</v>
      </c>
      <c r="S42" s="715">
        <f t="shared" si="10"/>
        <v>100</v>
      </c>
      <c r="T42" s="714" t="s">
        <v>17</v>
      </c>
      <c r="U42" s="715">
        <f t="shared" si="11"/>
        <v>100</v>
      </c>
      <c r="V42" s="714" t="s">
        <v>17</v>
      </c>
      <c r="W42" s="715">
        <f t="shared" si="12"/>
        <v>100</v>
      </c>
      <c r="X42" s="1508"/>
      <c r="Y42" s="3466"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6"/>
      <c r="Q43" s="1505">
        <f t="shared" si="14"/>
        <v>111</v>
      </c>
      <c r="R43" s="714" t="s">
        <v>17</v>
      </c>
      <c r="S43" s="715">
        <f t="shared" si="10"/>
        <v>100</v>
      </c>
      <c r="T43" s="714" t="s">
        <v>17</v>
      </c>
      <c r="U43" s="715">
        <f t="shared" si="11"/>
        <v>100</v>
      </c>
      <c r="V43" s="714" t="s">
        <v>17</v>
      </c>
      <c r="W43" s="715">
        <f t="shared" si="12"/>
        <v>100</v>
      </c>
      <c r="X43" s="1508"/>
      <c r="Y43" s="3466"/>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6"/>
      <c r="Q44" s="1505">
        <f t="shared" si="14"/>
        <v>111</v>
      </c>
      <c r="R44" s="714" t="s">
        <v>17</v>
      </c>
      <c r="S44" s="715">
        <f t="shared" si="10"/>
        <v>100</v>
      </c>
      <c r="T44" s="714" t="s">
        <v>17</v>
      </c>
      <c r="U44" s="715">
        <f t="shared" si="11"/>
        <v>100</v>
      </c>
      <c r="V44" s="714" t="s">
        <v>17</v>
      </c>
      <c r="W44" s="715">
        <f t="shared" si="12"/>
        <v>100</v>
      </c>
      <c r="X44" s="1508"/>
      <c r="Y44" s="3466"/>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6"/>
      <c r="Q45" s="1505">
        <f t="shared" si="14"/>
        <v>111</v>
      </c>
      <c r="R45" s="717" t="s">
        <v>17</v>
      </c>
      <c r="S45" s="718">
        <f t="shared" si="10"/>
        <v>100</v>
      </c>
      <c r="T45" s="717" t="s">
        <v>17</v>
      </c>
      <c r="U45" s="718">
        <f t="shared" si="11"/>
        <v>100</v>
      </c>
      <c r="V45" s="717" t="s">
        <v>17</v>
      </c>
      <c r="W45" s="718">
        <f t="shared" si="12"/>
        <v>100</v>
      </c>
      <c r="X45" s="719"/>
      <c r="Y45" s="3466"/>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45" t="str">
        <f>A46</f>
        <v>成交单价</v>
      </c>
      <c r="Q46" s="3445"/>
      <c r="R46" s="3463">
        <f>E46</f>
        <v>0</v>
      </c>
      <c r="S46" s="3463"/>
      <c r="T46" s="3463">
        <f>G46</f>
        <v>0</v>
      </c>
      <c r="U46" s="3463"/>
      <c r="V46" s="3463">
        <f>I46</f>
        <v>0</v>
      </c>
      <c r="W46" s="3463"/>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45" t="str">
        <f>A47</f>
        <v>比较价值（元/平方米）</v>
      </c>
      <c r="Q47" s="3445"/>
      <c r="R47" s="3485" t="e">
        <f>ROUND(PRODUCT(R46,AA7:AA45),0)</f>
        <v>#DIV/0!</v>
      </c>
      <c r="S47" s="3485"/>
      <c r="T47" s="3485" t="e">
        <f>ROUND(PRODUCT(T46,AB7:AB45),0)</f>
        <v>#DIV/0!</v>
      </c>
      <c r="U47" s="3485"/>
      <c r="V47" s="3485" t="e">
        <f>ROUND(PRODUCT(V46,AC7:AC45),0)</f>
        <v>#DIV/0!</v>
      </c>
      <c r="W47" s="3485"/>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2" t="str">
        <f>A48</f>
        <v>估价对象XX用房的比较价值（楼面单价，元/平方米）</v>
      </c>
      <c r="Q48" s="3483"/>
      <c r="R48" s="3484" t="e">
        <f>ROUND(IF(D47="简单平均",AVERAGE(R47:W47),R47*F47+T47*H47+V47*J47),0)</f>
        <v>#DIV/0!</v>
      </c>
      <c r="S48" s="3484"/>
      <c r="T48" s="3484"/>
      <c r="U48" s="3484"/>
      <c r="V48" s="3484"/>
      <c r="W48" s="3484"/>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42" t="s">
        <v>2525</v>
      </c>
      <c r="H55" s="3443"/>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3519.53</v>
      </c>
      <c r="F56" s="1017" t="e">
        <f t="shared" ref="F56:F65" si="15">ROUND(B56*E56/10000,0)</f>
        <v>#DIV/0!</v>
      </c>
      <c r="G56" s="3444"/>
      <c r="H56" s="3445"/>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46"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4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4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4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3519.53</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7" t="s">
        <v>183</v>
      </c>
      <c r="B18" s="821" t="s">
        <v>560</v>
      </c>
      <c r="C18" s="822" t="s">
        <v>561</v>
      </c>
      <c r="D18" s="823"/>
      <c r="E18" s="821">
        <v>1</v>
      </c>
      <c r="F18" s="824" t="s">
        <v>562</v>
      </c>
      <c r="G18" s="825"/>
      <c r="H18" s="817"/>
      <c r="I18" s="817"/>
    </row>
    <row r="19" spans="1:9" s="826" customFormat="1" ht="19.5" customHeight="1">
      <c r="A19" s="3567"/>
      <c r="B19" s="3567" t="s">
        <v>563</v>
      </c>
      <c r="C19" s="822" t="s">
        <v>564</v>
      </c>
      <c r="D19" s="823"/>
      <c r="E19" s="821">
        <v>0.9</v>
      </c>
      <c r="F19" s="824" t="s">
        <v>565</v>
      </c>
      <c r="G19" s="825"/>
      <c r="H19" s="817"/>
      <c r="I19" s="817"/>
    </row>
    <row r="20" spans="1:9" s="826" customFormat="1" ht="19.5" customHeight="1">
      <c r="A20" s="3567"/>
      <c r="B20" s="3567"/>
      <c r="C20" s="822" t="s">
        <v>566</v>
      </c>
      <c r="D20" s="823"/>
      <c r="E20" s="821">
        <v>1.1000000000000001</v>
      </c>
      <c r="F20" s="824" t="s">
        <v>567</v>
      </c>
      <c r="G20" s="825"/>
      <c r="H20" s="817"/>
      <c r="I20" s="817"/>
    </row>
    <row r="21" spans="1:9" s="826" customFormat="1" ht="19.5" customHeight="1">
      <c r="A21" s="3567"/>
      <c r="B21" s="3567"/>
      <c r="C21" s="822" t="s">
        <v>568</v>
      </c>
      <c r="D21" s="823"/>
      <c r="E21" s="821">
        <v>0.8</v>
      </c>
      <c r="F21" s="824" t="s">
        <v>569</v>
      </c>
      <c r="G21" s="825"/>
      <c r="H21" s="817"/>
      <c r="I21" s="817"/>
    </row>
    <row r="22" spans="1:9" s="826" customFormat="1" ht="19.5" customHeight="1">
      <c r="A22" s="3567"/>
      <c r="B22" s="3567"/>
      <c r="C22" s="822" t="s">
        <v>570</v>
      </c>
      <c r="D22" s="823"/>
      <c r="E22" s="821">
        <v>0.5</v>
      </c>
      <c r="F22" s="824"/>
      <c r="G22" s="825"/>
      <c r="H22" s="817"/>
      <c r="I22" s="817"/>
    </row>
    <row r="23" spans="1:9" s="826" customFormat="1" ht="19.5" customHeight="1">
      <c r="A23" s="3567" t="s">
        <v>184</v>
      </c>
      <c r="B23" s="821" t="s">
        <v>560</v>
      </c>
      <c r="C23" s="822" t="s">
        <v>571</v>
      </c>
      <c r="D23" s="823"/>
      <c r="E23" s="821">
        <v>1</v>
      </c>
      <c r="F23" s="824" t="s">
        <v>572</v>
      </c>
      <c r="G23" s="825"/>
      <c r="H23" s="817"/>
      <c r="I23" s="817"/>
    </row>
    <row r="24" spans="1:9" s="826" customFormat="1" ht="19.5" customHeight="1">
      <c r="A24" s="3567"/>
      <c r="B24" s="3567" t="s">
        <v>563</v>
      </c>
      <c r="C24" s="822" t="s">
        <v>573</v>
      </c>
      <c r="D24" s="823"/>
      <c r="E24" s="821">
        <v>0.5</v>
      </c>
      <c r="F24" s="824"/>
      <c r="G24" s="825"/>
      <c r="H24" s="817"/>
      <c r="I24" s="817"/>
    </row>
    <row r="25" spans="1:9" s="826" customFormat="1" ht="19.5" customHeight="1">
      <c r="A25" s="3567"/>
      <c r="B25" s="3567"/>
      <c r="C25" s="822" t="s">
        <v>574</v>
      </c>
      <c r="D25" s="823"/>
      <c r="E25" s="821">
        <v>1.1000000000000001</v>
      </c>
      <c r="F25" s="824"/>
      <c r="G25" s="825"/>
      <c r="H25" s="817"/>
      <c r="I25" s="817"/>
    </row>
    <row r="26" spans="1:9" s="826" customFormat="1" ht="19.5" customHeight="1">
      <c r="A26" s="3567"/>
      <c r="B26" s="3567"/>
      <c r="C26" s="822" t="s">
        <v>575</v>
      </c>
      <c r="D26" s="823"/>
      <c r="E26" s="821">
        <v>1.1000000000000001</v>
      </c>
      <c r="F26" s="824"/>
      <c r="G26" s="825"/>
      <c r="H26" s="817"/>
      <c r="I26" s="817"/>
    </row>
    <row r="27" spans="1:9" s="826" customFormat="1" ht="19.5" customHeight="1">
      <c r="A27" s="3567"/>
      <c r="B27" s="3567"/>
      <c r="C27" s="822" t="s">
        <v>576</v>
      </c>
      <c r="D27" s="823"/>
      <c r="E27" s="821">
        <v>0.9</v>
      </c>
      <c r="F27" s="824" t="s">
        <v>577</v>
      </c>
      <c r="G27" s="825"/>
      <c r="H27" s="817"/>
      <c r="I27" s="817"/>
    </row>
    <row r="28" spans="1:9" s="826" customFormat="1" ht="19.5" customHeight="1">
      <c r="A28" s="3567"/>
      <c r="B28" s="3567"/>
      <c r="C28" s="822" t="s">
        <v>578</v>
      </c>
      <c r="D28" s="823"/>
      <c r="E28" s="821">
        <v>0.9</v>
      </c>
      <c r="F28" s="824" t="s">
        <v>579</v>
      </c>
      <c r="G28" s="825"/>
      <c r="H28" s="817"/>
      <c r="I28" s="817"/>
    </row>
    <row r="29" spans="1:9" s="826" customFormat="1" ht="19.5" customHeight="1">
      <c r="A29" s="3567"/>
      <c r="B29" s="3567"/>
      <c r="C29" s="822" t="s">
        <v>580</v>
      </c>
      <c r="D29" s="823"/>
      <c r="E29" s="821">
        <v>0.9</v>
      </c>
      <c r="F29" s="824" t="s">
        <v>581</v>
      </c>
      <c r="G29" s="825"/>
      <c r="H29" s="817"/>
      <c r="I29" s="817"/>
    </row>
    <row r="30" spans="1:9" s="826" customFormat="1" ht="19.5" customHeight="1">
      <c r="A30" s="3567"/>
      <c r="B30" s="3567"/>
      <c r="C30" s="822" t="s">
        <v>582</v>
      </c>
      <c r="D30" s="823"/>
      <c r="E30" s="821">
        <v>0.9</v>
      </c>
      <c r="F30" s="824" t="s">
        <v>583</v>
      </c>
      <c r="G30" s="825"/>
      <c r="H30" s="817"/>
      <c r="I30" s="817"/>
    </row>
    <row r="31" spans="1:9" s="826" customFormat="1" ht="19.5" customHeight="1">
      <c r="A31" s="3567"/>
      <c r="B31" s="3567"/>
      <c r="C31" s="822" t="s">
        <v>584</v>
      </c>
      <c r="D31" s="823"/>
      <c r="E31" s="821">
        <v>0.8</v>
      </c>
      <c r="F31" s="824" t="s">
        <v>585</v>
      </c>
      <c r="G31" s="825"/>
      <c r="H31" s="817"/>
      <c r="I31" s="817"/>
    </row>
    <row r="32" spans="1:9" s="826" customFormat="1" ht="19.5" customHeight="1">
      <c r="A32" s="3567"/>
      <c r="B32" s="3567"/>
      <c r="C32" s="822" t="s">
        <v>586</v>
      </c>
      <c r="D32" s="823"/>
      <c r="E32" s="821">
        <v>0.8</v>
      </c>
      <c r="F32" s="824" t="s">
        <v>587</v>
      </c>
      <c r="G32" s="825"/>
      <c r="H32" s="817"/>
      <c r="I32" s="817"/>
    </row>
    <row r="33" spans="1:9" s="826" customFormat="1" ht="19.5" customHeight="1">
      <c r="A33" s="3567" t="s">
        <v>185</v>
      </c>
      <c r="B33" s="821" t="s">
        <v>560</v>
      </c>
      <c r="C33" s="822" t="s">
        <v>588</v>
      </c>
      <c r="D33" s="823"/>
      <c r="E33" s="821">
        <v>1</v>
      </c>
      <c r="F33" s="824" t="s">
        <v>589</v>
      </c>
      <c r="G33" s="825"/>
      <c r="H33" s="817"/>
      <c r="I33" s="817"/>
    </row>
    <row r="34" spans="1:9" s="826" customFormat="1" ht="19.5" customHeight="1">
      <c r="A34" s="3567"/>
      <c r="B34" s="821" t="s">
        <v>563</v>
      </c>
      <c r="C34" s="822" t="s">
        <v>590</v>
      </c>
      <c r="D34" s="823"/>
      <c r="E34" s="821">
        <v>1.5</v>
      </c>
      <c r="F34" s="824" t="s">
        <v>591</v>
      </c>
      <c r="G34" s="825"/>
      <c r="H34" s="817"/>
      <c r="I34" s="817"/>
    </row>
    <row r="35" spans="1:9" s="826" customFormat="1" ht="19.5" customHeight="1">
      <c r="A35" s="3567" t="s">
        <v>186</v>
      </c>
      <c r="B35" s="821" t="s">
        <v>560</v>
      </c>
      <c r="C35" s="822" t="s">
        <v>592</v>
      </c>
      <c r="D35" s="823"/>
      <c r="E35" s="821">
        <v>1</v>
      </c>
      <c r="F35" s="824" t="s">
        <v>593</v>
      </c>
      <c r="G35" s="825"/>
      <c r="H35" s="817"/>
      <c r="I35" s="817"/>
    </row>
    <row r="36" spans="1:9" s="826" customFormat="1" ht="19.5" customHeight="1">
      <c r="A36" s="3567"/>
      <c r="B36" s="3567" t="s">
        <v>563</v>
      </c>
      <c r="C36" s="822" t="s">
        <v>594</v>
      </c>
      <c r="D36" s="823"/>
      <c r="E36" s="821">
        <v>1</v>
      </c>
      <c r="F36" s="824" t="s">
        <v>595</v>
      </c>
      <c r="G36" s="825"/>
      <c r="H36" s="817"/>
      <c r="I36" s="817"/>
    </row>
    <row r="37" spans="1:9" s="826" customFormat="1" ht="19.5" customHeight="1">
      <c r="A37" s="3567"/>
      <c r="B37" s="3567"/>
      <c r="C37" s="822" t="s">
        <v>596</v>
      </c>
      <c r="D37" s="823"/>
      <c r="E37" s="821">
        <v>1.5</v>
      </c>
      <c r="F37" s="824" t="s">
        <v>597</v>
      </c>
      <c r="G37" s="825"/>
      <c r="H37" s="817"/>
      <c r="I37" s="817"/>
    </row>
    <row r="38" spans="1:9" s="826" customFormat="1" ht="19.5" customHeight="1">
      <c r="A38" s="3567"/>
      <c r="B38" s="3567"/>
      <c r="C38" s="822" t="s">
        <v>598</v>
      </c>
      <c r="D38" s="823"/>
      <c r="E38" s="821">
        <v>1</v>
      </c>
      <c r="F38" s="824" t="s">
        <v>599</v>
      </c>
      <c r="G38" s="825"/>
      <c r="H38" s="817"/>
      <c r="I38" s="817"/>
    </row>
    <row r="39" spans="1:9" s="826" customFormat="1" ht="19.5" customHeight="1">
      <c r="A39" s="3567"/>
      <c r="B39" s="356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7" t="s">
        <v>614</v>
      </c>
      <c r="C61" s="757" t="s">
        <v>615</v>
      </c>
      <c r="D61" s="757" t="s">
        <v>616</v>
      </c>
      <c r="E61" s="834">
        <v>0.5</v>
      </c>
      <c r="F61" s="821">
        <v>80</v>
      </c>
    </row>
    <row r="62" spans="1:8" s="817" customFormat="1" ht="24">
      <c r="A62" s="821">
        <v>2</v>
      </c>
      <c r="B62" s="3567"/>
      <c r="C62" s="757" t="s">
        <v>617</v>
      </c>
      <c r="D62" s="757" t="s">
        <v>618</v>
      </c>
      <c r="E62" s="834">
        <v>0.5</v>
      </c>
      <c r="F62" s="821">
        <v>80</v>
      </c>
    </row>
    <row r="63" spans="1:8" s="817" customFormat="1" ht="36">
      <c r="A63" s="821">
        <v>3</v>
      </c>
      <c r="B63" s="3567"/>
      <c r="C63" s="757" t="s">
        <v>619</v>
      </c>
      <c r="D63" s="757" t="s">
        <v>620</v>
      </c>
      <c r="E63" s="834">
        <v>0.5</v>
      </c>
      <c r="F63" s="821">
        <v>80</v>
      </c>
    </row>
    <row r="64" spans="1:8" s="817" customFormat="1" ht="36">
      <c r="A64" s="821">
        <v>4</v>
      </c>
      <c r="B64" s="3567"/>
      <c r="C64" s="757" t="s">
        <v>621</v>
      </c>
      <c r="D64" s="757" t="s">
        <v>622</v>
      </c>
      <c r="E64" s="834">
        <v>0.4</v>
      </c>
      <c r="F64" s="821">
        <v>60</v>
      </c>
    </row>
    <row r="65" spans="1:6" s="817" customFormat="1" ht="36">
      <c r="A65" s="821">
        <v>5</v>
      </c>
      <c r="B65" s="3567"/>
      <c r="C65" s="757" t="s">
        <v>623</v>
      </c>
      <c r="D65" s="757" t="s">
        <v>624</v>
      </c>
      <c r="E65" s="834">
        <v>0.2</v>
      </c>
      <c r="F65" s="821">
        <v>30</v>
      </c>
    </row>
    <row r="66" spans="1:6" s="817" customFormat="1" ht="36">
      <c r="A66" s="821">
        <v>6</v>
      </c>
      <c r="B66" s="3567"/>
      <c r="C66" s="757" t="s">
        <v>625</v>
      </c>
      <c r="D66" s="757" t="s">
        <v>626</v>
      </c>
      <c r="E66" s="834">
        <v>0.3</v>
      </c>
      <c r="F66" s="821">
        <v>50</v>
      </c>
    </row>
    <row r="67" spans="1:6" s="817" customFormat="1" ht="36">
      <c r="A67" s="821">
        <v>7</v>
      </c>
      <c r="B67" s="3567"/>
      <c r="C67" s="757" t="s">
        <v>627</v>
      </c>
      <c r="D67" s="757" t="s">
        <v>628</v>
      </c>
      <c r="E67" s="834">
        <v>0.2</v>
      </c>
      <c r="F67" s="821">
        <v>30</v>
      </c>
    </row>
    <row r="68" spans="1:6" s="817" customFormat="1" ht="36">
      <c r="A68" s="821">
        <v>8</v>
      </c>
      <c r="B68" s="3567"/>
      <c r="C68" s="757" t="s">
        <v>629</v>
      </c>
      <c r="D68" s="757" t="s">
        <v>630</v>
      </c>
      <c r="E68" s="834">
        <v>0.2</v>
      </c>
      <c r="F68" s="821">
        <v>30</v>
      </c>
    </row>
    <row r="69" spans="1:6" s="817" customFormat="1" ht="36">
      <c r="A69" s="821">
        <v>9</v>
      </c>
      <c r="B69" s="3567"/>
      <c r="C69" s="757" t="s">
        <v>631</v>
      </c>
      <c r="D69" s="757" t="s">
        <v>632</v>
      </c>
      <c r="E69" s="834">
        <v>0.2</v>
      </c>
      <c r="F69" s="821">
        <v>30</v>
      </c>
    </row>
    <row r="70" spans="1:6" s="817" customFormat="1" ht="48">
      <c r="A70" s="821">
        <v>10</v>
      </c>
      <c r="B70" s="3567"/>
      <c r="C70" s="757" t="s">
        <v>633</v>
      </c>
      <c r="D70" s="757" t="s">
        <v>634</v>
      </c>
      <c r="E70" s="834">
        <v>0.2</v>
      </c>
      <c r="F70" s="821">
        <v>30</v>
      </c>
    </row>
    <row r="71" spans="1:6" s="817" customFormat="1" ht="48">
      <c r="A71" s="821">
        <v>11</v>
      </c>
      <c r="B71" s="3567"/>
      <c r="C71" s="757" t="s">
        <v>635</v>
      </c>
      <c r="D71" s="757" t="s">
        <v>636</v>
      </c>
      <c r="E71" s="834">
        <v>0.2</v>
      </c>
      <c r="F71" s="821">
        <v>30</v>
      </c>
    </row>
    <row r="72" spans="1:6" s="817" customFormat="1" ht="36">
      <c r="A72" s="821">
        <v>12</v>
      </c>
      <c r="B72" s="3567"/>
      <c r="C72" s="757" t="s">
        <v>637</v>
      </c>
      <c r="D72" s="757" t="s">
        <v>638</v>
      </c>
      <c r="E72" s="834">
        <v>0.5</v>
      </c>
      <c r="F72" s="821">
        <v>80</v>
      </c>
    </row>
    <row r="73" spans="1:6" s="817" customFormat="1" ht="24">
      <c r="A73" s="821">
        <v>13</v>
      </c>
      <c r="B73" s="3567"/>
      <c r="C73" s="757" t="s">
        <v>639</v>
      </c>
      <c r="D73" s="757" t="s">
        <v>640</v>
      </c>
      <c r="E73" s="834">
        <v>0.4</v>
      </c>
      <c r="F73" s="821">
        <v>60</v>
      </c>
    </row>
    <row r="74" spans="1:6" s="817" customFormat="1" ht="24">
      <c r="A74" s="821">
        <v>14</v>
      </c>
      <c r="B74" s="3567"/>
      <c r="C74" s="757" t="s">
        <v>641</v>
      </c>
      <c r="D74" s="757" t="s">
        <v>642</v>
      </c>
      <c r="E74" s="834">
        <v>0.2</v>
      </c>
      <c r="F74" s="821">
        <v>30</v>
      </c>
    </row>
    <row r="75" spans="1:6" s="817" customFormat="1" ht="24">
      <c r="A75" s="821">
        <v>15</v>
      </c>
      <c r="B75" s="3567"/>
      <c r="C75" s="757" t="s">
        <v>643</v>
      </c>
      <c r="D75" s="757" t="s">
        <v>644</v>
      </c>
      <c r="E75" s="834">
        <v>0.2</v>
      </c>
      <c r="F75" s="821">
        <v>30</v>
      </c>
    </row>
    <row r="76" spans="1:6" s="817" customFormat="1" ht="24">
      <c r="A76" s="821">
        <v>16</v>
      </c>
      <c r="B76" s="3567" t="s">
        <v>645</v>
      </c>
      <c r="C76" s="757" t="s">
        <v>646</v>
      </c>
      <c r="D76" s="757" t="s">
        <v>647</v>
      </c>
      <c r="E76" s="834">
        <v>0.5</v>
      </c>
      <c r="F76" s="821">
        <v>80</v>
      </c>
    </row>
    <row r="77" spans="1:6" s="817" customFormat="1" ht="24">
      <c r="A77" s="821">
        <v>17</v>
      </c>
      <c r="B77" s="3567"/>
      <c r="C77" s="757" t="s">
        <v>648</v>
      </c>
      <c r="D77" s="757" t="s">
        <v>649</v>
      </c>
      <c r="E77" s="834">
        <v>0.5</v>
      </c>
      <c r="F77" s="821">
        <v>80</v>
      </c>
    </row>
    <row r="78" spans="1:6" s="817" customFormat="1" ht="24">
      <c r="A78" s="821">
        <v>18</v>
      </c>
      <c r="B78" s="3567"/>
      <c r="C78" s="757" t="s">
        <v>650</v>
      </c>
      <c r="D78" s="757" t="s">
        <v>651</v>
      </c>
      <c r="E78" s="834">
        <v>0.2</v>
      </c>
      <c r="F78" s="821">
        <v>30</v>
      </c>
    </row>
    <row r="79" spans="1:6" s="817" customFormat="1" ht="24">
      <c r="A79" s="821">
        <v>19</v>
      </c>
      <c r="B79" s="3567"/>
      <c r="C79" s="757" t="s">
        <v>652</v>
      </c>
      <c r="D79" s="757" t="s">
        <v>653</v>
      </c>
      <c r="E79" s="834">
        <v>0.5</v>
      </c>
      <c r="F79" s="821">
        <v>80</v>
      </c>
    </row>
    <row r="80" spans="1:6" s="817" customFormat="1" ht="36">
      <c r="A80" s="821">
        <v>20</v>
      </c>
      <c r="B80" s="3567"/>
      <c r="C80" s="757" t="s">
        <v>654</v>
      </c>
      <c r="D80" s="757" t="s">
        <v>655</v>
      </c>
      <c r="E80" s="834">
        <v>0.2</v>
      </c>
      <c r="F80" s="821">
        <v>30</v>
      </c>
    </row>
    <row r="81" spans="1:6" s="817" customFormat="1" ht="36">
      <c r="A81" s="821">
        <v>21</v>
      </c>
      <c r="B81" s="3567"/>
      <c r="C81" s="757" t="s">
        <v>656</v>
      </c>
      <c r="D81" s="757" t="s">
        <v>657</v>
      </c>
      <c r="E81" s="834">
        <v>0.2</v>
      </c>
      <c r="F81" s="821">
        <v>30</v>
      </c>
    </row>
    <row r="82" spans="1:6" s="817" customFormat="1" ht="48">
      <c r="A82" s="821">
        <v>22</v>
      </c>
      <c r="B82" s="3567"/>
      <c r="C82" s="757" t="s">
        <v>658</v>
      </c>
      <c r="D82" s="757" t="s">
        <v>659</v>
      </c>
      <c r="E82" s="834">
        <v>0.2</v>
      </c>
      <c r="F82" s="821">
        <v>30</v>
      </c>
    </row>
    <row r="83" spans="1:6" s="817" customFormat="1" ht="48">
      <c r="A83" s="821">
        <v>23</v>
      </c>
      <c r="B83" s="3567"/>
      <c r="C83" s="757" t="s">
        <v>660</v>
      </c>
      <c r="D83" s="757" t="s">
        <v>661</v>
      </c>
      <c r="E83" s="834">
        <v>0.2</v>
      </c>
      <c r="F83" s="821">
        <v>30</v>
      </c>
    </row>
    <row r="84" spans="1:6" s="817" customFormat="1" ht="36">
      <c r="A84" s="821">
        <v>24</v>
      </c>
      <c r="B84" s="3567"/>
      <c r="C84" s="757" t="s">
        <v>662</v>
      </c>
      <c r="D84" s="757" t="s">
        <v>663</v>
      </c>
      <c r="E84" s="834">
        <v>0.2</v>
      </c>
      <c r="F84" s="821">
        <v>30</v>
      </c>
    </row>
    <row r="85" spans="1:6" s="817" customFormat="1" ht="36">
      <c r="A85" s="821">
        <v>25</v>
      </c>
      <c r="B85" s="3567"/>
      <c r="C85" s="757" t="s">
        <v>664</v>
      </c>
      <c r="D85" s="757" t="s">
        <v>665</v>
      </c>
      <c r="E85" s="834">
        <v>0.5</v>
      </c>
      <c r="F85" s="821">
        <v>80</v>
      </c>
    </row>
    <row r="86" spans="1:6" s="817" customFormat="1" ht="36">
      <c r="A86" s="821">
        <v>26</v>
      </c>
      <c r="B86" s="3567"/>
      <c r="C86" s="757" t="s">
        <v>666</v>
      </c>
      <c r="D86" s="757" t="s">
        <v>667</v>
      </c>
      <c r="E86" s="834">
        <v>0.2</v>
      </c>
      <c r="F86" s="821">
        <v>30</v>
      </c>
    </row>
    <row r="87" spans="1:6" s="817" customFormat="1" ht="36">
      <c r="A87" s="821">
        <v>27</v>
      </c>
      <c r="B87" s="3567"/>
      <c r="C87" s="757" t="s">
        <v>668</v>
      </c>
      <c r="D87" s="757" t="s">
        <v>669</v>
      </c>
      <c r="E87" s="834">
        <v>0.2</v>
      </c>
      <c r="F87" s="821">
        <v>30</v>
      </c>
    </row>
    <row r="88" spans="1:6" s="817" customFormat="1" ht="36">
      <c r="A88" s="821">
        <v>28</v>
      </c>
      <c r="B88" s="3567"/>
      <c r="C88" s="757" t="s">
        <v>670</v>
      </c>
      <c r="D88" s="757" t="s">
        <v>671</v>
      </c>
      <c r="E88" s="834">
        <v>0.2</v>
      </c>
      <c r="F88" s="821">
        <v>30</v>
      </c>
    </row>
    <row r="89" spans="1:6" s="817" customFormat="1" ht="24">
      <c r="A89" s="821">
        <v>29</v>
      </c>
      <c r="B89" s="3567"/>
      <c r="C89" s="757" t="s">
        <v>672</v>
      </c>
      <c r="D89" s="757" t="s">
        <v>673</v>
      </c>
      <c r="E89" s="834">
        <v>0.2</v>
      </c>
      <c r="F89" s="821">
        <v>30</v>
      </c>
    </row>
    <row r="90" spans="1:6" s="817" customFormat="1" ht="24">
      <c r="A90" s="821">
        <v>30</v>
      </c>
      <c r="B90" s="3567"/>
      <c r="C90" s="757" t="s">
        <v>674</v>
      </c>
      <c r="D90" s="757" t="s">
        <v>675</v>
      </c>
      <c r="E90" s="834">
        <v>0.2</v>
      </c>
      <c r="F90" s="821">
        <v>30</v>
      </c>
    </row>
    <row r="91" spans="1:6" s="817" customFormat="1" ht="36">
      <c r="A91" s="821">
        <v>31</v>
      </c>
      <c r="B91" s="3567"/>
      <c r="C91" s="757" t="s">
        <v>676</v>
      </c>
      <c r="D91" s="757" t="s">
        <v>677</v>
      </c>
      <c r="E91" s="834">
        <v>0.2</v>
      </c>
      <c r="F91" s="821">
        <v>30</v>
      </c>
    </row>
    <row r="92" spans="1:6" s="817" customFormat="1" ht="24">
      <c r="A92" s="821">
        <v>32</v>
      </c>
      <c r="B92" s="3567" t="s">
        <v>678</v>
      </c>
      <c r="C92" s="821" t="s">
        <v>679</v>
      </c>
      <c r="D92" s="757" t="s">
        <v>680</v>
      </c>
      <c r="E92" s="834">
        <v>0.2</v>
      </c>
      <c r="F92" s="821">
        <v>30</v>
      </c>
    </row>
    <row r="93" spans="1:6" s="817" customFormat="1" ht="36">
      <c r="A93" s="821">
        <v>33</v>
      </c>
      <c r="B93" s="3567"/>
      <c r="C93" s="821" t="s">
        <v>681</v>
      </c>
      <c r="D93" s="757" t="s">
        <v>682</v>
      </c>
      <c r="E93" s="834">
        <v>0.2</v>
      </c>
      <c r="F93" s="821">
        <v>30</v>
      </c>
    </row>
    <row r="94" spans="1:6" s="817" customFormat="1" ht="48">
      <c r="A94" s="821">
        <v>34</v>
      </c>
      <c r="B94" s="3567"/>
      <c r="C94" s="821" t="s">
        <v>683</v>
      </c>
      <c r="D94" s="757" t="s">
        <v>684</v>
      </c>
      <c r="E94" s="834">
        <v>0.2</v>
      </c>
      <c r="F94" s="821">
        <v>30</v>
      </c>
    </row>
    <row r="95" spans="1:6" s="817" customFormat="1" ht="36">
      <c r="A95" s="821">
        <v>35</v>
      </c>
      <c r="B95" s="3567"/>
      <c r="C95" s="821" t="s">
        <v>685</v>
      </c>
      <c r="D95" s="757" t="s">
        <v>686</v>
      </c>
      <c r="E95" s="834">
        <v>0.2</v>
      </c>
      <c r="F95" s="821">
        <v>30</v>
      </c>
    </row>
    <row r="96" spans="1:6" s="817" customFormat="1" ht="48">
      <c r="A96" s="821">
        <v>36</v>
      </c>
      <c r="B96" s="3567"/>
      <c r="C96" s="757" t="s">
        <v>687</v>
      </c>
      <c r="D96" s="757" t="s">
        <v>688</v>
      </c>
      <c r="E96" s="834">
        <v>0.2</v>
      </c>
      <c r="F96" s="821">
        <v>30</v>
      </c>
    </row>
    <row r="97" spans="1:6" s="817" customFormat="1" ht="36">
      <c r="A97" s="821">
        <v>37</v>
      </c>
      <c r="B97" s="3567"/>
      <c r="C97" s="821" t="s">
        <v>689</v>
      </c>
      <c r="D97" s="757" t="s">
        <v>690</v>
      </c>
      <c r="E97" s="834">
        <v>0.2</v>
      </c>
      <c r="F97" s="821">
        <v>30</v>
      </c>
    </row>
    <row r="98" spans="1:6" s="817" customFormat="1" ht="36">
      <c r="A98" s="821">
        <v>38</v>
      </c>
      <c r="B98" s="3567"/>
      <c r="C98" s="821" t="s">
        <v>691</v>
      </c>
      <c r="D98" s="757" t="s">
        <v>692</v>
      </c>
      <c r="E98" s="834">
        <v>0.2</v>
      </c>
      <c r="F98" s="821">
        <v>30</v>
      </c>
    </row>
    <row r="99" spans="1:6" s="817" customFormat="1" ht="36">
      <c r="A99" s="821">
        <v>39</v>
      </c>
      <c r="B99" s="3567" t="s">
        <v>693</v>
      </c>
      <c r="C99" s="821" t="s">
        <v>694</v>
      </c>
      <c r="D99" s="757" t="s">
        <v>695</v>
      </c>
      <c r="E99" s="834">
        <v>0.3</v>
      </c>
      <c r="F99" s="821">
        <v>50</v>
      </c>
    </row>
    <row r="100" spans="1:6" s="817" customFormat="1" ht="24">
      <c r="A100" s="821">
        <v>40</v>
      </c>
      <c r="B100" s="3567"/>
      <c r="C100" s="821" t="s">
        <v>696</v>
      </c>
      <c r="D100" s="757" t="s">
        <v>697</v>
      </c>
      <c r="E100" s="834">
        <v>0.2</v>
      </c>
      <c r="F100" s="821">
        <v>30</v>
      </c>
    </row>
    <row r="101" spans="1:6" s="817" customFormat="1" ht="36">
      <c r="A101" s="821">
        <v>41</v>
      </c>
      <c r="B101" s="356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7" t="s">
        <v>708</v>
      </c>
      <c r="C105" s="821" t="s">
        <v>709</v>
      </c>
      <c r="D105" s="757" t="s">
        <v>710</v>
      </c>
      <c r="E105" s="834">
        <v>0.2</v>
      </c>
      <c r="F105" s="821">
        <v>30</v>
      </c>
    </row>
    <row r="106" spans="1:6" s="817" customFormat="1" ht="36">
      <c r="A106" s="821">
        <v>46</v>
      </c>
      <c r="B106" s="3567"/>
      <c r="C106" s="821" t="s">
        <v>711</v>
      </c>
      <c r="D106" s="757" t="s">
        <v>712</v>
      </c>
      <c r="E106" s="834">
        <v>0.2</v>
      </c>
      <c r="F106" s="821">
        <v>30</v>
      </c>
    </row>
    <row r="107" spans="1:6" s="817" customFormat="1" ht="36">
      <c r="A107" s="821">
        <v>47</v>
      </c>
      <c r="B107" s="3567" t="s">
        <v>713</v>
      </c>
      <c r="C107" s="821" t="s">
        <v>714</v>
      </c>
      <c r="D107" s="757" t="s">
        <v>715</v>
      </c>
      <c r="E107" s="834">
        <v>0.3</v>
      </c>
      <c r="F107" s="821">
        <v>50</v>
      </c>
    </row>
    <row r="108" spans="1:6" s="817" customFormat="1" ht="36">
      <c r="A108" s="821">
        <v>48</v>
      </c>
      <c r="B108" s="356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7" t="s">
        <v>724</v>
      </c>
      <c r="C111" s="821" t="s">
        <v>725</v>
      </c>
      <c r="D111" s="757" t="s">
        <v>726</v>
      </c>
      <c r="E111" s="834">
        <v>0.2</v>
      </c>
      <c r="F111" s="821">
        <v>30</v>
      </c>
    </row>
    <row r="112" spans="1:6" s="817" customFormat="1" ht="24">
      <c r="A112" s="821">
        <v>52</v>
      </c>
      <c r="B112" s="3567"/>
      <c r="C112" s="821" t="s">
        <v>727</v>
      </c>
      <c r="D112" s="757" t="s">
        <v>728</v>
      </c>
      <c r="E112" s="834">
        <v>0.2</v>
      </c>
      <c r="F112" s="821">
        <v>30</v>
      </c>
    </row>
    <row r="113" spans="1:6" s="817" customFormat="1" ht="24">
      <c r="A113" s="821">
        <v>53</v>
      </c>
      <c r="B113" s="356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7" t="s">
        <v>737</v>
      </c>
      <c r="C116" s="821" t="s">
        <v>738</v>
      </c>
      <c r="D116" s="757" t="s">
        <v>739</v>
      </c>
      <c r="E116" s="834">
        <v>0.2</v>
      </c>
      <c r="F116" s="821">
        <v>30</v>
      </c>
    </row>
    <row r="117" spans="1:6" ht="36">
      <c r="A117" s="821">
        <v>57</v>
      </c>
      <c r="B117" s="356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1.2305999999999999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509</v>
      </c>
      <c r="C2" s="2330" t="s">
        <v>2753</v>
      </c>
      <c r="D2" s="2330" t="s">
        <v>2754</v>
      </c>
      <c r="E2" s="2807">
        <f ca="1">SUMIF(E6:E13,"&lt;&gt;#ref!",E6:E13)</f>
        <v>3519.53</v>
      </c>
      <c r="F2" s="2993"/>
      <c r="G2" s="2993"/>
      <c r="H2" s="2993"/>
      <c r="I2" s="2993"/>
      <c r="J2" s="2993"/>
      <c r="K2" s="2993"/>
      <c r="L2" s="2993"/>
      <c r="M2" s="2993"/>
      <c r="N2" s="2993"/>
      <c r="O2" s="2993"/>
      <c r="P2" s="2993"/>
    </row>
    <row r="3" spans="1:16" ht="15.75">
      <c r="A3" s="2330" t="s">
        <v>2755</v>
      </c>
      <c r="B3" s="2797">
        <f ca="1">ROUND(B2*10000/E2,0)</f>
        <v>1446</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509</v>
      </c>
      <c r="C6" s="2330" t="s">
        <v>2753</v>
      </c>
      <c r="D6" s="2993"/>
      <c r="E6" s="2807">
        <f ca="1">SUMIF(INDIRECT("'"&amp;A6&amp;"'"&amp;"!C:C"),"建筑面积",INDIRECT("'"&amp;A6&amp;"'"&amp;"!D:D"))</f>
        <v>3519.53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3" t="s">
        <v>1058</v>
      </c>
      <c r="C1" s="3573"/>
      <c r="D1" s="3573"/>
      <c r="E1" s="3573"/>
      <c r="F1" s="3573"/>
      <c r="G1" s="3572" t="s">
        <v>1059</v>
      </c>
      <c r="H1" s="3572"/>
      <c r="I1" s="3572"/>
      <c r="J1" s="3572"/>
      <c r="K1" s="3572"/>
      <c r="L1" s="3572"/>
      <c r="N1" s="3572" t="s">
        <v>1060</v>
      </c>
      <c r="O1" s="3572"/>
      <c r="P1" s="3572"/>
      <c r="Q1" s="3572"/>
      <c r="S1" s="3572" t="s">
        <v>1061</v>
      </c>
      <c r="T1" s="3572"/>
      <c r="U1" s="3572"/>
      <c r="V1" s="3572"/>
      <c r="X1" s="3571" t="s">
        <v>1062</v>
      </c>
      <c r="Y1" s="3572"/>
      <c r="Z1" s="3572"/>
      <c r="AA1" s="3572"/>
      <c r="AB1" s="3572"/>
      <c r="AD1" s="3571" t="s">
        <v>1063</v>
      </c>
      <c r="AE1" s="3572"/>
      <c r="AF1" s="3572"/>
      <c r="AG1" s="3572"/>
      <c r="AH1" s="357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3115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69">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69"/>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69"/>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7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7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69"/>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69"/>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7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69"/>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69"/>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0"/>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68">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69"/>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69"/>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0"/>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68">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69"/>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69"/>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0"/>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7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7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7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68">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69"/>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69"/>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0"/>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68">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69">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69">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0">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68">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69">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69">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0">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68">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69">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69">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0">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68">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69">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69">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0">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68">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69">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69">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0">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68">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69">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69">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0">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68">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69">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69">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0">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68">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69">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69">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0">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68">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69">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69">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0">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68">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69">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69">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0">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82" t="s">
        <v>2763</v>
      </c>
      <c r="D1" s="3583"/>
      <c r="E1" s="3583"/>
      <c r="F1" s="3583"/>
      <c r="G1" s="3583"/>
      <c r="H1" s="3583"/>
      <c r="I1" s="3583"/>
      <c r="J1" s="3583"/>
      <c r="K1" s="3583"/>
      <c r="L1" s="3583"/>
      <c r="M1" s="3583"/>
      <c r="N1" s="3583"/>
      <c r="O1" s="3583"/>
      <c r="P1" s="3583"/>
      <c r="Q1" s="3583"/>
      <c r="R1" s="3583"/>
      <c r="S1" s="3584"/>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79" t="s">
        <v>33</v>
      </c>
      <c r="D22" s="3580"/>
      <c r="E22" s="3580"/>
      <c r="F22" s="3580"/>
      <c r="G22" s="3580"/>
      <c r="H22" s="3580"/>
      <c r="I22" s="3580"/>
      <c r="J22" s="3580"/>
      <c r="K22" s="3580"/>
      <c r="L22" s="3580"/>
      <c r="M22" s="3580"/>
      <c r="N22" s="3580"/>
      <c r="O22" s="3580"/>
      <c r="P22" s="3580"/>
      <c r="Q22" s="3581"/>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47"/>
      <c r="B4" s="3254" t="s">
        <v>1535</v>
      </c>
      <c r="C4" s="3254"/>
      <c r="D4" s="3254"/>
      <c r="E4" s="1647"/>
    </row>
    <row r="5" spans="1:5" ht="16.5" thickTop="1">
      <c r="A5" s="1645"/>
      <c r="B5" s="3252" t="s">
        <v>1527</v>
      </c>
      <c r="C5" s="1648" t="s">
        <v>1528</v>
      </c>
      <c r="D5" s="959">
        <f ca="1">结果表!H101</f>
        <v>2888</v>
      </c>
      <c r="E5" s="1645"/>
    </row>
    <row r="6" spans="1:5" ht="15.75">
      <c r="A6" s="1645"/>
      <c r="B6" s="3252"/>
      <c r="C6" s="1648" t="s">
        <v>1529</v>
      </c>
      <c r="D6" s="959" t="str">
        <f ca="1">NUMBERSTRING(INT(D5*10000),2)&amp;"元整"</f>
        <v>贰仟捌佰捌拾捌万元整</v>
      </c>
      <c r="E6" s="1645"/>
    </row>
    <row r="7" spans="1:5" ht="15.75">
      <c r="A7" s="1645"/>
      <c r="B7" s="3257"/>
      <c r="C7" s="1649" t="s">
        <v>1530</v>
      </c>
      <c r="D7" s="960">
        <f ca="1">结果表!H102</f>
        <v>8206</v>
      </c>
      <c r="E7" s="1645"/>
    </row>
    <row r="8" spans="1:5" ht="15.75">
      <c r="A8" s="1645"/>
      <c r="B8" s="3258" t="str">
        <f>结果表!E103</f>
        <v>2.估价师知悉的法定优先受偿款</v>
      </c>
      <c r="C8" s="1650" t="s">
        <v>1531</v>
      </c>
      <c r="D8" s="960">
        <f>结果表!H103</f>
        <v>0</v>
      </c>
      <c r="E8" s="1645"/>
    </row>
    <row r="9" spans="1:5" ht="15.75">
      <c r="A9" s="1645"/>
      <c r="B9" s="326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1" t="str">
        <f>结果表!E107</f>
        <v>3.房地产抵押价值</v>
      </c>
      <c r="C13" s="1653" t="s">
        <v>1528</v>
      </c>
      <c r="D13" s="962">
        <f ca="1">结果表!H107</f>
        <v>2888</v>
      </c>
      <c r="E13" s="1645"/>
    </row>
    <row r="14" spans="1:5" ht="15.75">
      <c r="A14" s="1645"/>
      <c r="B14" s="3252"/>
      <c r="C14" s="1648" t="s">
        <v>1529</v>
      </c>
      <c r="D14" s="959" t="str">
        <f ca="1">NUMBERSTRING(INT(D13*10000),2)&amp;"元整"</f>
        <v>贰仟捌佰捌拾捌万元整</v>
      </c>
      <c r="E14" s="1645"/>
    </row>
    <row r="15" spans="1:5" ht="15">
      <c r="A15" s="1645"/>
      <c r="B15" s="3257"/>
      <c r="C15" s="1649" t="s">
        <v>1539</v>
      </c>
      <c r="D15" s="968">
        <f ca="1">结果表!H108</f>
        <v>8206</v>
      </c>
      <c r="E15" s="1645"/>
    </row>
    <row r="16" spans="1:5" ht="15">
      <c r="A16" s="1645"/>
      <c r="B16" s="3258" t="str">
        <f>结果表!E109</f>
        <v>——</v>
      </c>
      <c r="C16" s="1653" t="s">
        <v>1540</v>
      </c>
      <c r="D16" s="1654" t="str">
        <f>结果表!H109</f>
        <v>——</v>
      </c>
      <c r="E16" s="1645"/>
    </row>
    <row r="17" spans="1:5" ht="15.75">
      <c r="A17" s="1645"/>
      <c r="B17" s="3259"/>
      <c r="C17" s="1648" t="s">
        <v>1541</v>
      </c>
      <c r="D17" s="959" t="e">
        <f>NUMBERSTRING(INT(D16*10000),2)&amp;"元整"</f>
        <v>#VALUE!</v>
      </c>
      <c r="E17" s="1645"/>
    </row>
    <row r="18" spans="1:5" ht="15">
      <c r="A18" s="1645"/>
      <c r="B18" s="3260"/>
      <c r="C18" s="1649" t="s">
        <v>1530</v>
      </c>
      <c r="D18" s="968" t="str">
        <f>结果表!H110</f>
        <v>——</v>
      </c>
      <c r="E18" s="1645"/>
    </row>
    <row r="19" spans="1:5" ht="15.75">
      <c r="A19" s="1645"/>
      <c r="B19" s="3251" t="str">
        <f>结果表!E111</f>
        <v>——</v>
      </c>
      <c r="C19" s="1653" t="s">
        <v>1528</v>
      </c>
      <c r="D19" s="960" t="str">
        <f>结果表!H111</f>
        <v>——</v>
      </c>
      <c r="E19" s="1645"/>
    </row>
    <row r="20" spans="1:5" ht="15.75">
      <c r="A20" s="1645"/>
      <c r="B20" s="3252"/>
      <c r="C20" s="1648" t="s">
        <v>1541</v>
      </c>
      <c r="D20" s="959" t="e">
        <f>NUMBERSTRING(INT(D19*10000),2)&amp;"元整"</f>
        <v>#VALUE!</v>
      </c>
      <c r="E20" s="1645"/>
    </row>
    <row r="21" spans="1:5" ht="15.75" thickBot="1">
      <c r="A21" s="1645"/>
      <c r="B21" s="3253"/>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30071</v>
      </c>
      <c r="C2" s="2" t="s">
        <v>133</v>
      </c>
      <c r="D2" s="205"/>
      <c r="E2" s="205"/>
      <c r="F2" s="205"/>
      <c r="G2" s="205"/>
    </row>
    <row r="3" spans="1:7" s="206" customFormat="1" ht="18" customHeight="1" thickBot="1">
      <c r="A3" s="209" t="s">
        <v>85</v>
      </c>
      <c r="B3" s="210">
        <f ca="1">ROUND(B2*10000/'数据-汇总表'!E3,0)</f>
        <v>85440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70</v>
      </c>
      <c r="D10" s="954">
        <f>'数据-汇总表'!E6</f>
        <v>3519.53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70</v>
      </c>
      <c r="D19" s="958">
        <f>'数据-汇总表'!E3</f>
        <v>3519.53</v>
      </c>
      <c r="E19" s="217">
        <f>'数据-取费表'!B31</f>
        <v>200</v>
      </c>
      <c r="F19" s="237"/>
      <c r="G19" s="1" t="s">
        <v>1042</v>
      </c>
    </row>
    <row r="20" spans="1:7" s="220" customFormat="1" ht="13.5" customHeight="1">
      <c r="A20" s="885" t="s">
        <v>1025</v>
      </c>
      <c r="B20" s="216" t="s">
        <v>104</v>
      </c>
      <c r="C20" s="238">
        <f>ROUND((C5+C19)*F20,0)</f>
        <v>517</v>
      </c>
      <c r="D20" s="238"/>
      <c r="E20" s="238"/>
      <c r="F20" s="239">
        <f>'数据-取费表'!B37</f>
        <v>2.5000000000000001E-2</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1796</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v>
      </c>
      <c r="D24" s="244"/>
      <c r="E24" s="244"/>
      <c r="F24" s="245"/>
      <c r="G24" s="246" t="s">
        <v>109</v>
      </c>
    </row>
    <row r="25" spans="1:7" s="220" customFormat="1" ht="24">
      <c r="A25" s="888" t="s">
        <v>793</v>
      </c>
      <c r="B25" s="221" t="s">
        <v>1026</v>
      </c>
      <c r="C25" s="1237">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3180</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3180</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1056</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70</v>
      </c>
      <c r="D37" s="223">
        <f>'数据-汇总表'!E3</f>
        <v>3519.53</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29</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439" t="s">
        <v>121</v>
      </c>
    </row>
    <row r="43" spans="1:7" ht="13.5" customHeight="1">
      <c r="A43" s="888" t="s">
        <v>792</v>
      </c>
      <c r="B43" s="221" t="s">
        <v>1032</v>
      </c>
      <c r="C43" s="244">
        <f ca="1">ROUND(IF('数据-取费表'!B22&lt;=1,C39*F22*'数据-取费表'!B21/2,C39*(POWER((1+F22),'数据-取费表'!B21/2)-1)),0)</f>
        <v>1</v>
      </c>
      <c r="D43" s="244"/>
      <c r="E43" s="244"/>
      <c r="F43" s="245"/>
      <c r="G43" s="3440"/>
    </row>
    <row r="44" spans="1:7" ht="13.5" customHeight="1">
      <c r="A44" s="888" t="s">
        <v>793</v>
      </c>
      <c r="B44" s="221" t="s">
        <v>1034</v>
      </c>
      <c r="C44" s="244">
        <f ca="1">ROUND(IF('数据-取费表'!B22&lt;=1,C40*F22*'数据-取费表'!B21/2,C40*(POWER((1+F22),'数据-取费表'!B21/2)-1)),4)</f>
        <v>1.2999999999999999E-3</v>
      </c>
      <c r="D44" s="244"/>
      <c r="E44" s="244"/>
      <c r="F44" s="245"/>
      <c r="G44" s="3441"/>
    </row>
    <row r="45" spans="1:7" s="220" customFormat="1" ht="13.5" customHeight="1">
      <c r="A45" s="885" t="s">
        <v>786</v>
      </c>
      <c r="B45" s="250" t="s">
        <v>112</v>
      </c>
      <c r="C45" s="251">
        <f>C46</f>
        <v>180</v>
      </c>
      <c r="D45" s="241">
        <f>C47</f>
        <v>4.4999999999999997E-3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1573</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1337</v>
      </c>
      <c r="D51" s="238"/>
      <c r="E51" s="238"/>
      <c r="F51" s="270"/>
      <c r="G51" s="240" t="s">
        <v>64</v>
      </c>
    </row>
    <row r="52" spans="1:7" s="214" customFormat="1" ht="16.5" thickBot="1">
      <c r="A52" s="271" t="s">
        <v>65</v>
      </c>
      <c r="B52" s="272"/>
      <c r="C52" s="273">
        <f ca="1">C31+C51</f>
        <v>30071</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5" t="s">
        <v>156</v>
      </c>
      <c r="B1" s="3585"/>
      <c r="C1" s="3585"/>
      <c r="D1" s="3585"/>
      <c r="E1" s="3585"/>
      <c r="F1" s="358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6" t="s">
        <v>169</v>
      </c>
      <c r="B2" s="3586"/>
      <c r="C2" s="3586"/>
      <c r="D2" s="3586"/>
      <c r="E2" s="3586"/>
      <c r="F2" s="358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5" t="s">
        <v>839</v>
      </c>
      <c r="B1" s="358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 sqref="H3"/>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44638</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K46" sqref="K46:AC4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topLeftCell="B1" workbookViewId="0">
      <selection activeCell="P27" sqref="P27"/>
    </sheetView>
  </sheetViews>
  <sheetFormatPr defaultRowHeight="13.5"/>
  <cols>
    <col min="1" max="1" width="30.5" customWidth="1"/>
    <col min="3" max="4" width="9.125" bestFit="1" customWidth="1"/>
    <col min="5" max="5" width="9.25" bestFit="1" customWidth="1"/>
    <col min="6" max="7" width="9.125" bestFit="1" customWidth="1"/>
    <col min="9" max="9" width="10.25" bestFit="1" customWidth="1"/>
    <col min="11" max="11" width="10.25" bestFit="1" customWidth="1"/>
    <col min="12" max="13" width="9.125" bestFit="1" customWidth="1"/>
    <col min="14" max="15" width="9.25" bestFit="1" customWidth="1"/>
    <col min="16" max="17" width="9.125" bestFit="1" customWidth="1"/>
  </cols>
  <sheetData>
    <row r="1" spans="1:15">
      <c r="A1" s="3589" t="s">
        <v>3157</v>
      </c>
      <c r="B1" s="3589" t="s">
        <v>3158</v>
      </c>
      <c r="C1" s="3589" t="s">
        <v>3159</v>
      </c>
      <c r="D1" s="3589" t="s">
        <v>3160</v>
      </c>
      <c r="E1" s="3589" t="s">
        <v>3161</v>
      </c>
      <c r="F1" s="3589" t="s">
        <v>3162</v>
      </c>
      <c r="G1" s="3589" t="s">
        <v>3163</v>
      </c>
      <c r="H1" s="3589" t="s">
        <v>3164</v>
      </c>
      <c r="I1" s="3589" t="s">
        <v>3165</v>
      </c>
      <c r="J1" s="3589" t="s">
        <v>3166</v>
      </c>
      <c r="K1" s="3589" t="s">
        <v>3167</v>
      </c>
      <c r="L1" s="3589" t="s">
        <v>3168</v>
      </c>
      <c r="M1" s="3589" t="s">
        <v>3169</v>
      </c>
      <c r="N1" s="3589" t="s">
        <v>3170</v>
      </c>
      <c r="O1" s="3589" t="s">
        <v>3171</v>
      </c>
    </row>
    <row r="2" spans="1:15" hidden="1">
      <c r="A2" s="3589" t="s">
        <v>3172</v>
      </c>
      <c r="B2" s="3589" t="s">
        <v>3134</v>
      </c>
      <c r="C2" s="3589">
        <v>76366.38</v>
      </c>
      <c r="D2" s="3589">
        <v>114549.57</v>
      </c>
      <c r="E2" s="3589">
        <v>1.5</v>
      </c>
      <c r="F2" s="3589" t="s">
        <v>3173</v>
      </c>
      <c r="G2" s="3589" t="s">
        <v>3134</v>
      </c>
      <c r="H2" s="3589" t="s">
        <v>1239</v>
      </c>
      <c r="I2" s="3590" t="s">
        <v>3174</v>
      </c>
      <c r="J2" s="3589" t="s">
        <v>3175</v>
      </c>
      <c r="K2" s="3589" t="s">
        <v>3176</v>
      </c>
      <c r="L2" s="3589">
        <v>11431.52</v>
      </c>
      <c r="M2" s="3589">
        <v>998</v>
      </c>
      <c r="N2" s="3589">
        <v>0</v>
      </c>
      <c r="O2" s="3589" t="s">
        <v>3177</v>
      </c>
    </row>
    <row r="3" spans="1:15" s="3210" customFormat="1">
      <c r="A3" s="3593" t="s">
        <v>3178</v>
      </c>
      <c r="B3" s="3593" t="s">
        <v>3134</v>
      </c>
      <c r="C3" s="3593">
        <v>40148.6</v>
      </c>
      <c r="D3" s="3593">
        <v>60222.9</v>
      </c>
      <c r="E3" s="3593">
        <v>1.5</v>
      </c>
      <c r="F3" s="3593" t="s">
        <v>3173</v>
      </c>
      <c r="G3" s="3593" t="s">
        <v>6</v>
      </c>
      <c r="H3" s="3593" t="s">
        <v>1239</v>
      </c>
      <c r="I3" s="3594" t="s">
        <v>3179</v>
      </c>
      <c r="J3" s="3593" t="s">
        <v>3175</v>
      </c>
      <c r="K3" s="3593" t="s">
        <v>3180</v>
      </c>
      <c r="L3" s="3593">
        <v>3438.73</v>
      </c>
      <c r="M3" s="3593">
        <v>571</v>
      </c>
      <c r="N3" s="3593">
        <v>0</v>
      </c>
      <c r="O3" s="3593" t="s">
        <v>3181</v>
      </c>
    </row>
    <row r="4" spans="1:15" s="3210" customFormat="1" hidden="1">
      <c r="A4" s="3593" t="s">
        <v>3182</v>
      </c>
      <c r="B4" s="3593" t="s">
        <v>3134</v>
      </c>
      <c r="C4" s="3593">
        <v>19333.34</v>
      </c>
      <c r="D4" s="3593">
        <v>38666.69</v>
      </c>
      <c r="E4" s="3593">
        <v>2</v>
      </c>
      <c r="F4" s="3593" t="s">
        <v>3173</v>
      </c>
      <c r="G4" s="3593" t="s">
        <v>3183</v>
      </c>
      <c r="H4" s="3593" t="s">
        <v>1239</v>
      </c>
      <c r="I4" s="3594" t="s">
        <v>3184</v>
      </c>
      <c r="J4" s="3593" t="s">
        <v>3175</v>
      </c>
      <c r="K4" s="3593" t="s">
        <v>3185</v>
      </c>
      <c r="L4" s="3593">
        <v>3477.1</v>
      </c>
      <c r="M4" s="3593">
        <v>899</v>
      </c>
      <c r="N4" s="3593">
        <v>0</v>
      </c>
      <c r="O4" s="3593">
        <v>20</v>
      </c>
    </row>
    <row r="5" spans="1:15" s="3210" customFormat="1">
      <c r="A5" s="3593" t="s">
        <v>3398</v>
      </c>
      <c r="B5" s="3593" t="s">
        <v>3134</v>
      </c>
      <c r="C5" s="3593">
        <v>95015.4</v>
      </c>
      <c r="D5" s="3593">
        <v>180529.26</v>
      </c>
      <c r="E5" s="3593">
        <v>1.9</v>
      </c>
      <c r="F5" s="3593" t="s">
        <v>3173</v>
      </c>
      <c r="G5" s="3593" t="s">
        <v>3186</v>
      </c>
      <c r="H5" s="3593" t="s">
        <v>1239</v>
      </c>
      <c r="I5" s="3594" t="s">
        <v>3187</v>
      </c>
      <c r="J5" s="3593" t="s">
        <v>3175</v>
      </c>
      <c r="K5" s="3593" t="s">
        <v>3188</v>
      </c>
      <c r="L5" s="3593">
        <v>10308.219999999999</v>
      </c>
      <c r="M5" s="3593">
        <v>571</v>
      </c>
      <c r="N5" s="3593">
        <v>0</v>
      </c>
      <c r="O5" s="3593">
        <v>20</v>
      </c>
    </row>
    <row r="6" spans="1:15" hidden="1">
      <c r="A6" s="3589" t="s">
        <v>3189</v>
      </c>
      <c r="B6" s="3589" t="s">
        <v>3134</v>
      </c>
      <c r="C6" s="3589">
        <v>23200</v>
      </c>
      <c r="D6" s="3589">
        <v>32480</v>
      </c>
      <c r="E6" s="3589">
        <v>1.4</v>
      </c>
      <c r="F6" s="3589" t="s">
        <v>3190</v>
      </c>
      <c r="G6" s="3589" t="s">
        <v>6</v>
      </c>
      <c r="H6" s="3589" t="s">
        <v>1239</v>
      </c>
      <c r="I6" s="3590" t="s">
        <v>3191</v>
      </c>
      <c r="J6" s="3589" t="s">
        <v>3175</v>
      </c>
      <c r="K6" s="3589" t="s">
        <v>3192</v>
      </c>
      <c r="L6" s="3589">
        <v>2150.1799999999998</v>
      </c>
      <c r="M6" s="3589">
        <v>662</v>
      </c>
      <c r="N6" s="3589">
        <v>0</v>
      </c>
      <c r="O6" s="3589" t="s">
        <v>3181</v>
      </c>
    </row>
    <row r="7" spans="1:15" hidden="1">
      <c r="A7" s="3589" t="s">
        <v>3193</v>
      </c>
      <c r="B7" s="3589" t="s">
        <v>3134</v>
      </c>
      <c r="C7" s="3589">
        <v>45949.97</v>
      </c>
      <c r="D7" s="3589">
        <v>82709.95</v>
      </c>
      <c r="E7" s="3589">
        <v>1.8</v>
      </c>
      <c r="F7" s="3589" t="s">
        <v>3173</v>
      </c>
      <c r="G7" s="3589" t="s">
        <v>3194</v>
      </c>
      <c r="H7" s="3589" t="s">
        <v>1239</v>
      </c>
      <c r="I7" s="3590" t="s">
        <v>3195</v>
      </c>
      <c r="J7" s="3589" t="s">
        <v>3175</v>
      </c>
      <c r="K7" s="3589" t="s">
        <v>3196</v>
      </c>
      <c r="L7" s="3589">
        <v>11198.93</v>
      </c>
      <c r="M7" s="3589">
        <v>1354</v>
      </c>
      <c r="N7" s="3589">
        <v>0</v>
      </c>
      <c r="O7" s="3589" t="s">
        <v>3181</v>
      </c>
    </row>
    <row r="8" spans="1:15" hidden="1">
      <c r="A8" s="3589" t="s">
        <v>3197</v>
      </c>
      <c r="B8" s="3589" t="s">
        <v>3134</v>
      </c>
      <c r="C8" s="3589">
        <v>57488.82</v>
      </c>
      <c r="D8" s="3589">
        <v>86233.23</v>
      </c>
      <c r="E8" s="3589" t="s">
        <v>3198</v>
      </c>
      <c r="F8" s="3589" t="s">
        <v>3173</v>
      </c>
      <c r="G8" s="3589" t="s">
        <v>6</v>
      </c>
      <c r="H8" s="3589" t="s">
        <v>1239</v>
      </c>
      <c r="I8" s="3590" t="s">
        <v>3199</v>
      </c>
      <c r="J8" s="3589" t="s">
        <v>3175</v>
      </c>
      <c r="K8" s="3589" t="s">
        <v>3200</v>
      </c>
      <c r="L8" s="3589">
        <v>7835.68</v>
      </c>
      <c r="M8" s="3589">
        <v>909</v>
      </c>
      <c r="N8" s="3589">
        <v>0</v>
      </c>
      <c r="O8" s="3589" t="s">
        <v>3181</v>
      </c>
    </row>
    <row r="9" spans="1:15" hidden="1">
      <c r="A9" s="3589" t="s">
        <v>3201</v>
      </c>
      <c r="B9" s="3589" t="s">
        <v>3134</v>
      </c>
      <c r="C9" s="3589">
        <v>7422.43</v>
      </c>
      <c r="D9" s="3589">
        <v>5937.95</v>
      </c>
      <c r="E9" s="3589" t="s">
        <v>3202</v>
      </c>
      <c r="F9" s="3589" t="s">
        <v>3173</v>
      </c>
      <c r="G9" s="3589" t="s">
        <v>6</v>
      </c>
      <c r="H9" s="3589" t="s">
        <v>1239</v>
      </c>
      <c r="I9" s="3590" t="s">
        <v>3199</v>
      </c>
      <c r="J9" s="3589" t="s">
        <v>3175</v>
      </c>
      <c r="K9" s="3589" t="s">
        <v>3203</v>
      </c>
      <c r="L9" s="3589">
        <v>844.63</v>
      </c>
      <c r="M9" s="3589">
        <v>1422</v>
      </c>
      <c r="N9" s="3589">
        <v>0</v>
      </c>
      <c r="O9" s="3589" t="s">
        <v>3181</v>
      </c>
    </row>
    <row r="10" spans="1:15" hidden="1">
      <c r="A10" s="3589" t="s">
        <v>3204</v>
      </c>
      <c r="B10" s="3589" t="s">
        <v>3134</v>
      </c>
      <c r="C10" s="3589">
        <v>23652.31</v>
      </c>
      <c r="D10" s="3589">
        <v>23652.31</v>
      </c>
      <c r="E10" s="3589">
        <v>1</v>
      </c>
      <c r="F10" s="3589" t="s">
        <v>3173</v>
      </c>
      <c r="G10" s="3589" t="s">
        <v>6</v>
      </c>
      <c r="H10" s="3589" t="s">
        <v>1239</v>
      </c>
      <c r="I10" s="3590" t="s">
        <v>3199</v>
      </c>
      <c r="J10" s="3589" t="s">
        <v>3175</v>
      </c>
      <c r="K10" s="3589" t="s">
        <v>3205</v>
      </c>
      <c r="L10" s="3589">
        <v>2689.6</v>
      </c>
      <c r="M10" s="3589">
        <v>1137</v>
      </c>
      <c r="N10" s="3589">
        <v>0</v>
      </c>
      <c r="O10" s="3589" t="s">
        <v>3181</v>
      </c>
    </row>
    <row r="11" spans="1:15" hidden="1">
      <c r="A11" s="3589" t="s">
        <v>3206</v>
      </c>
      <c r="B11" s="3589" t="s">
        <v>3134</v>
      </c>
      <c r="C11" s="3589">
        <v>23170.400000000001</v>
      </c>
      <c r="D11" s="3589">
        <v>23170.400000000001</v>
      </c>
      <c r="E11" s="3589">
        <v>1</v>
      </c>
      <c r="F11" s="3589" t="s">
        <v>3173</v>
      </c>
      <c r="G11" s="3589" t="s">
        <v>6</v>
      </c>
      <c r="H11" s="3589" t="s">
        <v>1239</v>
      </c>
      <c r="I11" s="3590" t="s">
        <v>3199</v>
      </c>
      <c r="J11" s="3589" t="s">
        <v>3175</v>
      </c>
      <c r="K11" s="3589" t="s">
        <v>3203</v>
      </c>
      <c r="L11" s="3589">
        <v>2632.78</v>
      </c>
      <c r="M11" s="3589">
        <v>1136</v>
      </c>
      <c r="N11" s="3589">
        <v>0</v>
      </c>
      <c r="O11" s="3589" t="s">
        <v>3181</v>
      </c>
    </row>
    <row r="12" spans="1:15">
      <c r="A12" s="3589" t="s">
        <v>3207</v>
      </c>
      <c r="B12" s="3589" t="s">
        <v>3134</v>
      </c>
      <c r="C12" s="3589">
        <v>82052.600000000006</v>
      </c>
      <c r="D12" s="3589">
        <v>155899.94</v>
      </c>
      <c r="E12" s="3589">
        <v>1.9</v>
      </c>
      <c r="F12" s="3589" t="s">
        <v>3173</v>
      </c>
      <c r="G12" s="3589" t="s">
        <v>3134</v>
      </c>
      <c r="H12" s="3589" t="s">
        <v>1239</v>
      </c>
      <c r="I12" s="3590" t="s">
        <v>3208</v>
      </c>
      <c r="J12" s="3589" t="s">
        <v>3175</v>
      </c>
      <c r="K12" s="3589" t="s">
        <v>3209</v>
      </c>
      <c r="L12" s="3589">
        <v>16837.189999999999</v>
      </c>
      <c r="M12" s="3589">
        <v>1080</v>
      </c>
      <c r="N12" s="3589">
        <v>0</v>
      </c>
      <c r="O12" s="3589" t="s">
        <v>3177</v>
      </c>
    </row>
    <row r="13" spans="1:15" s="3210" customFormat="1">
      <c r="A13" s="3593" t="s">
        <v>3210</v>
      </c>
      <c r="B13" s="3593" t="s">
        <v>3134</v>
      </c>
      <c r="C13" s="3593">
        <v>7844</v>
      </c>
      <c r="D13" s="3593">
        <v>11766</v>
      </c>
      <c r="E13" s="3593">
        <v>1.5</v>
      </c>
      <c r="F13" s="3593" t="s">
        <v>3173</v>
      </c>
      <c r="G13" s="3593" t="s">
        <v>3134</v>
      </c>
      <c r="H13" s="3593" t="s">
        <v>1239</v>
      </c>
      <c r="I13" s="3594" t="s">
        <v>3208</v>
      </c>
      <c r="J13" s="3593" t="s">
        <v>3175</v>
      </c>
      <c r="K13" s="3593" t="s">
        <v>3211</v>
      </c>
      <c r="L13" s="3593">
        <v>854.21</v>
      </c>
      <c r="M13" s="3593">
        <v>726</v>
      </c>
      <c r="N13" s="3593">
        <v>0</v>
      </c>
      <c r="O13" s="3593" t="s">
        <v>3177</v>
      </c>
    </row>
    <row r="14" spans="1:15">
      <c r="A14" s="3589" t="s">
        <v>3212</v>
      </c>
      <c r="B14" s="3589" t="s">
        <v>3134</v>
      </c>
      <c r="C14" s="3589">
        <v>49454.7</v>
      </c>
      <c r="D14" s="3589">
        <v>98909.1</v>
      </c>
      <c r="E14" s="3589">
        <v>2</v>
      </c>
      <c r="F14" s="3589" t="s">
        <v>3173</v>
      </c>
      <c r="G14" s="3589" t="s">
        <v>3213</v>
      </c>
      <c r="H14" s="3589" t="s">
        <v>1239</v>
      </c>
      <c r="I14" s="3590" t="s">
        <v>3214</v>
      </c>
      <c r="J14" s="3589" t="s">
        <v>3175</v>
      </c>
      <c r="K14" s="3589" t="s">
        <v>3215</v>
      </c>
      <c r="L14" s="3589">
        <v>6448.89</v>
      </c>
      <c r="M14" s="3589">
        <v>652</v>
      </c>
      <c r="N14" s="3589">
        <v>0</v>
      </c>
      <c r="O14" s="3589">
        <v>50</v>
      </c>
    </row>
    <row r="15" spans="1:15">
      <c r="A15" s="3589" t="s">
        <v>3216</v>
      </c>
      <c r="B15" s="3589" t="s">
        <v>3134</v>
      </c>
      <c r="C15" s="3589">
        <v>13006.3</v>
      </c>
      <c r="D15" s="3589">
        <v>9104.41</v>
      </c>
      <c r="E15" s="3589" t="s">
        <v>3217</v>
      </c>
      <c r="F15" s="3589" t="s">
        <v>3173</v>
      </c>
      <c r="G15" s="3589" t="s">
        <v>3218</v>
      </c>
      <c r="H15" s="3589" t="s">
        <v>1239</v>
      </c>
      <c r="I15" s="3590" t="s">
        <v>3219</v>
      </c>
      <c r="J15" s="3589" t="s">
        <v>3175</v>
      </c>
      <c r="K15" s="3589" t="s">
        <v>3220</v>
      </c>
      <c r="L15" s="3589">
        <v>742.66</v>
      </c>
      <c r="M15" s="3589">
        <v>816</v>
      </c>
      <c r="N15" s="3589">
        <v>0</v>
      </c>
      <c r="O15" s="3589" t="s">
        <v>3181</v>
      </c>
    </row>
    <row r="16" spans="1:15" hidden="1">
      <c r="A16" s="3589" t="s">
        <v>3221</v>
      </c>
      <c r="B16" s="3589" t="s">
        <v>3134</v>
      </c>
      <c r="C16" s="3589">
        <v>6782.77</v>
      </c>
      <c r="D16" s="3589">
        <v>10174.16</v>
      </c>
      <c r="E16" s="3589" t="s">
        <v>3198</v>
      </c>
      <c r="F16" s="3589" t="s">
        <v>3173</v>
      </c>
      <c r="G16" s="3589" t="s">
        <v>3134</v>
      </c>
      <c r="H16" s="3589" t="s">
        <v>1239</v>
      </c>
      <c r="I16" s="3590" t="s">
        <v>3222</v>
      </c>
      <c r="J16" s="3589" t="s">
        <v>3175</v>
      </c>
      <c r="K16" s="3589" t="s">
        <v>3223</v>
      </c>
      <c r="L16" s="3589">
        <v>768.15</v>
      </c>
      <c r="M16" s="3589">
        <v>755</v>
      </c>
      <c r="N16" s="3589">
        <v>0</v>
      </c>
      <c r="O16" s="3589" t="s">
        <v>3181</v>
      </c>
    </row>
    <row r="17" spans="1:16">
      <c r="A17" s="3589" t="s">
        <v>3224</v>
      </c>
      <c r="B17" s="3589" t="s">
        <v>3134</v>
      </c>
      <c r="C17" s="3589">
        <v>106037.9</v>
      </c>
      <c r="D17" s="3589">
        <v>212075.8</v>
      </c>
      <c r="E17" s="3589" t="s">
        <v>3225</v>
      </c>
      <c r="F17" s="3589" t="s">
        <v>3173</v>
      </c>
      <c r="G17" s="3589" t="s">
        <v>3218</v>
      </c>
      <c r="H17" s="3589" t="s">
        <v>1239</v>
      </c>
      <c r="I17" s="3590" t="s">
        <v>3226</v>
      </c>
      <c r="J17" s="3589" t="s">
        <v>3175</v>
      </c>
      <c r="K17" s="3589" t="s">
        <v>3227</v>
      </c>
      <c r="L17" s="3589">
        <v>21377.24</v>
      </c>
      <c r="M17" s="3589">
        <v>1008</v>
      </c>
      <c r="N17" s="3589">
        <v>0</v>
      </c>
      <c r="O17" s="3589" t="s">
        <v>3181</v>
      </c>
    </row>
    <row r="18" spans="1:16" hidden="1">
      <c r="A18" s="3589" t="s">
        <v>3228</v>
      </c>
      <c r="B18" s="3589" t="s">
        <v>3134</v>
      </c>
      <c r="C18" s="3589">
        <v>17315.580000000002</v>
      </c>
      <c r="D18" s="3589">
        <v>20778.689999999999</v>
      </c>
      <c r="E18" s="3589" t="s">
        <v>3229</v>
      </c>
      <c r="F18" s="3589" t="s">
        <v>3173</v>
      </c>
      <c r="G18" s="3589" t="s">
        <v>3230</v>
      </c>
      <c r="H18" s="3589" t="s">
        <v>1239</v>
      </c>
      <c r="I18" s="3590" t="s">
        <v>3231</v>
      </c>
      <c r="J18" s="3589" t="s">
        <v>3175</v>
      </c>
      <c r="K18" s="3589" t="s">
        <v>3232</v>
      </c>
      <c r="L18" s="3589">
        <v>4064.34</v>
      </c>
      <c r="M18" s="3589">
        <v>1956</v>
      </c>
      <c r="N18" s="3589">
        <v>0</v>
      </c>
      <c r="O18" s="3589" t="s">
        <v>3181</v>
      </c>
    </row>
    <row r="19" spans="1:16" hidden="1">
      <c r="A19" s="3589" t="s">
        <v>3233</v>
      </c>
      <c r="B19" s="3589" t="s">
        <v>3134</v>
      </c>
      <c r="C19" s="3589">
        <v>10677.25</v>
      </c>
      <c r="D19" s="3589">
        <v>21354.5</v>
      </c>
      <c r="E19" s="3589" t="s">
        <v>3234</v>
      </c>
      <c r="F19" s="3589" t="s">
        <v>3173</v>
      </c>
      <c r="G19" s="3589" t="s">
        <v>3230</v>
      </c>
      <c r="H19" s="3589" t="s">
        <v>1239</v>
      </c>
      <c r="I19" s="3590" t="s">
        <v>3231</v>
      </c>
      <c r="J19" s="3589" t="s">
        <v>3175</v>
      </c>
      <c r="K19" s="3589" t="s">
        <v>3232</v>
      </c>
      <c r="L19" s="3589">
        <v>4133.82</v>
      </c>
      <c r="M19" s="3589">
        <v>1936</v>
      </c>
      <c r="N19" s="3589">
        <v>0</v>
      </c>
      <c r="O19" s="3589" t="s">
        <v>3181</v>
      </c>
    </row>
    <row r="20" spans="1:16" hidden="1">
      <c r="A20" s="3589" t="s">
        <v>3235</v>
      </c>
      <c r="B20" s="3589" t="s">
        <v>3134</v>
      </c>
      <c r="C20" s="3589">
        <v>20326.22</v>
      </c>
      <c r="D20" s="3589">
        <v>24391.47</v>
      </c>
      <c r="E20" s="3589" t="s">
        <v>3229</v>
      </c>
      <c r="F20" s="3589" t="s">
        <v>3173</v>
      </c>
      <c r="G20" s="3589" t="s">
        <v>3230</v>
      </c>
      <c r="H20" s="3589" t="s">
        <v>1239</v>
      </c>
      <c r="I20" s="3590" t="s">
        <v>3236</v>
      </c>
      <c r="J20" s="3589" t="s">
        <v>3175</v>
      </c>
      <c r="K20" s="3589" t="s">
        <v>3237</v>
      </c>
      <c r="L20" s="3589">
        <v>4768.32</v>
      </c>
      <c r="M20" s="3589">
        <v>1955</v>
      </c>
      <c r="N20" s="3589">
        <v>0</v>
      </c>
      <c r="O20" s="3589" t="s">
        <v>3181</v>
      </c>
    </row>
    <row r="21" spans="1:16" hidden="1">
      <c r="A21" s="3589" t="s">
        <v>3238</v>
      </c>
      <c r="B21" s="3589" t="s">
        <v>3134</v>
      </c>
      <c r="C21" s="3589">
        <v>132895.59</v>
      </c>
      <c r="D21" s="3589">
        <v>132895.59</v>
      </c>
      <c r="E21" s="3589" t="s">
        <v>3239</v>
      </c>
      <c r="F21" s="3589" t="s">
        <v>3173</v>
      </c>
      <c r="G21" s="3589" t="s">
        <v>3240</v>
      </c>
      <c r="H21" s="3589" t="s">
        <v>1239</v>
      </c>
      <c r="I21" s="3590" t="s">
        <v>3241</v>
      </c>
      <c r="J21" s="3589" t="s">
        <v>3175</v>
      </c>
      <c r="K21" s="3589" t="s">
        <v>3242</v>
      </c>
      <c r="L21" s="3589">
        <v>17928.64</v>
      </c>
      <c r="M21" s="3589">
        <v>1349</v>
      </c>
      <c r="N21" s="3589">
        <v>0</v>
      </c>
      <c r="O21" s="3589" t="s">
        <v>3181</v>
      </c>
    </row>
    <row r="22" spans="1:16">
      <c r="A22" s="3589" t="s">
        <v>3243</v>
      </c>
      <c r="B22" s="3589" t="s">
        <v>3134</v>
      </c>
      <c r="C22" s="3589">
        <v>128009.8</v>
      </c>
      <c r="D22" s="3589">
        <v>256019.6</v>
      </c>
      <c r="E22" s="3589" t="s">
        <v>3234</v>
      </c>
      <c r="F22" s="3589" t="s">
        <v>3173</v>
      </c>
      <c r="G22" s="3589" t="s">
        <v>3218</v>
      </c>
      <c r="H22" s="3589" t="s">
        <v>1239</v>
      </c>
      <c r="I22" s="3590" t="s">
        <v>3244</v>
      </c>
      <c r="J22" s="3589" t="s">
        <v>3175</v>
      </c>
      <c r="K22" s="3589" t="s">
        <v>3245</v>
      </c>
      <c r="L22" s="3589">
        <v>14618.72</v>
      </c>
      <c r="M22" s="3589">
        <v>571</v>
      </c>
      <c r="N22" s="3589">
        <v>0</v>
      </c>
      <c r="O22" s="3589" t="s">
        <v>3181</v>
      </c>
    </row>
    <row r="23" spans="1:16">
      <c r="A23" s="3589" t="s">
        <v>3246</v>
      </c>
      <c r="B23" s="3589" t="s">
        <v>3134</v>
      </c>
      <c r="C23" s="3589">
        <v>32265.9</v>
      </c>
      <c r="D23" s="3589">
        <v>38719.08</v>
      </c>
      <c r="E23" s="3589" t="s">
        <v>3247</v>
      </c>
      <c r="F23" s="3589" t="s">
        <v>3173</v>
      </c>
      <c r="G23" s="3589" t="s">
        <v>3248</v>
      </c>
      <c r="H23" s="3589" t="s">
        <v>1239</v>
      </c>
      <c r="I23" s="3590" t="s">
        <v>3249</v>
      </c>
      <c r="J23" s="3589" t="s">
        <v>3175</v>
      </c>
      <c r="K23" s="3589" t="s">
        <v>3250</v>
      </c>
      <c r="L23" s="3589">
        <v>2578.69</v>
      </c>
      <c r="M23" s="3589">
        <v>666</v>
      </c>
      <c r="N23" s="3589">
        <v>0</v>
      </c>
      <c r="O23" s="3589" t="s">
        <v>3181</v>
      </c>
    </row>
    <row r="24" spans="1:16">
      <c r="A24" s="3589" t="s">
        <v>3251</v>
      </c>
      <c r="B24" s="3589" t="s">
        <v>3134</v>
      </c>
      <c r="C24" s="3589">
        <v>145654</v>
      </c>
      <c r="D24" s="3589">
        <v>356072.51</v>
      </c>
      <c r="E24" s="3589" t="s">
        <v>3252</v>
      </c>
      <c r="F24" s="3589" t="s">
        <v>3173</v>
      </c>
      <c r="G24" s="3589" t="s">
        <v>3253</v>
      </c>
      <c r="H24" s="3589" t="s">
        <v>1239</v>
      </c>
      <c r="I24" s="3590" t="s">
        <v>3254</v>
      </c>
      <c r="J24" s="3589" t="s">
        <v>3175</v>
      </c>
      <c r="K24" s="3589" t="s">
        <v>3209</v>
      </c>
      <c r="L24" s="3589">
        <v>38455.83</v>
      </c>
      <c r="M24" s="3589">
        <v>1080</v>
      </c>
      <c r="N24" s="3589">
        <v>0</v>
      </c>
      <c r="O24" s="3589" t="s">
        <v>3177</v>
      </c>
    </row>
    <row r="25" spans="1:16">
      <c r="A25" s="3589" t="s">
        <v>3255</v>
      </c>
      <c r="B25" s="3589" t="s">
        <v>3134</v>
      </c>
      <c r="C25" s="3589">
        <v>12863.4</v>
      </c>
      <c r="D25" s="3589">
        <v>19295.099999999999</v>
      </c>
      <c r="E25" s="3589" t="s">
        <v>3198</v>
      </c>
      <c r="F25" s="3589" t="s">
        <v>3173</v>
      </c>
      <c r="G25" s="3589" t="s">
        <v>3218</v>
      </c>
      <c r="H25" s="3589" t="s">
        <v>1239</v>
      </c>
      <c r="I25" s="3590" t="s">
        <v>3256</v>
      </c>
      <c r="J25" s="3589" t="s">
        <v>3175</v>
      </c>
      <c r="K25" s="3589" t="s">
        <v>3257</v>
      </c>
      <c r="L25" s="3589">
        <v>1132.6199999999999</v>
      </c>
      <c r="M25" s="3589">
        <v>587</v>
      </c>
      <c r="N25" s="3589">
        <v>0</v>
      </c>
      <c r="O25" s="3589" t="s">
        <v>3181</v>
      </c>
    </row>
    <row r="26" spans="1:16">
      <c r="A26" s="3589" t="s">
        <v>3258</v>
      </c>
      <c r="B26" s="3589" t="s">
        <v>3134</v>
      </c>
      <c r="C26" s="3589">
        <v>34162.300000000003</v>
      </c>
      <c r="D26" s="3589">
        <v>68324.600000000006</v>
      </c>
      <c r="E26" s="3589" t="s">
        <v>3225</v>
      </c>
      <c r="F26" s="3589" t="s">
        <v>3173</v>
      </c>
      <c r="G26" s="3589" t="s">
        <v>3253</v>
      </c>
      <c r="H26" s="3589" t="s">
        <v>1239</v>
      </c>
      <c r="I26" s="3590" t="s">
        <v>3259</v>
      </c>
      <c r="J26" s="3589" t="s">
        <v>3175</v>
      </c>
      <c r="K26" s="3589" t="s">
        <v>3260</v>
      </c>
      <c r="L26" s="3589">
        <v>4550.42</v>
      </c>
      <c r="M26" s="3589">
        <v>666</v>
      </c>
      <c r="N26" s="3589">
        <v>0</v>
      </c>
      <c r="O26" s="3589" t="s">
        <v>3181</v>
      </c>
    </row>
    <row r="27" spans="1:16" s="3208" customFormat="1">
      <c r="A27" s="3591" t="s">
        <v>3426</v>
      </c>
      <c r="B27" s="3591" t="s">
        <v>3134</v>
      </c>
      <c r="C27" s="3591">
        <v>23044.5</v>
      </c>
      <c r="D27" s="3591">
        <v>46089</v>
      </c>
      <c r="E27" s="3591" t="s">
        <v>3225</v>
      </c>
      <c r="F27" s="3591" t="s">
        <v>3173</v>
      </c>
      <c r="G27" s="3591" t="s">
        <v>6</v>
      </c>
      <c r="H27" s="3591" t="s">
        <v>1239</v>
      </c>
      <c r="I27" s="3592" t="s">
        <v>3261</v>
      </c>
      <c r="J27" s="3591" t="s">
        <v>3175</v>
      </c>
      <c r="K27" s="3591" t="s">
        <v>3262</v>
      </c>
      <c r="L27" s="3591">
        <v>3346.06</v>
      </c>
      <c r="M27" s="3591">
        <v>726</v>
      </c>
      <c r="N27" s="3591">
        <v>0</v>
      </c>
      <c r="O27" s="3591" t="s">
        <v>3181</v>
      </c>
      <c r="P27" s="3208">
        <f>ROUND(M27*年期修正!G9,0)</f>
        <v>1104</v>
      </c>
    </row>
    <row r="28" spans="1:16" hidden="1">
      <c r="A28" s="3589" t="s">
        <v>3263</v>
      </c>
      <c r="B28" s="3589" t="s">
        <v>3134</v>
      </c>
      <c r="C28" s="3589">
        <v>110807.97</v>
      </c>
      <c r="D28" s="3589">
        <v>149590.76</v>
      </c>
      <c r="E28" s="3589" t="s">
        <v>3264</v>
      </c>
      <c r="F28" s="3589" t="s">
        <v>3173</v>
      </c>
      <c r="G28" s="3589" t="s">
        <v>3134</v>
      </c>
      <c r="H28" s="3589" t="s">
        <v>1239</v>
      </c>
      <c r="I28" s="3590" t="s">
        <v>3265</v>
      </c>
      <c r="J28" s="3589" t="s">
        <v>3175</v>
      </c>
      <c r="K28" s="3589" t="s">
        <v>3266</v>
      </c>
      <c r="L28" s="3589">
        <v>11293.36</v>
      </c>
      <c r="M28" s="3589">
        <v>755</v>
      </c>
      <c r="N28" s="3589">
        <v>0</v>
      </c>
      <c r="O28" s="3589" t="s">
        <v>3181</v>
      </c>
    </row>
    <row r="29" spans="1:16">
      <c r="A29" s="3589" t="s">
        <v>3267</v>
      </c>
      <c r="B29" s="3589" t="s">
        <v>3134</v>
      </c>
      <c r="C29" s="3589">
        <v>16922.8</v>
      </c>
      <c r="D29" s="3589">
        <v>33845.599999999999</v>
      </c>
      <c r="E29" s="3589" t="s">
        <v>3225</v>
      </c>
      <c r="F29" s="3589" t="s">
        <v>3173</v>
      </c>
      <c r="G29" s="3589" t="s">
        <v>6</v>
      </c>
      <c r="H29" s="3589" t="s">
        <v>1239</v>
      </c>
      <c r="I29" s="3590" t="s">
        <v>3268</v>
      </c>
      <c r="J29" s="3589" t="s">
        <v>3175</v>
      </c>
      <c r="K29" s="3589" t="s">
        <v>3269</v>
      </c>
      <c r="L29" s="3589">
        <v>2254.12</v>
      </c>
      <c r="M29" s="3589">
        <v>666</v>
      </c>
      <c r="N29" s="3589">
        <v>0</v>
      </c>
      <c r="O29" s="3589" t="s">
        <v>3181</v>
      </c>
    </row>
    <row r="30" spans="1:16" hidden="1">
      <c r="A30" s="3589" t="s">
        <v>3270</v>
      </c>
      <c r="B30" s="3589" t="s">
        <v>3134</v>
      </c>
      <c r="C30" s="3589">
        <v>33333</v>
      </c>
      <c r="D30" s="3589">
        <v>40000</v>
      </c>
      <c r="E30" s="3589" t="s">
        <v>3247</v>
      </c>
      <c r="F30" s="3589" t="s">
        <v>3173</v>
      </c>
      <c r="G30" s="3589" t="s">
        <v>6</v>
      </c>
      <c r="H30" s="3589" t="s">
        <v>1239</v>
      </c>
      <c r="I30" s="3590" t="s">
        <v>3268</v>
      </c>
      <c r="J30" s="3589" t="s">
        <v>3175</v>
      </c>
      <c r="K30" s="3589" t="s">
        <v>3271</v>
      </c>
      <c r="L30" s="3589">
        <v>5935.6</v>
      </c>
      <c r="M30" s="3589">
        <v>1484</v>
      </c>
      <c r="N30" s="3589">
        <v>0</v>
      </c>
      <c r="O30" s="3589" t="s">
        <v>3181</v>
      </c>
    </row>
    <row r="31" spans="1:16" hidden="1">
      <c r="A31" s="3589" t="s">
        <v>3272</v>
      </c>
      <c r="B31" s="3589" t="s">
        <v>3134</v>
      </c>
      <c r="C31" s="3589">
        <v>106100</v>
      </c>
      <c r="D31" s="3589">
        <v>127300</v>
      </c>
      <c r="E31" s="3589" t="s">
        <v>3247</v>
      </c>
      <c r="F31" s="3589" t="s">
        <v>3173</v>
      </c>
      <c r="G31" s="3589" t="s">
        <v>3273</v>
      </c>
      <c r="H31" s="3589" t="s">
        <v>1239</v>
      </c>
      <c r="I31" s="3590" t="s">
        <v>3274</v>
      </c>
      <c r="J31" s="3589" t="s">
        <v>3175</v>
      </c>
      <c r="K31" s="3589" t="s">
        <v>3275</v>
      </c>
      <c r="L31" s="3589">
        <v>9472.42</v>
      </c>
      <c r="M31" s="3589">
        <v>744</v>
      </c>
      <c r="N31" s="3589">
        <v>0</v>
      </c>
      <c r="O31" s="3589" t="s">
        <v>3181</v>
      </c>
    </row>
    <row r="32" spans="1:16">
      <c r="A32" s="3589" t="s">
        <v>3276</v>
      </c>
      <c r="B32" s="3589" t="s">
        <v>3134</v>
      </c>
      <c r="C32" s="3589">
        <v>471181.9</v>
      </c>
      <c r="D32" s="3589">
        <v>942363.8</v>
      </c>
      <c r="E32" s="3589" t="s">
        <v>3225</v>
      </c>
      <c r="F32" s="3589" t="s">
        <v>3173</v>
      </c>
      <c r="G32" s="3589" t="s">
        <v>3253</v>
      </c>
      <c r="H32" s="3589" t="s">
        <v>1239</v>
      </c>
      <c r="I32" s="3590" t="s">
        <v>3277</v>
      </c>
      <c r="J32" s="3589" t="s">
        <v>3175</v>
      </c>
      <c r="K32" s="3589" t="s">
        <v>3278</v>
      </c>
      <c r="L32" s="3589">
        <v>80100.92</v>
      </c>
      <c r="M32" s="3589">
        <v>850</v>
      </c>
      <c r="N32" s="3589">
        <v>0</v>
      </c>
      <c r="O32" s="3589" t="s">
        <v>3177</v>
      </c>
    </row>
    <row r="33" spans="1:16">
      <c r="A33" s="3589" t="s">
        <v>3279</v>
      </c>
      <c r="B33" s="3589" t="s">
        <v>3134</v>
      </c>
      <c r="C33" s="3589">
        <v>22695.8</v>
      </c>
      <c r="D33" s="3589">
        <v>40852.44</v>
      </c>
      <c r="E33" s="3589" t="s">
        <v>3280</v>
      </c>
      <c r="F33" s="3589" t="s">
        <v>3173</v>
      </c>
      <c r="G33" s="3589" t="s">
        <v>6</v>
      </c>
      <c r="H33" s="3589" t="s">
        <v>1239</v>
      </c>
      <c r="I33" s="3590" t="s">
        <v>3281</v>
      </c>
      <c r="J33" s="3589" t="s">
        <v>3175</v>
      </c>
      <c r="K33" s="3589" t="s">
        <v>3282</v>
      </c>
      <c r="L33" s="3589">
        <v>4412.0600000000004</v>
      </c>
      <c r="M33" s="3589">
        <v>1080</v>
      </c>
      <c r="N33" s="3589">
        <v>0</v>
      </c>
      <c r="O33" s="3589" t="s">
        <v>3181</v>
      </c>
    </row>
    <row r="34" spans="1:16" hidden="1">
      <c r="A34" s="3589" t="s">
        <v>3283</v>
      </c>
      <c r="B34" s="3589" t="s">
        <v>3134</v>
      </c>
      <c r="C34" s="3589">
        <v>14690.2</v>
      </c>
      <c r="D34" s="3589">
        <v>29380.400000000001</v>
      </c>
      <c r="E34" s="3589" t="s">
        <v>3225</v>
      </c>
      <c r="F34" s="3589" t="s">
        <v>3173</v>
      </c>
      <c r="G34" s="3589" t="s">
        <v>3253</v>
      </c>
      <c r="H34" s="3589" t="s">
        <v>1239</v>
      </c>
      <c r="I34" s="3590" t="s">
        <v>3284</v>
      </c>
      <c r="J34" s="3589" t="s">
        <v>3175</v>
      </c>
      <c r="K34" s="3589" t="s">
        <v>3285</v>
      </c>
      <c r="L34" s="3589">
        <v>1956.73</v>
      </c>
      <c r="M34" s="3589">
        <v>666</v>
      </c>
      <c r="N34" s="3589">
        <v>0</v>
      </c>
      <c r="O34" s="3589" t="s">
        <v>3181</v>
      </c>
    </row>
    <row r="35" spans="1:16">
      <c r="A35" s="3589" t="s">
        <v>3286</v>
      </c>
      <c r="B35" s="3589" t="s">
        <v>3134</v>
      </c>
      <c r="C35" s="3589">
        <v>20195.2</v>
      </c>
      <c r="D35" s="3589">
        <v>24234.240000000002</v>
      </c>
      <c r="E35" s="3589" t="s">
        <v>3247</v>
      </c>
      <c r="F35" s="3589" t="s">
        <v>3173</v>
      </c>
      <c r="G35" s="3589" t="s">
        <v>3253</v>
      </c>
      <c r="H35" s="3589" t="s">
        <v>1239</v>
      </c>
      <c r="I35" s="3590" t="s">
        <v>3284</v>
      </c>
      <c r="J35" s="3589" t="s">
        <v>3175</v>
      </c>
      <c r="K35" s="3589" t="s">
        <v>3287</v>
      </c>
      <c r="L35" s="3589">
        <v>1614</v>
      </c>
      <c r="M35" s="3589">
        <v>666</v>
      </c>
      <c r="N35" s="3589">
        <v>0</v>
      </c>
      <c r="O35" s="3589" t="s">
        <v>3181</v>
      </c>
    </row>
    <row r="36" spans="1:16" s="3208" customFormat="1">
      <c r="A36" s="3591" t="s">
        <v>3288</v>
      </c>
      <c r="B36" s="3591" t="s">
        <v>3134</v>
      </c>
      <c r="C36" s="3591">
        <v>12168</v>
      </c>
      <c r="D36" s="3591">
        <v>12168</v>
      </c>
      <c r="E36" s="3591" t="s">
        <v>3289</v>
      </c>
      <c r="F36" s="3591" t="s">
        <v>3173</v>
      </c>
      <c r="G36" s="3591" t="s">
        <v>3290</v>
      </c>
      <c r="H36" s="3591" t="s">
        <v>1239</v>
      </c>
      <c r="I36" s="3592" t="s">
        <v>3284</v>
      </c>
      <c r="J36" s="3591" t="s">
        <v>3175</v>
      </c>
      <c r="K36" s="3591" t="s">
        <v>3209</v>
      </c>
      <c r="L36" s="3591">
        <v>883.4</v>
      </c>
      <c r="M36" s="3591">
        <v>726</v>
      </c>
      <c r="N36" s="3591">
        <v>0</v>
      </c>
      <c r="O36" s="3591" t="s">
        <v>3181</v>
      </c>
      <c r="P36" s="3208">
        <f>ROUND(M36*年期修正!G9,0)</f>
        <v>1104</v>
      </c>
    </row>
    <row r="37" spans="1:16">
      <c r="A37" s="3589" t="s">
        <v>3291</v>
      </c>
      <c r="B37" s="3589" t="s">
        <v>3134</v>
      </c>
      <c r="C37" s="3589">
        <v>66050.399999999994</v>
      </c>
      <c r="D37" s="3589">
        <v>99075.6</v>
      </c>
      <c r="E37" s="3589" t="s">
        <v>3198</v>
      </c>
      <c r="F37" s="3589" t="s">
        <v>3173</v>
      </c>
      <c r="G37" s="3589" t="s">
        <v>3253</v>
      </c>
      <c r="H37" s="3589" t="s">
        <v>1239</v>
      </c>
      <c r="I37" s="3590" t="s">
        <v>3292</v>
      </c>
      <c r="J37" s="3589" t="s">
        <v>3175</v>
      </c>
      <c r="K37" s="3589" t="s">
        <v>3293</v>
      </c>
      <c r="L37" s="3589">
        <v>5815.74</v>
      </c>
      <c r="M37" s="3589">
        <v>587</v>
      </c>
      <c r="N37" s="3589">
        <v>0</v>
      </c>
      <c r="O37" s="3589" t="s">
        <v>3181</v>
      </c>
    </row>
    <row r="38" spans="1:16">
      <c r="A38" s="3589" t="s">
        <v>3294</v>
      </c>
      <c r="B38" s="3589" t="s">
        <v>3134</v>
      </c>
      <c r="C38" s="3589">
        <v>39596.699999999997</v>
      </c>
      <c r="D38" s="3589">
        <v>59395.05</v>
      </c>
      <c r="E38" s="3589" t="s">
        <v>3198</v>
      </c>
      <c r="F38" s="3589" t="s">
        <v>3173</v>
      </c>
      <c r="G38" s="3589" t="s">
        <v>3253</v>
      </c>
      <c r="H38" s="3589" t="s">
        <v>1239</v>
      </c>
      <c r="I38" s="3590" t="s">
        <v>3292</v>
      </c>
      <c r="J38" s="3589" t="s">
        <v>3175</v>
      </c>
      <c r="K38" s="3589" t="s">
        <v>3295</v>
      </c>
      <c r="L38" s="3589">
        <v>3486.49</v>
      </c>
      <c r="M38" s="3589">
        <v>587</v>
      </c>
      <c r="N38" s="3589">
        <v>0</v>
      </c>
      <c r="O38" s="3589" t="s">
        <v>3181</v>
      </c>
    </row>
    <row r="39" spans="1:16">
      <c r="A39" s="3589" t="s">
        <v>3296</v>
      </c>
      <c r="B39" s="3589" t="s">
        <v>3134</v>
      </c>
      <c r="C39" s="3589">
        <v>33256</v>
      </c>
      <c r="D39" s="3589">
        <v>49884</v>
      </c>
      <c r="E39" s="3589" t="s">
        <v>3198</v>
      </c>
      <c r="F39" s="3589" t="s">
        <v>3173</v>
      </c>
      <c r="G39" s="3589" t="s">
        <v>3253</v>
      </c>
      <c r="H39" s="3589" t="s">
        <v>1239</v>
      </c>
      <c r="I39" s="3590" t="s">
        <v>3292</v>
      </c>
      <c r="J39" s="3589" t="s">
        <v>3175</v>
      </c>
      <c r="K39" s="3589" t="s">
        <v>3297</v>
      </c>
      <c r="L39" s="3589">
        <v>2848.38</v>
      </c>
      <c r="M39" s="3589">
        <v>571</v>
      </c>
      <c r="N39" s="3589">
        <v>0</v>
      </c>
      <c r="O39" s="3589" t="s">
        <v>3181</v>
      </c>
    </row>
    <row r="40" spans="1:16">
      <c r="A40" s="3589" t="s">
        <v>3298</v>
      </c>
      <c r="B40" s="3589" t="s">
        <v>3134</v>
      </c>
      <c r="C40" s="3589">
        <v>73285.399999999994</v>
      </c>
      <c r="D40" s="3589">
        <v>109928.1</v>
      </c>
      <c r="E40" s="3589" t="s">
        <v>3198</v>
      </c>
      <c r="F40" s="3589" t="s">
        <v>3173</v>
      </c>
      <c r="G40" s="3589" t="s">
        <v>3253</v>
      </c>
      <c r="H40" s="3589" t="s">
        <v>1239</v>
      </c>
      <c r="I40" s="3590" t="s">
        <v>3299</v>
      </c>
      <c r="J40" s="3589" t="s">
        <v>3175</v>
      </c>
      <c r="K40" s="3589" t="s">
        <v>3300</v>
      </c>
      <c r="L40" s="3589">
        <v>6276.89</v>
      </c>
      <c r="M40" s="3589">
        <v>571</v>
      </c>
      <c r="N40" s="3589">
        <v>0</v>
      </c>
      <c r="O40" s="3589" t="s">
        <v>3181</v>
      </c>
    </row>
    <row r="41" spans="1:16">
      <c r="A41" s="3589" t="s">
        <v>3301</v>
      </c>
      <c r="B41" s="3589" t="s">
        <v>3134</v>
      </c>
      <c r="C41" s="3589">
        <v>40148.6</v>
      </c>
      <c r="D41" s="3589">
        <v>60222.9</v>
      </c>
      <c r="E41" s="3589" t="s">
        <v>3198</v>
      </c>
      <c r="F41" s="3589" t="s">
        <v>3173</v>
      </c>
      <c r="G41" s="3589" t="s">
        <v>3253</v>
      </c>
      <c r="H41" s="3589" t="s">
        <v>1239</v>
      </c>
      <c r="I41" s="3590" t="s">
        <v>3299</v>
      </c>
      <c r="J41" s="3589" t="s">
        <v>3175</v>
      </c>
      <c r="K41" s="3589" t="s">
        <v>3180</v>
      </c>
      <c r="L41" s="3589">
        <v>3438.73</v>
      </c>
      <c r="M41" s="3589">
        <v>571</v>
      </c>
      <c r="N41" s="3589">
        <v>0</v>
      </c>
      <c r="O41" s="3589" t="s">
        <v>3181</v>
      </c>
    </row>
    <row r="42" spans="1:16">
      <c r="A42" s="3589" t="s">
        <v>3302</v>
      </c>
      <c r="B42" s="3589" t="s">
        <v>3134</v>
      </c>
      <c r="C42" s="3589">
        <v>25694.7</v>
      </c>
      <c r="D42" s="3589">
        <v>38542.050000000003</v>
      </c>
      <c r="E42" s="3589" t="s">
        <v>3198</v>
      </c>
      <c r="F42" s="3589" t="s">
        <v>3173</v>
      </c>
      <c r="G42" s="3589" t="s">
        <v>3253</v>
      </c>
      <c r="H42" s="3589" t="s">
        <v>1239</v>
      </c>
      <c r="I42" s="3590" t="s">
        <v>3299</v>
      </c>
      <c r="J42" s="3589" t="s">
        <v>3175</v>
      </c>
      <c r="K42" s="3589" t="s">
        <v>3303</v>
      </c>
      <c r="L42" s="3589">
        <v>2200.75</v>
      </c>
      <c r="M42" s="3589">
        <v>571</v>
      </c>
      <c r="N42" s="3589">
        <v>0</v>
      </c>
      <c r="O42" s="3589" t="s">
        <v>3181</v>
      </c>
    </row>
    <row r="43" spans="1:16">
      <c r="A43" s="3589" t="s">
        <v>3304</v>
      </c>
      <c r="B43" s="3589" t="s">
        <v>3134</v>
      </c>
      <c r="C43" s="3589">
        <v>30589.9</v>
      </c>
      <c r="D43" s="3589">
        <v>45884.85</v>
      </c>
      <c r="E43" s="3589" t="s">
        <v>3198</v>
      </c>
      <c r="F43" s="3589" t="s">
        <v>3173</v>
      </c>
      <c r="G43" s="3589" t="s">
        <v>3253</v>
      </c>
      <c r="H43" s="3589" t="s">
        <v>1239</v>
      </c>
      <c r="I43" s="3590" t="s">
        <v>3299</v>
      </c>
      <c r="J43" s="3589" t="s">
        <v>3175</v>
      </c>
      <c r="K43" s="3589" t="s">
        <v>3305</v>
      </c>
      <c r="L43" s="3589">
        <v>2620.02</v>
      </c>
      <c r="M43" s="3589">
        <v>571</v>
      </c>
      <c r="N43" s="3589">
        <v>0</v>
      </c>
      <c r="O43" s="3589" t="s">
        <v>3181</v>
      </c>
    </row>
    <row r="44" spans="1:16" hidden="1">
      <c r="A44" s="3589" t="s">
        <v>3306</v>
      </c>
      <c r="B44" s="3589" t="s">
        <v>3134</v>
      </c>
      <c r="C44" s="3589">
        <v>26644.98</v>
      </c>
      <c r="D44" s="3589">
        <v>53289.96</v>
      </c>
      <c r="E44" s="3589" t="s">
        <v>3225</v>
      </c>
      <c r="F44" s="3589" t="s">
        <v>3173</v>
      </c>
      <c r="G44" s="3589" t="s">
        <v>3273</v>
      </c>
      <c r="H44" s="3589" t="s">
        <v>1239</v>
      </c>
      <c r="I44" s="3590" t="s">
        <v>3307</v>
      </c>
      <c r="J44" s="3589" t="s">
        <v>3175</v>
      </c>
      <c r="K44" s="3589" t="s">
        <v>3308</v>
      </c>
      <c r="L44" s="3589">
        <v>3744.24</v>
      </c>
      <c r="M44" s="3589">
        <v>703</v>
      </c>
      <c r="N44" s="3589">
        <v>0</v>
      </c>
      <c r="O44" s="3589" t="s">
        <v>3181</v>
      </c>
    </row>
    <row r="45" spans="1:16" hidden="1">
      <c r="A45" s="3589" t="s">
        <v>3309</v>
      </c>
      <c r="B45" s="3589" t="s">
        <v>3134</v>
      </c>
      <c r="C45" s="3589">
        <v>67532.14</v>
      </c>
      <c r="D45" s="3589">
        <v>101298</v>
      </c>
      <c r="E45" s="3589" t="s">
        <v>3198</v>
      </c>
      <c r="F45" s="3589" t="s">
        <v>3173</v>
      </c>
      <c r="G45" s="3589" t="s">
        <v>3273</v>
      </c>
      <c r="H45" s="3589" t="s">
        <v>1239</v>
      </c>
      <c r="I45" s="3590" t="s">
        <v>3307</v>
      </c>
      <c r="J45" s="3589" t="s">
        <v>3175</v>
      </c>
      <c r="K45" s="3589" t="s">
        <v>3310</v>
      </c>
      <c r="L45" s="3589">
        <v>7574.07</v>
      </c>
      <c r="M45" s="3589">
        <v>748</v>
      </c>
      <c r="N45" s="3589">
        <v>0</v>
      </c>
      <c r="O45" s="3589" t="s">
        <v>3181</v>
      </c>
    </row>
    <row r="46" spans="1:16">
      <c r="A46" s="3589" t="s">
        <v>3311</v>
      </c>
      <c r="B46" s="3589" t="s">
        <v>3134</v>
      </c>
      <c r="C46" s="3589">
        <v>14671.1</v>
      </c>
      <c r="D46" s="3589">
        <v>22006.65</v>
      </c>
      <c r="E46" s="3589" t="s">
        <v>3198</v>
      </c>
      <c r="F46" s="3589" t="s">
        <v>3173</v>
      </c>
      <c r="G46" s="3589" t="s">
        <v>3134</v>
      </c>
      <c r="H46" s="3589" t="s">
        <v>1239</v>
      </c>
      <c r="I46" s="3590" t="s">
        <v>3312</v>
      </c>
      <c r="J46" s="3589" t="s">
        <v>3175</v>
      </c>
      <c r="K46" s="3589" t="s">
        <v>3313</v>
      </c>
      <c r="L46" s="3589">
        <v>1256.58</v>
      </c>
      <c r="M46" s="3589">
        <v>571</v>
      </c>
      <c r="N46" s="3589">
        <v>0</v>
      </c>
      <c r="O46" s="3589" t="s">
        <v>3181</v>
      </c>
    </row>
    <row r="47" spans="1:16" s="3208" customFormat="1">
      <c r="A47" s="3591" t="s">
        <v>3314</v>
      </c>
      <c r="B47" s="3591" t="s">
        <v>3134</v>
      </c>
      <c r="C47" s="3591">
        <v>13606.6</v>
      </c>
      <c r="D47" s="3591">
        <v>27213.200000000001</v>
      </c>
      <c r="E47" s="3591" t="s">
        <v>3234</v>
      </c>
      <c r="F47" s="3591" t="s">
        <v>3173</v>
      </c>
      <c r="G47" s="3591" t="s">
        <v>3134</v>
      </c>
      <c r="H47" s="3591" t="s">
        <v>1239</v>
      </c>
      <c r="I47" s="3592" t="s">
        <v>3315</v>
      </c>
      <c r="J47" s="3591" t="s">
        <v>3175</v>
      </c>
      <c r="K47" s="3591" t="s">
        <v>3316</v>
      </c>
      <c r="L47" s="3591">
        <v>1975.68</v>
      </c>
      <c r="M47" s="3591">
        <v>726</v>
      </c>
      <c r="N47" s="3591">
        <v>0</v>
      </c>
      <c r="O47" s="3591" t="s">
        <v>3181</v>
      </c>
      <c r="P47" s="3208">
        <f>ROUND(M47*年期修正!G9,0)</f>
        <v>1104</v>
      </c>
    </row>
    <row r="48" spans="1:16">
      <c r="A48" s="3589" t="s">
        <v>3317</v>
      </c>
      <c r="B48" s="3589" t="s">
        <v>3134</v>
      </c>
      <c r="C48" s="3589">
        <v>13949.3</v>
      </c>
      <c r="D48" s="3589">
        <v>27898.6</v>
      </c>
      <c r="E48" s="3589" t="s">
        <v>3234</v>
      </c>
      <c r="F48" s="3589" t="s">
        <v>3173</v>
      </c>
      <c r="G48" s="3589" t="s">
        <v>3134</v>
      </c>
      <c r="H48" s="3589" t="s">
        <v>1239</v>
      </c>
      <c r="I48" s="3590" t="s">
        <v>3315</v>
      </c>
      <c r="J48" s="3589" t="s">
        <v>3175</v>
      </c>
      <c r="K48" s="3589" t="s">
        <v>3316</v>
      </c>
      <c r="L48" s="3589">
        <v>2025.44</v>
      </c>
      <c r="M48" s="3589">
        <v>726</v>
      </c>
      <c r="N48" s="3589">
        <v>0</v>
      </c>
      <c r="O48" s="3589" t="s">
        <v>3181</v>
      </c>
    </row>
    <row r="49" spans="1:15" hidden="1">
      <c r="A49" s="3589" t="s">
        <v>3318</v>
      </c>
      <c r="B49" s="3589" t="s">
        <v>3134</v>
      </c>
      <c r="C49" s="3589">
        <v>19983.72</v>
      </c>
      <c r="D49" s="3589">
        <v>39967.440000000002</v>
      </c>
      <c r="E49" s="3589" t="s">
        <v>3225</v>
      </c>
      <c r="F49" s="3589" t="s">
        <v>3173</v>
      </c>
      <c r="G49" s="3589" t="s">
        <v>3290</v>
      </c>
      <c r="H49" s="3589" t="s">
        <v>1239</v>
      </c>
      <c r="I49" s="3590" t="s">
        <v>3319</v>
      </c>
      <c r="J49" s="3589" t="s">
        <v>3175</v>
      </c>
      <c r="K49" s="3589" t="s">
        <v>3320</v>
      </c>
      <c r="L49" s="3589">
        <v>2805.96</v>
      </c>
      <c r="M49" s="3589">
        <v>702</v>
      </c>
      <c r="N49" s="3589">
        <v>0</v>
      </c>
      <c r="O49" s="3589" t="s">
        <v>3181</v>
      </c>
    </row>
    <row r="50" spans="1:15" hidden="1">
      <c r="A50" s="3589" t="s">
        <v>3321</v>
      </c>
      <c r="B50" s="3589" t="s">
        <v>3134</v>
      </c>
      <c r="C50" s="3589">
        <v>19983.72</v>
      </c>
      <c r="D50" s="3589">
        <v>39967.440000000002</v>
      </c>
      <c r="E50" s="3589" t="s">
        <v>3225</v>
      </c>
      <c r="F50" s="3589" t="s">
        <v>3173</v>
      </c>
      <c r="G50" s="3589" t="s">
        <v>3273</v>
      </c>
      <c r="H50" s="3589" t="s">
        <v>1239</v>
      </c>
      <c r="I50" s="3590" t="s">
        <v>3322</v>
      </c>
      <c r="J50" s="3589" t="s">
        <v>3175</v>
      </c>
      <c r="K50" s="3589" t="s">
        <v>3323</v>
      </c>
      <c r="L50" s="3589">
        <v>2801.12</v>
      </c>
      <c r="M50" s="3589">
        <v>701</v>
      </c>
      <c r="N50" s="3589">
        <v>0</v>
      </c>
      <c r="O50" s="3589" t="s">
        <v>3181</v>
      </c>
    </row>
    <row r="51" spans="1:15" hidden="1">
      <c r="A51" s="3589" t="s">
        <v>3324</v>
      </c>
      <c r="B51" s="3589" t="s">
        <v>3134</v>
      </c>
      <c r="C51" s="3589">
        <v>11276.71</v>
      </c>
      <c r="D51" s="3589">
        <v>16915</v>
      </c>
      <c r="E51" s="3589" t="s">
        <v>3198</v>
      </c>
      <c r="F51" s="3589" t="s">
        <v>3173</v>
      </c>
      <c r="G51" s="3589" t="s">
        <v>3325</v>
      </c>
      <c r="H51" s="3589" t="s">
        <v>1239</v>
      </c>
      <c r="I51" s="3590" t="s">
        <v>3326</v>
      </c>
      <c r="J51" s="3589" t="s">
        <v>3175</v>
      </c>
      <c r="K51" s="3589" t="s">
        <v>3327</v>
      </c>
      <c r="L51" s="3589">
        <v>1211.82</v>
      </c>
      <c r="M51" s="3589">
        <v>716</v>
      </c>
      <c r="N51" s="3589">
        <v>0</v>
      </c>
      <c r="O51" s="3589">
        <v>20</v>
      </c>
    </row>
    <row r="52" spans="1:15">
      <c r="A52" s="3589" t="s">
        <v>3328</v>
      </c>
      <c r="B52" s="3589" t="s">
        <v>3134</v>
      </c>
      <c r="C52" s="3589">
        <v>34995.919999999998</v>
      </c>
      <c r="D52" s="3589">
        <v>82940.33</v>
      </c>
      <c r="E52" s="3589" t="s">
        <v>3329</v>
      </c>
      <c r="F52" s="3589" t="s">
        <v>3173</v>
      </c>
      <c r="G52" s="3589" t="s">
        <v>3240</v>
      </c>
      <c r="H52" s="3589" t="s">
        <v>1239</v>
      </c>
      <c r="I52" s="3590" t="s">
        <v>3326</v>
      </c>
      <c r="J52" s="3589" t="s">
        <v>3175</v>
      </c>
      <c r="K52" s="3589" t="s">
        <v>3330</v>
      </c>
      <c r="L52" s="3589">
        <v>4868.6000000000004</v>
      </c>
      <c r="M52" s="3589">
        <v>587</v>
      </c>
      <c r="N52" s="3589">
        <v>0</v>
      </c>
      <c r="O52" s="3589" t="s">
        <v>3181</v>
      </c>
    </row>
    <row r="53" spans="1:15">
      <c r="A53" s="3589" t="s">
        <v>3331</v>
      </c>
      <c r="B53" s="3589" t="s">
        <v>3134</v>
      </c>
      <c r="C53" s="3589">
        <v>30911.9</v>
      </c>
      <c r="D53" s="3589">
        <v>52550.23</v>
      </c>
      <c r="E53" s="3589" t="s">
        <v>3332</v>
      </c>
      <c r="F53" s="3589" t="s">
        <v>3173</v>
      </c>
      <c r="G53" s="3589" t="s">
        <v>3273</v>
      </c>
      <c r="H53" s="3589" t="s">
        <v>1239</v>
      </c>
      <c r="I53" s="3590" t="s">
        <v>3333</v>
      </c>
      <c r="J53" s="3589" t="s">
        <v>3175</v>
      </c>
      <c r="K53" s="3589" t="s">
        <v>3334</v>
      </c>
      <c r="L53" s="3589">
        <v>3815.15</v>
      </c>
      <c r="M53" s="3589">
        <v>726</v>
      </c>
      <c r="N53" s="3589">
        <v>0</v>
      </c>
      <c r="O53" s="3589" t="s">
        <v>3181</v>
      </c>
    </row>
    <row r="54" spans="1:15">
      <c r="A54" s="3589" t="s">
        <v>3335</v>
      </c>
      <c r="B54" s="3589" t="s">
        <v>3134</v>
      </c>
      <c r="C54" s="3589">
        <v>10730.4</v>
      </c>
      <c r="D54" s="3589">
        <v>21460.799999999999</v>
      </c>
      <c r="E54" s="3589" t="s">
        <v>3225</v>
      </c>
      <c r="F54" s="3589" t="s">
        <v>3173</v>
      </c>
      <c r="G54" s="3589" t="s">
        <v>3134</v>
      </c>
      <c r="H54" s="3589" t="s">
        <v>1239</v>
      </c>
      <c r="I54" s="3590" t="s">
        <v>3336</v>
      </c>
      <c r="J54" s="3589" t="s">
        <v>3175</v>
      </c>
      <c r="K54" s="3589" t="s">
        <v>3337</v>
      </c>
      <c r="L54" s="3589">
        <v>1558.05</v>
      </c>
      <c r="M54" s="3589">
        <v>726</v>
      </c>
      <c r="N54" s="3589">
        <v>0</v>
      </c>
      <c r="O54" s="3589" t="s">
        <v>3181</v>
      </c>
    </row>
    <row r="55" spans="1:15">
      <c r="A55" s="3589" t="s">
        <v>3338</v>
      </c>
      <c r="B55" s="3589" t="s">
        <v>3134</v>
      </c>
      <c r="C55" s="3589">
        <v>74765.8</v>
      </c>
      <c r="D55" s="3589">
        <v>112148.7</v>
      </c>
      <c r="E55" s="3589" t="s">
        <v>3198</v>
      </c>
      <c r="F55" s="3589" t="s">
        <v>3173</v>
      </c>
      <c r="G55" s="3589" t="s">
        <v>3134</v>
      </c>
      <c r="H55" s="3589" t="s">
        <v>1239</v>
      </c>
      <c r="I55" s="3590" t="s">
        <v>3336</v>
      </c>
      <c r="J55" s="3589" t="s">
        <v>3175</v>
      </c>
      <c r="K55" s="3589" t="s">
        <v>3339</v>
      </c>
      <c r="L55" s="3589">
        <v>6583.13</v>
      </c>
      <c r="M55" s="3589">
        <v>587</v>
      </c>
      <c r="N55" s="3589">
        <v>0</v>
      </c>
      <c r="O55" s="3589" t="s">
        <v>3181</v>
      </c>
    </row>
    <row r="56" spans="1:15">
      <c r="A56" s="3589" t="s">
        <v>3340</v>
      </c>
      <c r="B56" s="3589" t="s">
        <v>3134</v>
      </c>
      <c r="C56" s="3589">
        <v>32677.200000000001</v>
      </c>
      <c r="D56" s="3589">
        <v>49015.8</v>
      </c>
      <c r="E56" s="3589" t="s">
        <v>3198</v>
      </c>
      <c r="F56" s="3589" t="s">
        <v>3173</v>
      </c>
      <c r="G56" s="3589" t="s">
        <v>3134</v>
      </c>
      <c r="H56" s="3589" t="s">
        <v>1239</v>
      </c>
      <c r="I56" s="3590" t="s">
        <v>3336</v>
      </c>
      <c r="J56" s="3589" t="s">
        <v>3175</v>
      </c>
      <c r="K56" s="3589" t="s">
        <v>3339</v>
      </c>
      <c r="L56" s="3589">
        <v>2877.23</v>
      </c>
      <c r="M56" s="3589">
        <v>587</v>
      </c>
      <c r="N56" s="3589">
        <v>0</v>
      </c>
      <c r="O56" s="3589" t="s">
        <v>3181</v>
      </c>
    </row>
    <row r="57" spans="1:15">
      <c r="A57" s="3589" t="s">
        <v>3341</v>
      </c>
      <c r="B57" s="3589" t="s">
        <v>3134</v>
      </c>
      <c r="C57" s="3589">
        <v>22695.8</v>
      </c>
      <c r="D57" s="3589">
        <v>40852.44</v>
      </c>
      <c r="E57" s="3589" t="s">
        <v>3280</v>
      </c>
      <c r="F57" s="3589" t="s">
        <v>3173</v>
      </c>
      <c r="G57" s="3589" t="s">
        <v>3134</v>
      </c>
      <c r="H57" s="3589" t="s">
        <v>1239</v>
      </c>
      <c r="I57" s="3590" t="s">
        <v>3336</v>
      </c>
      <c r="J57" s="3589" t="s">
        <v>3175</v>
      </c>
      <c r="K57" s="3589" t="s">
        <v>3342</v>
      </c>
      <c r="L57" s="3589">
        <v>4412.0600000000004</v>
      </c>
      <c r="M57" s="3589">
        <v>1080</v>
      </c>
      <c r="N57" s="3589">
        <v>0</v>
      </c>
      <c r="O57" s="3589" t="s">
        <v>3181</v>
      </c>
    </row>
    <row r="58" spans="1:15" hidden="1">
      <c r="A58" s="3589" t="s">
        <v>3343</v>
      </c>
      <c r="B58" s="3589" t="s">
        <v>3134</v>
      </c>
      <c r="C58" s="3589">
        <v>18959.82</v>
      </c>
      <c r="D58" s="3589">
        <v>28440</v>
      </c>
      <c r="E58" s="3589" t="s">
        <v>3198</v>
      </c>
      <c r="F58" s="3589" t="s">
        <v>3173</v>
      </c>
      <c r="G58" s="3589" t="s">
        <v>3273</v>
      </c>
      <c r="H58" s="3589" t="s">
        <v>1239</v>
      </c>
      <c r="I58" s="3590" t="s">
        <v>3344</v>
      </c>
      <c r="J58" s="3589" t="s">
        <v>3175</v>
      </c>
      <c r="K58" s="3589" t="s">
        <v>3345</v>
      </c>
      <c r="L58" s="3589">
        <v>3118.97</v>
      </c>
      <c r="M58" s="3589">
        <v>1097</v>
      </c>
      <c r="N58" s="3589">
        <v>0</v>
      </c>
      <c r="O58" s="3589" t="s">
        <v>3177</v>
      </c>
    </row>
    <row r="59" spans="1:15">
      <c r="A59" s="3589" t="s">
        <v>3346</v>
      </c>
      <c r="B59" s="3589" t="s">
        <v>3134</v>
      </c>
      <c r="C59" s="3589">
        <v>10922.9</v>
      </c>
      <c r="D59" s="3589">
        <v>16384.349999999999</v>
      </c>
      <c r="E59" s="3589" t="s">
        <v>3198</v>
      </c>
      <c r="F59" s="3589" t="s">
        <v>3173</v>
      </c>
      <c r="G59" s="3589" t="s">
        <v>3134</v>
      </c>
      <c r="H59" s="3589" t="s">
        <v>1239</v>
      </c>
      <c r="I59" s="3590" t="s">
        <v>3347</v>
      </c>
      <c r="J59" s="3589" t="s">
        <v>3175</v>
      </c>
      <c r="K59" s="3589" t="s">
        <v>3348</v>
      </c>
      <c r="L59" s="3589">
        <v>1651.54</v>
      </c>
      <c r="M59" s="3589">
        <v>1008</v>
      </c>
      <c r="N59" s="3589">
        <v>0</v>
      </c>
      <c r="O59" s="3589" t="s">
        <v>3181</v>
      </c>
    </row>
    <row r="60" spans="1:15">
      <c r="A60" s="3589" t="s">
        <v>3349</v>
      </c>
      <c r="B60" s="3589" t="s">
        <v>3134</v>
      </c>
      <c r="C60" s="3589">
        <v>40936.25</v>
      </c>
      <c r="D60" s="3589">
        <v>73685.25</v>
      </c>
      <c r="E60" s="3589" t="s">
        <v>3280</v>
      </c>
      <c r="F60" s="3589" t="s">
        <v>3173</v>
      </c>
      <c r="G60" s="3589" t="s">
        <v>3134</v>
      </c>
      <c r="H60" s="3589" t="s">
        <v>1239</v>
      </c>
      <c r="I60" s="3590" t="s">
        <v>3347</v>
      </c>
      <c r="J60" s="3589" t="s">
        <v>3175</v>
      </c>
      <c r="K60" s="3589" t="s">
        <v>3350</v>
      </c>
      <c r="L60" s="3589">
        <v>5349.55</v>
      </c>
      <c r="M60" s="3589">
        <v>726</v>
      </c>
      <c r="N60" s="3589">
        <v>0</v>
      </c>
      <c r="O60" s="3589" t="s">
        <v>3181</v>
      </c>
    </row>
    <row r="61" spans="1:15">
      <c r="A61" s="3589" t="s">
        <v>3351</v>
      </c>
      <c r="B61" s="3589" t="s">
        <v>3134</v>
      </c>
      <c r="C61" s="3589">
        <v>17789.3</v>
      </c>
      <c r="D61" s="3589">
        <v>26683.95</v>
      </c>
      <c r="E61" s="3589" t="s">
        <v>3198</v>
      </c>
      <c r="F61" s="3589" t="s">
        <v>3173</v>
      </c>
      <c r="G61" s="3589" t="s">
        <v>3134</v>
      </c>
      <c r="H61" s="3589" t="s">
        <v>1239</v>
      </c>
      <c r="I61" s="3590" t="s">
        <v>3352</v>
      </c>
      <c r="J61" s="3589" t="s">
        <v>3175</v>
      </c>
      <c r="K61" s="3589" t="s">
        <v>3353</v>
      </c>
      <c r="L61" s="3589">
        <v>1566.35</v>
      </c>
      <c r="M61" s="3589">
        <v>587</v>
      </c>
      <c r="N61" s="3589">
        <v>0</v>
      </c>
      <c r="O61" s="3589" t="s">
        <v>3181</v>
      </c>
    </row>
    <row r="62" spans="1:15">
      <c r="A62" s="3589" t="s">
        <v>3354</v>
      </c>
      <c r="B62" s="3589" t="s">
        <v>3134</v>
      </c>
      <c r="C62" s="3589">
        <v>16585.7</v>
      </c>
      <c r="D62" s="3589">
        <v>24878.55</v>
      </c>
      <c r="E62" s="3589" t="s">
        <v>3198</v>
      </c>
      <c r="F62" s="3589" t="s">
        <v>3173</v>
      </c>
      <c r="G62" s="3589" t="s">
        <v>3134</v>
      </c>
      <c r="H62" s="3589" t="s">
        <v>1239</v>
      </c>
      <c r="I62" s="3590" t="s">
        <v>3355</v>
      </c>
      <c r="J62" s="3589" t="s">
        <v>3175</v>
      </c>
      <c r="K62" s="3589" t="s">
        <v>3356</v>
      </c>
      <c r="L62" s="3589">
        <v>1460.37</v>
      </c>
      <c r="M62" s="3589">
        <v>587</v>
      </c>
      <c r="N62" s="3589">
        <v>0</v>
      </c>
      <c r="O62" s="3589" t="s">
        <v>3181</v>
      </c>
    </row>
    <row r="63" spans="1:15" hidden="1">
      <c r="A63" s="3589" t="s">
        <v>3357</v>
      </c>
      <c r="B63" s="3589" t="s">
        <v>3134</v>
      </c>
      <c r="C63" s="3589">
        <v>33687.910000000003</v>
      </c>
      <c r="D63" s="3589">
        <v>50532</v>
      </c>
      <c r="E63" s="3589" t="s">
        <v>3198</v>
      </c>
      <c r="F63" s="3589" t="s">
        <v>3173</v>
      </c>
      <c r="G63" s="3589" t="s">
        <v>3358</v>
      </c>
      <c r="H63" s="3589" t="s">
        <v>1239</v>
      </c>
      <c r="I63" s="3590" t="s">
        <v>3359</v>
      </c>
      <c r="J63" s="3589" t="s">
        <v>3175</v>
      </c>
      <c r="K63" s="3589" t="s">
        <v>3360</v>
      </c>
      <c r="L63" s="3589">
        <v>6324.09</v>
      </c>
      <c r="M63" s="3589">
        <v>1252</v>
      </c>
      <c r="N63" s="3589">
        <v>0</v>
      </c>
      <c r="O63" s="3589" t="s">
        <v>3177</v>
      </c>
    </row>
    <row r="64" spans="1:15">
      <c r="A64" s="3589" t="s">
        <v>3361</v>
      </c>
      <c r="B64" s="3589" t="s">
        <v>3134</v>
      </c>
      <c r="C64" s="3589">
        <v>26114.2</v>
      </c>
      <c r="D64" s="3589">
        <v>39171.300000000003</v>
      </c>
      <c r="E64" s="3589">
        <v>1.5</v>
      </c>
      <c r="F64" s="3589" t="s">
        <v>3173</v>
      </c>
      <c r="G64" s="3589" t="s">
        <v>6</v>
      </c>
      <c r="H64" s="3589" t="s">
        <v>1239</v>
      </c>
      <c r="I64" s="3590" t="s">
        <v>3362</v>
      </c>
      <c r="J64" s="3589" t="s">
        <v>3175</v>
      </c>
      <c r="K64" s="3589" t="s">
        <v>3350</v>
      </c>
      <c r="L64" s="3589">
        <v>4230.5</v>
      </c>
      <c r="M64" s="3589">
        <v>1080</v>
      </c>
      <c r="N64" s="3589">
        <v>0</v>
      </c>
      <c r="O64" s="3589">
        <v>20</v>
      </c>
    </row>
    <row r="65" spans="1:15">
      <c r="A65" s="3589" t="s">
        <v>3363</v>
      </c>
      <c r="B65" s="3589" t="s">
        <v>3134</v>
      </c>
      <c r="C65" s="3589">
        <v>6828.9</v>
      </c>
      <c r="D65" s="3589">
        <v>10243.35</v>
      </c>
      <c r="E65" s="3589" t="s">
        <v>3198</v>
      </c>
      <c r="F65" s="3589" t="s">
        <v>3173</v>
      </c>
      <c r="G65" s="3589" t="s">
        <v>3134</v>
      </c>
      <c r="H65" s="3589" t="s">
        <v>1239</v>
      </c>
      <c r="I65" s="3590" t="s">
        <v>3364</v>
      </c>
      <c r="J65" s="3589" t="s">
        <v>3175</v>
      </c>
      <c r="K65" s="3589" t="s">
        <v>3365</v>
      </c>
      <c r="L65" s="3589">
        <v>743.67</v>
      </c>
      <c r="M65" s="3589">
        <v>726</v>
      </c>
      <c r="N65" s="3589">
        <v>0</v>
      </c>
      <c r="O65" s="3589" t="s">
        <v>3181</v>
      </c>
    </row>
    <row r="66" spans="1:15">
      <c r="A66" s="3589" t="s">
        <v>3366</v>
      </c>
      <c r="B66" s="3589" t="s">
        <v>3134</v>
      </c>
      <c r="C66" s="3589">
        <v>47662.6</v>
      </c>
      <c r="D66" s="3589">
        <v>95325.2</v>
      </c>
      <c r="E66" s="3589" t="s">
        <v>3234</v>
      </c>
      <c r="F66" s="3589" t="s">
        <v>3173</v>
      </c>
      <c r="G66" s="3589" t="s">
        <v>3134</v>
      </c>
      <c r="H66" s="3589" t="s">
        <v>1239</v>
      </c>
      <c r="I66" s="3590" t="s">
        <v>3367</v>
      </c>
      <c r="J66" s="3589" t="s">
        <v>3175</v>
      </c>
      <c r="K66" s="3589" t="s">
        <v>3350</v>
      </c>
      <c r="L66" s="3589">
        <v>5595.59</v>
      </c>
      <c r="M66" s="3589">
        <v>587</v>
      </c>
      <c r="N66" s="3589">
        <v>0</v>
      </c>
      <c r="O66" s="3589" t="s">
        <v>3181</v>
      </c>
    </row>
    <row r="67" spans="1:15">
      <c r="A67" s="3589" t="s">
        <v>3368</v>
      </c>
      <c r="B67" s="3589" t="s">
        <v>3134</v>
      </c>
      <c r="C67" s="3589">
        <v>35138.400000000001</v>
      </c>
      <c r="D67" s="3589">
        <v>59735.28</v>
      </c>
      <c r="E67" s="3589" t="s">
        <v>3332</v>
      </c>
      <c r="F67" s="3589" t="s">
        <v>3173</v>
      </c>
      <c r="G67" s="3589" t="s">
        <v>3134</v>
      </c>
      <c r="H67" s="3589" t="s">
        <v>1239</v>
      </c>
      <c r="I67" s="3590" t="s">
        <v>3367</v>
      </c>
      <c r="J67" s="3589" t="s">
        <v>3175</v>
      </c>
      <c r="K67" s="3589" t="s">
        <v>3369</v>
      </c>
      <c r="L67" s="3589">
        <v>4336.78</v>
      </c>
      <c r="M67" s="3589">
        <v>726</v>
      </c>
      <c r="N67" s="3589">
        <v>0</v>
      </c>
      <c r="O67" s="3589" t="s">
        <v>3181</v>
      </c>
    </row>
    <row r="68" spans="1:15">
      <c r="A68" s="3589" t="s">
        <v>3368</v>
      </c>
      <c r="B68" s="3589" t="s">
        <v>3134</v>
      </c>
      <c r="C68" s="3589">
        <v>47778.8</v>
      </c>
      <c r="D68" s="3589">
        <v>95557.6</v>
      </c>
      <c r="E68" s="3589" t="s">
        <v>3225</v>
      </c>
      <c r="F68" s="3589" t="s">
        <v>3173</v>
      </c>
      <c r="G68" s="3589" t="s">
        <v>3134</v>
      </c>
      <c r="H68" s="3589" t="s">
        <v>1239</v>
      </c>
      <c r="I68" s="3590" t="s">
        <v>3367</v>
      </c>
      <c r="J68" s="3589" t="s">
        <v>3175</v>
      </c>
      <c r="K68" s="3589" t="s">
        <v>3370</v>
      </c>
      <c r="L68" s="3589">
        <v>5609.23</v>
      </c>
      <c r="M68" s="3589">
        <v>587</v>
      </c>
      <c r="N68" s="3589">
        <v>0</v>
      </c>
      <c r="O68" s="3589" t="s">
        <v>3181</v>
      </c>
    </row>
    <row r="69" spans="1:15">
      <c r="A69" s="3589" t="s">
        <v>3371</v>
      </c>
      <c r="B69" s="3589" t="s">
        <v>3134</v>
      </c>
      <c r="C69" s="3589">
        <v>82980.600000000006</v>
      </c>
      <c r="D69" s="3589">
        <v>132769</v>
      </c>
      <c r="E69" s="3589" t="s">
        <v>3372</v>
      </c>
      <c r="F69" s="3589" t="s">
        <v>3173</v>
      </c>
      <c r="G69" s="3589" t="s">
        <v>3134</v>
      </c>
      <c r="H69" s="3589" t="s">
        <v>1239</v>
      </c>
      <c r="I69" s="3590" t="s">
        <v>3367</v>
      </c>
      <c r="J69" s="3589" t="s">
        <v>3175</v>
      </c>
      <c r="K69" s="3589" t="s">
        <v>3373</v>
      </c>
      <c r="L69" s="3589">
        <v>7793.54</v>
      </c>
      <c r="M69" s="3589">
        <v>587</v>
      </c>
      <c r="N69" s="3589">
        <v>0</v>
      </c>
      <c r="O69" s="3589" t="s">
        <v>3181</v>
      </c>
    </row>
    <row r="70" spans="1:15" hidden="1">
      <c r="A70" s="3589" t="s">
        <v>3374</v>
      </c>
      <c r="B70" s="3589" t="s">
        <v>3134</v>
      </c>
      <c r="C70" s="3589">
        <v>104438.5</v>
      </c>
      <c r="D70" s="3589">
        <v>156658</v>
      </c>
      <c r="E70" s="3589">
        <v>1.5</v>
      </c>
      <c r="F70" s="3589" t="s">
        <v>3173</v>
      </c>
      <c r="G70" s="3589" t="s">
        <v>3325</v>
      </c>
      <c r="H70" s="3589" t="s">
        <v>1239</v>
      </c>
      <c r="I70" s="3590" t="s">
        <v>3375</v>
      </c>
      <c r="J70" s="3589" t="s">
        <v>3175</v>
      </c>
      <c r="K70" s="3589" t="s">
        <v>3376</v>
      </c>
      <c r="L70" s="3589">
        <v>16825.07</v>
      </c>
      <c r="M70" s="3589">
        <v>1074</v>
      </c>
      <c r="N70" s="3589">
        <v>0</v>
      </c>
      <c r="O70" s="3589" t="s">
        <v>3177</v>
      </c>
    </row>
    <row r="71" spans="1:15" hidden="1">
      <c r="A71" s="3589" t="s">
        <v>3377</v>
      </c>
      <c r="B71" s="3589" t="s">
        <v>3134</v>
      </c>
      <c r="C71" s="3589">
        <v>90013.22</v>
      </c>
      <c r="D71" s="3589">
        <v>135020</v>
      </c>
      <c r="E71" s="3589">
        <v>1.5</v>
      </c>
      <c r="F71" s="3589" t="s">
        <v>3173</v>
      </c>
      <c r="G71" s="3589" t="s">
        <v>3325</v>
      </c>
      <c r="H71" s="3589" t="s">
        <v>1239</v>
      </c>
      <c r="I71" s="3590" t="s">
        <v>3375</v>
      </c>
      <c r="J71" s="3589" t="s">
        <v>3175</v>
      </c>
      <c r="K71" s="3589" t="s">
        <v>3378</v>
      </c>
      <c r="L71" s="3589">
        <v>13936.73</v>
      </c>
      <c r="M71" s="3589">
        <v>1032</v>
      </c>
      <c r="N71" s="3589">
        <v>0</v>
      </c>
      <c r="O71" s="3589" t="s">
        <v>3177</v>
      </c>
    </row>
    <row r="72" spans="1:15">
      <c r="A72" s="3589" t="s">
        <v>3379</v>
      </c>
      <c r="B72" s="3589" t="s">
        <v>3134</v>
      </c>
      <c r="C72" s="3589">
        <v>181625.8</v>
      </c>
      <c r="D72" s="3589">
        <v>181625.8</v>
      </c>
      <c r="E72" s="3589">
        <v>1</v>
      </c>
      <c r="F72" s="3589" t="s">
        <v>3173</v>
      </c>
      <c r="G72" s="3589" t="s">
        <v>6</v>
      </c>
      <c r="H72" s="3589" t="s">
        <v>1239</v>
      </c>
      <c r="I72" s="3590" t="s">
        <v>3380</v>
      </c>
      <c r="J72" s="3589" t="s">
        <v>3175</v>
      </c>
      <c r="K72" s="3589" t="s">
        <v>3350</v>
      </c>
      <c r="L72" s="3589">
        <v>10661.43</v>
      </c>
      <c r="M72" s="3589">
        <v>587</v>
      </c>
      <c r="N72" s="3589">
        <v>0</v>
      </c>
      <c r="O72" s="3589" t="s">
        <v>3181</v>
      </c>
    </row>
    <row r="73" spans="1:15" hidden="1">
      <c r="A73" s="3589" t="s">
        <v>3381</v>
      </c>
      <c r="B73" s="3589" t="s">
        <v>3134</v>
      </c>
      <c r="C73" s="3589">
        <v>18550.189999999999</v>
      </c>
      <c r="D73" s="3589">
        <v>18550</v>
      </c>
      <c r="E73" s="3589">
        <v>1</v>
      </c>
      <c r="F73" s="3589" t="s">
        <v>3173</v>
      </c>
      <c r="G73" s="3589" t="s">
        <v>3325</v>
      </c>
      <c r="H73" s="3589" t="s">
        <v>1239</v>
      </c>
      <c r="I73" s="3590" t="s">
        <v>3382</v>
      </c>
      <c r="J73" s="3589" t="s">
        <v>3175</v>
      </c>
      <c r="K73" s="3589" t="s">
        <v>3203</v>
      </c>
      <c r="L73" s="3589">
        <v>2221.27</v>
      </c>
      <c r="M73" s="3589">
        <v>1197</v>
      </c>
      <c r="N73" s="3589">
        <v>0</v>
      </c>
      <c r="O73" s="3589" t="s">
        <v>3177</v>
      </c>
    </row>
    <row r="74" spans="1:15">
      <c r="A74" s="3589" t="s">
        <v>3383</v>
      </c>
      <c r="B74" s="3589" t="s">
        <v>3134</v>
      </c>
      <c r="C74" s="3589">
        <v>101774.9</v>
      </c>
      <c r="D74" s="3589">
        <v>152662.29999999999</v>
      </c>
      <c r="E74" s="3589">
        <v>1.5</v>
      </c>
      <c r="F74" s="3589" t="s">
        <v>3173</v>
      </c>
      <c r="G74" s="3589" t="s">
        <v>6</v>
      </c>
      <c r="H74" s="3589" t="s">
        <v>1239</v>
      </c>
      <c r="I74" s="3590" t="s">
        <v>3384</v>
      </c>
      <c r="J74" s="3589" t="s">
        <v>3175</v>
      </c>
      <c r="K74" s="3589" t="s">
        <v>3350</v>
      </c>
      <c r="L74" s="3589">
        <v>8961.2800000000007</v>
      </c>
      <c r="M74" s="3589">
        <v>587</v>
      </c>
      <c r="N74" s="3589">
        <v>0</v>
      </c>
      <c r="O74" s="3589" t="s">
        <v>3181</v>
      </c>
    </row>
    <row r="75" spans="1:15">
      <c r="A75" s="3589" t="s">
        <v>3385</v>
      </c>
      <c r="B75" s="3589" t="s">
        <v>3134</v>
      </c>
      <c r="C75" s="3589">
        <v>77958.5</v>
      </c>
      <c r="D75" s="3589">
        <v>155917</v>
      </c>
      <c r="E75" s="3589">
        <v>2</v>
      </c>
      <c r="F75" s="3589" t="s">
        <v>3173</v>
      </c>
      <c r="G75" s="3589" t="s">
        <v>6</v>
      </c>
      <c r="H75" s="3589" t="s">
        <v>1239</v>
      </c>
      <c r="I75" s="3590" t="s">
        <v>3384</v>
      </c>
      <c r="J75" s="3589" t="s">
        <v>3175</v>
      </c>
      <c r="K75" s="3589" t="s">
        <v>3350</v>
      </c>
      <c r="L75" s="3589">
        <v>9152.33</v>
      </c>
      <c r="M75" s="3589">
        <v>587</v>
      </c>
      <c r="N75" s="3589">
        <v>0</v>
      </c>
      <c r="O75" s="3589" t="s">
        <v>3181</v>
      </c>
    </row>
    <row r="76" spans="1:15">
      <c r="A76" s="3589" t="s">
        <v>3386</v>
      </c>
      <c r="B76" s="3589" t="s">
        <v>3134</v>
      </c>
      <c r="C76" s="3589">
        <v>9951.4</v>
      </c>
      <c r="D76" s="3589">
        <v>19902.8</v>
      </c>
      <c r="E76" s="3589">
        <v>2</v>
      </c>
      <c r="F76" s="3589" t="s">
        <v>3173</v>
      </c>
      <c r="G76" s="3589" t="s">
        <v>6</v>
      </c>
      <c r="H76" s="3589" t="s">
        <v>1239</v>
      </c>
      <c r="I76" s="3590" t="s">
        <v>3384</v>
      </c>
      <c r="J76" s="3589" t="s">
        <v>3175</v>
      </c>
      <c r="K76" s="3589" t="s">
        <v>3387</v>
      </c>
      <c r="L76" s="3589">
        <v>1444.94</v>
      </c>
      <c r="M76" s="3589">
        <v>726</v>
      </c>
      <c r="N76" s="3589">
        <v>0</v>
      </c>
      <c r="O76" s="3589" t="s">
        <v>3181</v>
      </c>
    </row>
    <row r="77" spans="1:15">
      <c r="A77" s="3589" t="s">
        <v>3388</v>
      </c>
      <c r="B77" s="3589" t="s">
        <v>3134</v>
      </c>
      <c r="C77" s="3589">
        <v>84655.5</v>
      </c>
      <c r="D77" s="3589">
        <v>169311</v>
      </c>
      <c r="E77" s="3589">
        <v>2</v>
      </c>
      <c r="F77" s="3589" t="s">
        <v>3173</v>
      </c>
      <c r="G77" s="3589" t="s">
        <v>6</v>
      </c>
      <c r="H77" s="3589" t="s">
        <v>1239</v>
      </c>
      <c r="I77" s="3590" t="s">
        <v>3384</v>
      </c>
      <c r="J77" s="3589" t="s">
        <v>3175</v>
      </c>
      <c r="K77" s="3589" t="s">
        <v>3350</v>
      </c>
      <c r="L77" s="3589">
        <v>9938.56</v>
      </c>
      <c r="M77" s="3589">
        <v>587</v>
      </c>
      <c r="N77" s="3589">
        <v>0</v>
      </c>
      <c r="O77" s="3589" t="s">
        <v>3181</v>
      </c>
    </row>
    <row r="78" spans="1:15" hidden="1">
      <c r="A78" s="3589" t="s">
        <v>3389</v>
      </c>
      <c r="B78" s="3589" t="s">
        <v>3134</v>
      </c>
      <c r="C78" s="3589">
        <v>13485.05</v>
      </c>
      <c r="D78" s="3589">
        <v>26970</v>
      </c>
      <c r="E78" s="3589">
        <v>2</v>
      </c>
      <c r="F78" s="3589" t="s">
        <v>3173</v>
      </c>
      <c r="G78" s="3589" t="s">
        <v>3325</v>
      </c>
      <c r="H78" s="3589" t="s">
        <v>1239</v>
      </c>
      <c r="I78" s="3590" t="s">
        <v>3390</v>
      </c>
      <c r="J78" s="3589" t="s">
        <v>3175</v>
      </c>
      <c r="K78" s="3589" t="s">
        <v>3391</v>
      </c>
      <c r="L78" s="3589">
        <v>3073.38</v>
      </c>
      <c r="M78" s="3589">
        <v>1140</v>
      </c>
      <c r="N78" s="3589">
        <v>0</v>
      </c>
      <c r="O78" s="3589" t="s">
        <v>3177</v>
      </c>
    </row>
    <row r="79" spans="1:15">
      <c r="A79" s="3589" t="s">
        <v>3392</v>
      </c>
      <c r="B79" s="3589" t="s">
        <v>3134</v>
      </c>
      <c r="C79" s="3589">
        <v>73230.3</v>
      </c>
      <c r="D79" s="3589">
        <v>124491.5</v>
      </c>
      <c r="E79" s="3589" t="s">
        <v>3393</v>
      </c>
      <c r="F79" s="3589" t="s">
        <v>3173</v>
      </c>
      <c r="G79" s="3589" t="s">
        <v>6</v>
      </c>
      <c r="H79" s="3589" t="s">
        <v>1239</v>
      </c>
      <c r="I79" s="3590" t="s">
        <v>3394</v>
      </c>
      <c r="J79" s="3589" t="s">
        <v>3175</v>
      </c>
      <c r="K79" s="3589" t="s">
        <v>3395</v>
      </c>
      <c r="L79" s="3589">
        <v>9038.08</v>
      </c>
      <c r="M79" s="3589">
        <v>726</v>
      </c>
      <c r="N79" s="3589">
        <v>0</v>
      </c>
      <c r="O79" s="3589" t="s">
        <v>3181</v>
      </c>
    </row>
    <row r="80" spans="1:15">
      <c r="A80" s="3589" t="s">
        <v>3396</v>
      </c>
      <c r="B80" s="3589" t="s">
        <v>3134</v>
      </c>
      <c r="C80" s="3589">
        <v>11958.6</v>
      </c>
      <c r="D80" s="3589">
        <v>17937.900000000001</v>
      </c>
      <c r="E80" s="3589">
        <v>1.5</v>
      </c>
      <c r="F80" s="3589" t="s">
        <v>3173</v>
      </c>
      <c r="G80" s="3589" t="s">
        <v>6</v>
      </c>
      <c r="H80" s="3589" t="s">
        <v>1239</v>
      </c>
      <c r="I80" s="3590" t="s">
        <v>3394</v>
      </c>
      <c r="J80" s="3589" t="s">
        <v>3175</v>
      </c>
      <c r="K80" s="3589" t="s">
        <v>3397</v>
      </c>
      <c r="L80" s="3589">
        <v>1302.29</v>
      </c>
      <c r="M80" s="3589">
        <v>726</v>
      </c>
      <c r="N80" s="3589">
        <v>0</v>
      </c>
      <c r="O80" s="3589" t="s">
        <v>3181</v>
      </c>
    </row>
  </sheetData>
  <mergeCells count="1200">
    <mergeCell ref="N52"/>
    <mergeCell ref="E52"/>
    <mergeCell ref="F52"/>
    <mergeCell ref="G52"/>
    <mergeCell ref="H52"/>
    <mergeCell ref="I52"/>
    <mergeCell ref="J52"/>
    <mergeCell ref="K52"/>
    <mergeCell ref="L52"/>
    <mergeCell ref="M52"/>
    <mergeCell ref="O52"/>
    <mergeCell ref="A53"/>
    <mergeCell ref="B53"/>
    <mergeCell ref="C53"/>
    <mergeCell ref="D53"/>
    <mergeCell ref="E53"/>
    <mergeCell ref="F53"/>
    <mergeCell ref="G53"/>
    <mergeCell ref="H53"/>
    <mergeCell ref="I53"/>
    <mergeCell ref="J53"/>
    <mergeCell ref="K53"/>
    <mergeCell ref="L53"/>
    <mergeCell ref="M53"/>
    <mergeCell ref="N53"/>
    <mergeCell ref="O53"/>
    <mergeCell ref="A52"/>
    <mergeCell ref="B52"/>
    <mergeCell ref="C52"/>
    <mergeCell ref="D52"/>
    <mergeCell ref="A54"/>
    <mergeCell ref="B54"/>
    <mergeCell ref="C54"/>
    <mergeCell ref="D54"/>
    <mergeCell ref="E54"/>
    <mergeCell ref="F54"/>
    <mergeCell ref="G54"/>
    <mergeCell ref="H54"/>
    <mergeCell ref="I54"/>
    <mergeCell ref="J54"/>
    <mergeCell ref="K54"/>
    <mergeCell ref="L54"/>
    <mergeCell ref="M54"/>
    <mergeCell ref="N54"/>
    <mergeCell ref="O54"/>
    <mergeCell ref="A55"/>
    <mergeCell ref="B55"/>
    <mergeCell ref="C55"/>
    <mergeCell ref="D55"/>
    <mergeCell ref="E55"/>
    <mergeCell ref="F55"/>
    <mergeCell ref="G55"/>
    <mergeCell ref="H55"/>
    <mergeCell ref="I55"/>
    <mergeCell ref="J55"/>
    <mergeCell ref="K55"/>
    <mergeCell ref="L55"/>
    <mergeCell ref="M55"/>
    <mergeCell ref="N55"/>
    <mergeCell ref="O55"/>
    <mergeCell ref="A56"/>
    <mergeCell ref="B56"/>
    <mergeCell ref="C56"/>
    <mergeCell ref="D56"/>
    <mergeCell ref="E56"/>
    <mergeCell ref="F56"/>
    <mergeCell ref="G56"/>
    <mergeCell ref="H56"/>
    <mergeCell ref="I56"/>
    <mergeCell ref="J56"/>
    <mergeCell ref="K56"/>
    <mergeCell ref="L56"/>
    <mergeCell ref="M56"/>
    <mergeCell ref="N56"/>
    <mergeCell ref="O56"/>
    <mergeCell ref="A57"/>
    <mergeCell ref="B57"/>
    <mergeCell ref="C57"/>
    <mergeCell ref="D57"/>
    <mergeCell ref="E57"/>
    <mergeCell ref="F57"/>
    <mergeCell ref="G57"/>
    <mergeCell ref="H57"/>
    <mergeCell ref="I57"/>
    <mergeCell ref="J57"/>
    <mergeCell ref="K57"/>
    <mergeCell ref="L57"/>
    <mergeCell ref="M57"/>
    <mergeCell ref="N57"/>
    <mergeCell ref="O57"/>
    <mergeCell ref="A58"/>
    <mergeCell ref="B58"/>
    <mergeCell ref="C58"/>
    <mergeCell ref="D58"/>
    <mergeCell ref="E58"/>
    <mergeCell ref="F58"/>
    <mergeCell ref="G58"/>
    <mergeCell ref="H58"/>
    <mergeCell ref="I58"/>
    <mergeCell ref="J58"/>
    <mergeCell ref="K58"/>
    <mergeCell ref="L58"/>
    <mergeCell ref="M58"/>
    <mergeCell ref="N58"/>
    <mergeCell ref="O58"/>
    <mergeCell ref="A59"/>
    <mergeCell ref="B59"/>
    <mergeCell ref="C59"/>
    <mergeCell ref="D59"/>
    <mergeCell ref="E59"/>
    <mergeCell ref="F59"/>
    <mergeCell ref="G59"/>
    <mergeCell ref="H59"/>
    <mergeCell ref="I59"/>
    <mergeCell ref="J59"/>
    <mergeCell ref="K59"/>
    <mergeCell ref="L59"/>
    <mergeCell ref="M59"/>
    <mergeCell ref="N59"/>
    <mergeCell ref="O59"/>
    <mergeCell ref="A60"/>
    <mergeCell ref="B60"/>
    <mergeCell ref="C60"/>
    <mergeCell ref="D60"/>
    <mergeCell ref="E60"/>
    <mergeCell ref="F60"/>
    <mergeCell ref="G60"/>
    <mergeCell ref="H60"/>
    <mergeCell ref="I60"/>
    <mergeCell ref="J60"/>
    <mergeCell ref="K60"/>
    <mergeCell ref="L60"/>
    <mergeCell ref="M60"/>
    <mergeCell ref="N60"/>
    <mergeCell ref="O60"/>
    <mergeCell ref="A61"/>
    <mergeCell ref="B61"/>
    <mergeCell ref="C61"/>
    <mergeCell ref="D61"/>
    <mergeCell ref="E61"/>
    <mergeCell ref="F61"/>
    <mergeCell ref="G61"/>
    <mergeCell ref="H61"/>
    <mergeCell ref="I61"/>
    <mergeCell ref="J61"/>
    <mergeCell ref="K61"/>
    <mergeCell ref="L61"/>
    <mergeCell ref="M61"/>
    <mergeCell ref="N61"/>
    <mergeCell ref="O61"/>
    <mergeCell ref="A62"/>
    <mergeCell ref="B62"/>
    <mergeCell ref="C62"/>
    <mergeCell ref="D62"/>
    <mergeCell ref="E62"/>
    <mergeCell ref="F62"/>
    <mergeCell ref="G62"/>
    <mergeCell ref="H62"/>
    <mergeCell ref="I62"/>
    <mergeCell ref="J62"/>
    <mergeCell ref="K62"/>
    <mergeCell ref="L62"/>
    <mergeCell ref="M62"/>
    <mergeCell ref="N62"/>
    <mergeCell ref="O62"/>
    <mergeCell ref="A63"/>
    <mergeCell ref="B63"/>
    <mergeCell ref="C63"/>
    <mergeCell ref="D63"/>
    <mergeCell ref="E63"/>
    <mergeCell ref="F63"/>
    <mergeCell ref="G63"/>
    <mergeCell ref="H63"/>
    <mergeCell ref="I63"/>
    <mergeCell ref="J63"/>
    <mergeCell ref="K63"/>
    <mergeCell ref="L63"/>
    <mergeCell ref="M63"/>
    <mergeCell ref="N63"/>
    <mergeCell ref="O63"/>
    <mergeCell ref="A64"/>
    <mergeCell ref="B64"/>
    <mergeCell ref="C64"/>
    <mergeCell ref="D64"/>
    <mergeCell ref="E64"/>
    <mergeCell ref="F64"/>
    <mergeCell ref="G64"/>
    <mergeCell ref="H64"/>
    <mergeCell ref="I64"/>
    <mergeCell ref="J64"/>
    <mergeCell ref="K64"/>
    <mergeCell ref="L64"/>
    <mergeCell ref="M64"/>
    <mergeCell ref="N64"/>
    <mergeCell ref="O64"/>
    <mergeCell ref="A65"/>
    <mergeCell ref="B65"/>
    <mergeCell ref="C65"/>
    <mergeCell ref="D65"/>
    <mergeCell ref="E65"/>
    <mergeCell ref="F65"/>
    <mergeCell ref="G65"/>
    <mergeCell ref="H65"/>
    <mergeCell ref="I65"/>
    <mergeCell ref="J65"/>
    <mergeCell ref="K65"/>
    <mergeCell ref="L65"/>
    <mergeCell ref="M65"/>
    <mergeCell ref="N65"/>
    <mergeCell ref="O65"/>
    <mergeCell ref="A66"/>
    <mergeCell ref="B66"/>
    <mergeCell ref="C66"/>
    <mergeCell ref="D66"/>
    <mergeCell ref="E66"/>
    <mergeCell ref="F66"/>
    <mergeCell ref="G66"/>
    <mergeCell ref="H66"/>
    <mergeCell ref="I66"/>
    <mergeCell ref="J66"/>
    <mergeCell ref="K66"/>
    <mergeCell ref="L66"/>
    <mergeCell ref="M66"/>
    <mergeCell ref="N66"/>
    <mergeCell ref="O66"/>
    <mergeCell ref="A67"/>
    <mergeCell ref="B67"/>
    <mergeCell ref="C67"/>
    <mergeCell ref="D67"/>
    <mergeCell ref="E67"/>
    <mergeCell ref="F67"/>
    <mergeCell ref="G67"/>
    <mergeCell ref="H67"/>
    <mergeCell ref="I67"/>
    <mergeCell ref="J67"/>
    <mergeCell ref="K67"/>
    <mergeCell ref="L67"/>
    <mergeCell ref="M67"/>
    <mergeCell ref="N67"/>
    <mergeCell ref="O67"/>
    <mergeCell ref="A68"/>
    <mergeCell ref="B68"/>
    <mergeCell ref="C68"/>
    <mergeCell ref="D68"/>
    <mergeCell ref="E68"/>
    <mergeCell ref="F68"/>
    <mergeCell ref="G68"/>
    <mergeCell ref="H68"/>
    <mergeCell ref="I68"/>
    <mergeCell ref="J68"/>
    <mergeCell ref="K68"/>
    <mergeCell ref="L68"/>
    <mergeCell ref="M68"/>
    <mergeCell ref="N68"/>
    <mergeCell ref="O68"/>
    <mergeCell ref="A69"/>
    <mergeCell ref="B69"/>
    <mergeCell ref="C69"/>
    <mergeCell ref="D69"/>
    <mergeCell ref="E69"/>
    <mergeCell ref="F69"/>
    <mergeCell ref="G69"/>
    <mergeCell ref="H69"/>
    <mergeCell ref="I69"/>
    <mergeCell ref="J69"/>
    <mergeCell ref="K69"/>
    <mergeCell ref="L69"/>
    <mergeCell ref="M69"/>
    <mergeCell ref="N69"/>
    <mergeCell ref="O69"/>
    <mergeCell ref="A70"/>
    <mergeCell ref="B70"/>
    <mergeCell ref="C70"/>
    <mergeCell ref="D70"/>
    <mergeCell ref="E70"/>
    <mergeCell ref="F70"/>
    <mergeCell ref="G70"/>
    <mergeCell ref="H70"/>
    <mergeCell ref="I70"/>
    <mergeCell ref="J70"/>
    <mergeCell ref="K70"/>
    <mergeCell ref="L70"/>
    <mergeCell ref="M70"/>
    <mergeCell ref="N70"/>
    <mergeCell ref="O70"/>
    <mergeCell ref="A71"/>
    <mergeCell ref="B71"/>
    <mergeCell ref="C71"/>
    <mergeCell ref="D71"/>
    <mergeCell ref="E71"/>
    <mergeCell ref="F71"/>
    <mergeCell ref="G71"/>
    <mergeCell ref="H71"/>
    <mergeCell ref="I71"/>
    <mergeCell ref="J71"/>
    <mergeCell ref="K71"/>
    <mergeCell ref="L71"/>
    <mergeCell ref="M71"/>
    <mergeCell ref="N71"/>
    <mergeCell ref="O71"/>
    <mergeCell ref="A72"/>
    <mergeCell ref="B72"/>
    <mergeCell ref="C72"/>
    <mergeCell ref="D72"/>
    <mergeCell ref="E72"/>
    <mergeCell ref="F72"/>
    <mergeCell ref="G72"/>
    <mergeCell ref="H72"/>
    <mergeCell ref="I72"/>
    <mergeCell ref="J72"/>
    <mergeCell ref="K72"/>
    <mergeCell ref="L72"/>
    <mergeCell ref="M72"/>
    <mergeCell ref="N72"/>
    <mergeCell ref="O72"/>
    <mergeCell ref="A73"/>
    <mergeCell ref="B73"/>
    <mergeCell ref="C73"/>
    <mergeCell ref="D73"/>
    <mergeCell ref="E73"/>
    <mergeCell ref="F73"/>
    <mergeCell ref="G73"/>
    <mergeCell ref="H73"/>
    <mergeCell ref="I73"/>
    <mergeCell ref="J73"/>
    <mergeCell ref="K73"/>
    <mergeCell ref="L73"/>
    <mergeCell ref="M73"/>
    <mergeCell ref="N73"/>
    <mergeCell ref="O73"/>
    <mergeCell ref="A74"/>
    <mergeCell ref="B74"/>
    <mergeCell ref="C74"/>
    <mergeCell ref="D74"/>
    <mergeCell ref="E74"/>
    <mergeCell ref="F74"/>
    <mergeCell ref="G74"/>
    <mergeCell ref="H74"/>
    <mergeCell ref="I74"/>
    <mergeCell ref="J74"/>
    <mergeCell ref="K74"/>
    <mergeCell ref="L74"/>
    <mergeCell ref="M74"/>
    <mergeCell ref="N74"/>
    <mergeCell ref="O74"/>
    <mergeCell ref="A75"/>
    <mergeCell ref="B75"/>
    <mergeCell ref="C75"/>
    <mergeCell ref="D75"/>
    <mergeCell ref="E75"/>
    <mergeCell ref="F75"/>
    <mergeCell ref="G75"/>
    <mergeCell ref="H75"/>
    <mergeCell ref="I75"/>
    <mergeCell ref="J75"/>
    <mergeCell ref="K75"/>
    <mergeCell ref="L75"/>
    <mergeCell ref="M75"/>
    <mergeCell ref="N75"/>
    <mergeCell ref="O75"/>
    <mergeCell ref="A76"/>
    <mergeCell ref="B76"/>
    <mergeCell ref="C76"/>
    <mergeCell ref="D76"/>
    <mergeCell ref="E76"/>
    <mergeCell ref="F76"/>
    <mergeCell ref="G76"/>
    <mergeCell ref="H76"/>
    <mergeCell ref="I76"/>
    <mergeCell ref="J76"/>
    <mergeCell ref="K76"/>
    <mergeCell ref="L76"/>
    <mergeCell ref="M76"/>
    <mergeCell ref="N76"/>
    <mergeCell ref="O76"/>
    <mergeCell ref="A77"/>
    <mergeCell ref="B77"/>
    <mergeCell ref="C77"/>
    <mergeCell ref="D77"/>
    <mergeCell ref="E77"/>
    <mergeCell ref="F77"/>
    <mergeCell ref="G77"/>
    <mergeCell ref="H77"/>
    <mergeCell ref="I77"/>
    <mergeCell ref="J77"/>
    <mergeCell ref="K77"/>
    <mergeCell ref="L77"/>
    <mergeCell ref="M77"/>
    <mergeCell ref="N77"/>
    <mergeCell ref="O77"/>
    <mergeCell ref="A78"/>
    <mergeCell ref="B78"/>
    <mergeCell ref="C78"/>
    <mergeCell ref="D78"/>
    <mergeCell ref="E78"/>
    <mergeCell ref="F78"/>
    <mergeCell ref="G78"/>
    <mergeCell ref="H78"/>
    <mergeCell ref="I78"/>
    <mergeCell ref="J78"/>
    <mergeCell ref="K78"/>
    <mergeCell ref="L78"/>
    <mergeCell ref="M78"/>
    <mergeCell ref="N78"/>
    <mergeCell ref="O78"/>
    <mergeCell ref="A79"/>
    <mergeCell ref="B79"/>
    <mergeCell ref="C79"/>
    <mergeCell ref="D79"/>
    <mergeCell ref="E79"/>
    <mergeCell ref="F79"/>
    <mergeCell ref="G79"/>
    <mergeCell ref="H79"/>
    <mergeCell ref="I79"/>
    <mergeCell ref="J79"/>
    <mergeCell ref="K79"/>
    <mergeCell ref="L79"/>
    <mergeCell ref="M79"/>
    <mergeCell ref="N79"/>
    <mergeCell ref="O79"/>
    <mergeCell ref="A80"/>
    <mergeCell ref="B80"/>
    <mergeCell ref="C80"/>
    <mergeCell ref="D80"/>
    <mergeCell ref="E80"/>
    <mergeCell ref="F80"/>
    <mergeCell ref="G80"/>
    <mergeCell ref="H80"/>
    <mergeCell ref="I80"/>
    <mergeCell ref="J80"/>
    <mergeCell ref="K80"/>
    <mergeCell ref="L80"/>
    <mergeCell ref="M80"/>
    <mergeCell ref="N80"/>
    <mergeCell ref="O80"/>
    <mergeCell ref="A1"/>
    <mergeCell ref="B1"/>
    <mergeCell ref="C1"/>
    <mergeCell ref="D1"/>
    <mergeCell ref="E1"/>
    <mergeCell ref="F1"/>
    <mergeCell ref="G1"/>
    <mergeCell ref="H1"/>
    <mergeCell ref="I1"/>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3"/>
    <mergeCell ref="B3"/>
    <mergeCell ref="C3"/>
    <mergeCell ref="D3"/>
    <mergeCell ref="E3"/>
    <mergeCell ref="F3"/>
    <mergeCell ref="G3"/>
    <mergeCell ref="H3"/>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5"/>
    <mergeCell ref="B5"/>
    <mergeCell ref="C5"/>
    <mergeCell ref="D5"/>
    <mergeCell ref="E5"/>
    <mergeCell ref="F5"/>
    <mergeCell ref="G5"/>
    <mergeCell ref="H5"/>
    <mergeCell ref="I5"/>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7"/>
    <mergeCell ref="B7"/>
    <mergeCell ref="C7"/>
    <mergeCell ref="D7"/>
    <mergeCell ref="E7"/>
    <mergeCell ref="F7"/>
    <mergeCell ref="G7"/>
    <mergeCell ref="H7"/>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9"/>
    <mergeCell ref="B9"/>
    <mergeCell ref="C9"/>
    <mergeCell ref="D9"/>
    <mergeCell ref="E9"/>
    <mergeCell ref="F9"/>
    <mergeCell ref="G9"/>
    <mergeCell ref="H9"/>
    <mergeCell ref="I9"/>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11"/>
    <mergeCell ref="B11"/>
    <mergeCell ref="C11"/>
    <mergeCell ref="D11"/>
    <mergeCell ref="E11"/>
    <mergeCell ref="F11"/>
    <mergeCell ref="G11"/>
    <mergeCell ref="H11"/>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3"/>
    <mergeCell ref="B13"/>
    <mergeCell ref="C13"/>
    <mergeCell ref="D13"/>
    <mergeCell ref="E13"/>
    <mergeCell ref="F13"/>
    <mergeCell ref="G13"/>
    <mergeCell ref="H13"/>
    <mergeCell ref="I13"/>
    <mergeCell ref="J13"/>
    <mergeCell ref="K13"/>
    <mergeCell ref="L13"/>
    <mergeCell ref="M13"/>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A15"/>
    <mergeCell ref="B15"/>
    <mergeCell ref="C15"/>
    <mergeCell ref="D15"/>
    <mergeCell ref="E15"/>
    <mergeCell ref="F15"/>
    <mergeCell ref="G15"/>
    <mergeCell ref="H15"/>
    <mergeCell ref="I15"/>
    <mergeCell ref="J15"/>
    <mergeCell ref="K15"/>
    <mergeCell ref="L15"/>
    <mergeCell ref="M15"/>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A17"/>
    <mergeCell ref="B17"/>
    <mergeCell ref="C17"/>
    <mergeCell ref="D17"/>
    <mergeCell ref="E17"/>
    <mergeCell ref="F17"/>
    <mergeCell ref="G17"/>
    <mergeCell ref="H17"/>
    <mergeCell ref="I17"/>
    <mergeCell ref="J17"/>
    <mergeCell ref="K17"/>
    <mergeCell ref="L17"/>
    <mergeCell ref="M17"/>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A19"/>
    <mergeCell ref="B19"/>
    <mergeCell ref="C19"/>
    <mergeCell ref="D19"/>
    <mergeCell ref="E19"/>
    <mergeCell ref="F19"/>
    <mergeCell ref="G19"/>
    <mergeCell ref="H19"/>
    <mergeCell ref="I19"/>
    <mergeCell ref="J19"/>
    <mergeCell ref="K19"/>
    <mergeCell ref="L19"/>
    <mergeCell ref="M19"/>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A21"/>
    <mergeCell ref="B21"/>
    <mergeCell ref="C21"/>
    <mergeCell ref="D21"/>
    <mergeCell ref="E21"/>
    <mergeCell ref="F21"/>
    <mergeCell ref="G21"/>
    <mergeCell ref="H21"/>
    <mergeCell ref="I21"/>
    <mergeCell ref="J21"/>
    <mergeCell ref="K21"/>
    <mergeCell ref="L21"/>
    <mergeCell ref="M21"/>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A23"/>
    <mergeCell ref="B23"/>
    <mergeCell ref="C23"/>
    <mergeCell ref="D23"/>
    <mergeCell ref="E23"/>
    <mergeCell ref="F23"/>
    <mergeCell ref="G23"/>
    <mergeCell ref="H23"/>
    <mergeCell ref="I23"/>
    <mergeCell ref="J23"/>
    <mergeCell ref="K23"/>
    <mergeCell ref="L23"/>
    <mergeCell ref="M23"/>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A25"/>
    <mergeCell ref="B25"/>
    <mergeCell ref="C25"/>
    <mergeCell ref="D25"/>
    <mergeCell ref="E25"/>
    <mergeCell ref="F25"/>
    <mergeCell ref="G25"/>
    <mergeCell ref="H25"/>
    <mergeCell ref="I25"/>
    <mergeCell ref="J25"/>
    <mergeCell ref="K25"/>
    <mergeCell ref="L25"/>
    <mergeCell ref="M25"/>
    <mergeCell ref="N25"/>
    <mergeCell ref="O25"/>
    <mergeCell ref="A26"/>
    <mergeCell ref="B26"/>
    <mergeCell ref="C26"/>
    <mergeCell ref="D26"/>
    <mergeCell ref="E26"/>
    <mergeCell ref="F26"/>
    <mergeCell ref="G26"/>
    <mergeCell ref="H26"/>
    <mergeCell ref="I26"/>
    <mergeCell ref="J26"/>
    <mergeCell ref="K26"/>
    <mergeCell ref="L26"/>
    <mergeCell ref="M26"/>
    <mergeCell ref="N26"/>
    <mergeCell ref="O26"/>
    <mergeCell ref="A27"/>
    <mergeCell ref="B27"/>
    <mergeCell ref="C27"/>
    <mergeCell ref="D27"/>
    <mergeCell ref="E27"/>
    <mergeCell ref="F27"/>
    <mergeCell ref="G27"/>
    <mergeCell ref="H27"/>
    <mergeCell ref="I27"/>
    <mergeCell ref="J27"/>
    <mergeCell ref="K27"/>
    <mergeCell ref="L27"/>
    <mergeCell ref="M27"/>
    <mergeCell ref="N27"/>
    <mergeCell ref="O27"/>
    <mergeCell ref="A28"/>
    <mergeCell ref="B28"/>
    <mergeCell ref="C28"/>
    <mergeCell ref="D28"/>
    <mergeCell ref="E28"/>
    <mergeCell ref="F28"/>
    <mergeCell ref="G28"/>
    <mergeCell ref="H28"/>
    <mergeCell ref="I28"/>
    <mergeCell ref="J28"/>
    <mergeCell ref="K28"/>
    <mergeCell ref="L28"/>
    <mergeCell ref="M28"/>
    <mergeCell ref="N28"/>
    <mergeCell ref="O28"/>
    <mergeCell ref="A29"/>
    <mergeCell ref="B29"/>
    <mergeCell ref="C29"/>
    <mergeCell ref="D29"/>
    <mergeCell ref="E29"/>
    <mergeCell ref="F29"/>
    <mergeCell ref="G29"/>
    <mergeCell ref="H29"/>
    <mergeCell ref="I29"/>
    <mergeCell ref="J29"/>
    <mergeCell ref="K29"/>
    <mergeCell ref="L29"/>
    <mergeCell ref="M29"/>
    <mergeCell ref="N29"/>
    <mergeCell ref="O29"/>
    <mergeCell ref="A30"/>
    <mergeCell ref="B30"/>
    <mergeCell ref="C30"/>
    <mergeCell ref="D30"/>
    <mergeCell ref="E30"/>
    <mergeCell ref="F30"/>
    <mergeCell ref="G30"/>
    <mergeCell ref="H30"/>
    <mergeCell ref="I30"/>
    <mergeCell ref="J30"/>
    <mergeCell ref="K30"/>
    <mergeCell ref="L30"/>
    <mergeCell ref="M30"/>
    <mergeCell ref="N30"/>
    <mergeCell ref="O30"/>
    <mergeCell ref="A31"/>
    <mergeCell ref="B31"/>
    <mergeCell ref="C31"/>
    <mergeCell ref="D31"/>
    <mergeCell ref="E31"/>
    <mergeCell ref="F31"/>
    <mergeCell ref="G31"/>
    <mergeCell ref="H31"/>
    <mergeCell ref="I31"/>
    <mergeCell ref="J31"/>
    <mergeCell ref="K31"/>
    <mergeCell ref="L31"/>
    <mergeCell ref="M31"/>
    <mergeCell ref="N31"/>
    <mergeCell ref="O31"/>
    <mergeCell ref="A32"/>
    <mergeCell ref="B32"/>
    <mergeCell ref="C32"/>
    <mergeCell ref="D32"/>
    <mergeCell ref="E32"/>
    <mergeCell ref="F32"/>
    <mergeCell ref="G32"/>
    <mergeCell ref="H32"/>
    <mergeCell ref="I32"/>
    <mergeCell ref="J32"/>
    <mergeCell ref="K32"/>
    <mergeCell ref="L32"/>
    <mergeCell ref="M32"/>
    <mergeCell ref="N32"/>
    <mergeCell ref="O32"/>
    <mergeCell ref="A33"/>
    <mergeCell ref="B33"/>
    <mergeCell ref="C33"/>
    <mergeCell ref="D33"/>
    <mergeCell ref="E33"/>
    <mergeCell ref="F33"/>
    <mergeCell ref="G33"/>
    <mergeCell ref="H33"/>
    <mergeCell ref="I33"/>
    <mergeCell ref="J33"/>
    <mergeCell ref="K33"/>
    <mergeCell ref="L33"/>
    <mergeCell ref="M33"/>
    <mergeCell ref="N33"/>
    <mergeCell ref="O33"/>
    <mergeCell ref="A34"/>
    <mergeCell ref="B34"/>
    <mergeCell ref="C34"/>
    <mergeCell ref="D34"/>
    <mergeCell ref="E34"/>
    <mergeCell ref="F34"/>
    <mergeCell ref="G34"/>
    <mergeCell ref="H34"/>
    <mergeCell ref="I34"/>
    <mergeCell ref="J34"/>
    <mergeCell ref="K34"/>
    <mergeCell ref="L34"/>
    <mergeCell ref="M34"/>
    <mergeCell ref="N34"/>
    <mergeCell ref="O34"/>
    <mergeCell ref="A35"/>
    <mergeCell ref="B35"/>
    <mergeCell ref="C35"/>
    <mergeCell ref="D35"/>
    <mergeCell ref="E35"/>
    <mergeCell ref="F35"/>
    <mergeCell ref="G35"/>
    <mergeCell ref="H35"/>
    <mergeCell ref="I35"/>
    <mergeCell ref="J35"/>
    <mergeCell ref="K35"/>
    <mergeCell ref="L35"/>
    <mergeCell ref="M35"/>
    <mergeCell ref="N35"/>
    <mergeCell ref="O35"/>
    <mergeCell ref="A36"/>
    <mergeCell ref="B36"/>
    <mergeCell ref="C36"/>
    <mergeCell ref="D36"/>
    <mergeCell ref="E36"/>
    <mergeCell ref="F36"/>
    <mergeCell ref="G36"/>
    <mergeCell ref="H36"/>
    <mergeCell ref="I36"/>
    <mergeCell ref="J36"/>
    <mergeCell ref="K36"/>
    <mergeCell ref="L36"/>
    <mergeCell ref="M36"/>
    <mergeCell ref="N36"/>
    <mergeCell ref="O36"/>
    <mergeCell ref="A37"/>
    <mergeCell ref="B37"/>
    <mergeCell ref="C37"/>
    <mergeCell ref="D37"/>
    <mergeCell ref="E37"/>
    <mergeCell ref="F37"/>
    <mergeCell ref="G37"/>
    <mergeCell ref="H37"/>
    <mergeCell ref="I37"/>
    <mergeCell ref="J37"/>
    <mergeCell ref="K37"/>
    <mergeCell ref="L37"/>
    <mergeCell ref="M37"/>
    <mergeCell ref="N37"/>
    <mergeCell ref="O37"/>
    <mergeCell ref="A38"/>
    <mergeCell ref="B38"/>
    <mergeCell ref="C38"/>
    <mergeCell ref="D38"/>
    <mergeCell ref="E38"/>
    <mergeCell ref="F38"/>
    <mergeCell ref="G38"/>
    <mergeCell ref="H38"/>
    <mergeCell ref="I38"/>
    <mergeCell ref="J38"/>
    <mergeCell ref="K38"/>
    <mergeCell ref="L38"/>
    <mergeCell ref="M38"/>
    <mergeCell ref="N38"/>
    <mergeCell ref="O38"/>
    <mergeCell ref="A39"/>
    <mergeCell ref="B39"/>
    <mergeCell ref="C39"/>
    <mergeCell ref="D39"/>
    <mergeCell ref="E39"/>
    <mergeCell ref="F39"/>
    <mergeCell ref="G39"/>
    <mergeCell ref="H39"/>
    <mergeCell ref="I39"/>
    <mergeCell ref="J39"/>
    <mergeCell ref="K39"/>
    <mergeCell ref="L39"/>
    <mergeCell ref="M39"/>
    <mergeCell ref="N39"/>
    <mergeCell ref="O39"/>
    <mergeCell ref="A40"/>
    <mergeCell ref="B40"/>
    <mergeCell ref="C40"/>
    <mergeCell ref="D40"/>
    <mergeCell ref="E40"/>
    <mergeCell ref="F40"/>
    <mergeCell ref="G40"/>
    <mergeCell ref="H40"/>
    <mergeCell ref="I40"/>
    <mergeCell ref="J40"/>
    <mergeCell ref="K40"/>
    <mergeCell ref="L40"/>
    <mergeCell ref="M40"/>
    <mergeCell ref="N40"/>
    <mergeCell ref="O40"/>
    <mergeCell ref="A41"/>
    <mergeCell ref="B41"/>
    <mergeCell ref="C41"/>
    <mergeCell ref="D41"/>
    <mergeCell ref="E41"/>
    <mergeCell ref="F41"/>
    <mergeCell ref="G41"/>
    <mergeCell ref="H41"/>
    <mergeCell ref="I41"/>
    <mergeCell ref="J41"/>
    <mergeCell ref="K41"/>
    <mergeCell ref="L41"/>
    <mergeCell ref="M41"/>
    <mergeCell ref="N41"/>
    <mergeCell ref="O41"/>
    <mergeCell ref="A42"/>
    <mergeCell ref="B42"/>
    <mergeCell ref="C42"/>
    <mergeCell ref="D42"/>
    <mergeCell ref="E42"/>
    <mergeCell ref="F42"/>
    <mergeCell ref="G42"/>
    <mergeCell ref="H42"/>
    <mergeCell ref="I42"/>
    <mergeCell ref="J42"/>
    <mergeCell ref="K42"/>
    <mergeCell ref="L42"/>
    <mergeCell ref="M42"/>
    <mergeCell ref="N42"/>
    <mergeCell ref="O42"/>
    <mergeCell ref="A43"/>
    <mergeCell ref="B43"/>
    <mergeCell ref="C43"/>
    <mergeCell ref="D43"/>
    <mergeCell ref="E43"/>
    <mergeCell ref="F43"/>
    <mergeCell ref="G43"/>
    <mergeCell ref="H43"/>
    <mergeCell ref="I43"/>
    <mergeCell ref="J43"/>
    <mergeCell ref="K43"/>
    <mergeCell ref="L43"/>
    <mergeCell ref="M43"/>
    <mergeCell ref="N43"/>
    <mergeCell ref="O43"/>
    <mergeCell ref="A44"/>
    <mergeCell ref="B44"/>
    <mergeCell ref="C44"/>
    <mergeCell ref="D44"/>
    <mergeCell ref="E44"/>
    <mergeCell ref="F44"/>
    <mergeCell ref="G44"/>
    <mergeCell ref="H44"/>
    <mergeCell ref="I44"/>
    <mergeCell ref="J44"/>
    <mergeCell ref="K44"/>
    <mergeCell ref="L44"/>
    <mergeCell ref="M44"/>
    <mergeCell ref="N44"/>
    <mergeCell ref="O44"/>
    <mergeCell ref="A45"/>
    <mergeCell ref="B45"/>
    <mergeCell ref="C45"/>
    <mergeCell ref="D45"/>
    <mergeCell ref="E45"/>
    <mergeCell ref="F45"/>
    <mergeCell ref="G45"/>
    <mergeCell ref="H45"/>
    <mergeCell ref="I45"/>
    <mergeCell ref="J45"/>
    <mergeCell ref="K45"/>
    <mergeCell ref="L45"/>
    <mergeCell ref="M45"/>
    <mergeCell ref="N45"/>
    <mergeCell ref="O45"/>
    <mergeCell ref="A46"/>
    <mergeCell ref="B46"/>
    <mergeCell ref="C46"/>
    <mergeCell ref="D46"/>
    <mergeCell ref="E46"/>
    <mergeCell ref="F46"/>
    <mergeCell ref="G46"/>
    <mergeCell ref="H46"/>
    <mergeCell ref="I46"/>
    <mergeCell ref="J46"/>
    <mergeCell ref="K46"/>
    <mergeCell ref="L46"/>
    <mergeCell ref="M46"/>
    <mergeCell ref="N46"/>
    <mergeCell ref="O46"/>
    <mergeCell ref="A47"/>
    <mergeCell ref="B47"/>
    <mergeCell ref="C47"/>
    <mergeCell ref="D47"/>
    <mergeCell ref="E47"/>
    <mergeCell ref="F47"/>
    <mergeCell ref="G47"/>
    <mergeCell ref="H47"/>
    <mergeCell ref="I47"/>
    <mergeCell ref="J47"/>
    <mergeCell ref="K47"/>
    <mergeCell ref="L47"/>
    <mergeCell ref="M47"/>
    <mergeCell ref="N47"/>
    <mergeCell ref="O47"/>
    <mergeCell ref="A48"/>
    <mergeCell ref="B48"/>
    <mergeCell ref="C48"/>
    <mergeCell ref="D48"/>
    <mergeCell ref="E48"/>
    <mergeCell ref="F48"/>
    <mergeCell ref="G48"/>
    <mergeCell ref="H48"/>
    <mergeCell ref="I48"/>
    <mergeCell ref="J48"/>
    <mergeCell ref="K48"/>
    <mergeCell ref="L48"/>
    <mergeCell ref="M48"/>
    <mergeCell ref="N48"/>
    <mergeCell ref="O48"/>
    <mergeCell ref="A49"/>
    <mergeCell ref="B49"/>
    <mergeCell ref="C49"/>
    <mergeCell ref="D49"/>
    <mergeCell ref="E49"/>
    <mergeCell ref="F49"/>
    <mergeCell ref="G49"/>
    <mergeCell ref="H49"/>
    <mergeCell ref="I49"/>
    <mergeCell ref="J49"/>
    <mergeCell ref="K49"/>
    <mergeCell ref="L49"/>
    <mergeCell ref="M49"/>
    <mergeCell ref="N49"/>
    <mergeCell ref="O49"/>
    <mergeCell ref="A50"/>
    <mergeCell ref="B50"/>
    <mergeCell ref="C50"/>
    <mergeCell ref="D50"/>
    <mergeCell ref="E50"/>
    <mergeCell ref="F50"/>
    <mergeCell ref="G50"/>
    <mergeCell ref="H50"/>
    <mergeCell ref="I50"/>
    <mergeCell ref="J50"/>
    <mergeCell ref="K50"/>
    <mergeCell ref="L50"/>
    <mergeCell ref="M50"/>
    <mergeCell ref="N50"/>
    <mergeCell ref="O50"/>
    <mergeCell ref="A51"/>
    <mergeCell ref="B51"/>
    <mergeCell ref="C51"/>
    <mergeCell ref="D51"/>
    <mergeCell ref="E51"/>
    <mergeCell ref="F51"/>
    <mergeCell ref="G51"/>
    <mergeCell ref="H51"/>
    <mergeCell ref="I51"/>
    <mergeCell ref="J51"/>
    <mergeCell ref="K51"/>
    <mergeCell ref="L51"/>
    <mergeCell ref="M51"/>
    <mergeCell ref="N51"/>
    <mergeCell ref="O51"/>
  </mergeCells>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topLeftCell="E1" workbookViewId="0">
      <selection activeCell="N26" sqref="N26:T28"/>
    </sheetView>
  </sheetViews>
  <sheetFormatPr defaultRowHeight="13.5"/>
  <cols>
    <col min="1" max="1" width="24.375" bestFit="1" customWidth="1"/>
    <col min="2" max="2" width="7.5" bestFit="1" customWidth="1"/>
    <col min="3" max="3" width="7.875" bestFit="1" customWidth="1"/>
    <col min="4" max="4" width="12.75" bestFit="1" customWidth="1"/>
    <col min="5" max="5" width="8.5" bestFit="1" customWidth="1"/>
    <col min="6" max="6" width="13.875" bestFit="1" customWidth="1"/>
    <col min="7" max="7" width="6.5" bestFit="1" customWidth="1"/>
  </cols>
  <sheetData>
    <row r="1" spans="1:7" ht="15" thickBot="1">
      <c r="A1" s="3211" t="s">
        <v>3402</v>
      </c>
      <c r="B1" s="3212"/>
      <c r="C1" s="3213"/>
      <c r="D1" s="3213"/>
      <c r="E1" s="3213"/>
      <c r="F1" s="3213"/>
      <c r="G1" s="3213"/>
    </row>
    <row r="2" spans="1:7" ht="40.5">
      <c r="A2" s="3214" t="s">
        <v>3403</v>
      </c>
      <c r="B2" s="3215" t="s">
        <v>3404</v>
      </c>
      <c r="C2" s="3216" t="s">
        <v>3405</v>
      </c>
      <c r="D2" s="3215" t="s">
        <v>3406</v>
      </c>
      <c r="E2" s="3217" t="s">
        <v>3407</v>
      </c>
      <c r="F2" s="3213"/>
      <c r="G2" s="3213"/>
    </row>
    <row r="3" spans="1:7" ht="14.25">
      <c r="A3" s="3218">
        <v>40</v>
      </c>
      <c r="B3" s="3219"/>
      <c r="C3" s="68">
        <f>ROUNDDOWN(MIN((B3-$B$1)/365,A3),2)</f>
        <v>0</v>
      </c>
      <c r="D3" s="69">
        <f>IF(ISERROR(ROUND(POWER(1+E3,A3-C3)*(POWER(1+E3,C3)-1)/(POWER(1+E3,A3)-1),3)),0,ROUND(POWER(1+E3,A3-C3)*(POWER(1+E3,C3)-1)/(POWER(1+E3,A3)-1),3))</f>
        <v>0</v>
      </c>
      <c r="E3" s="3220"/>
      <c r="F3" s="3213"/>
      <c r="G3" s="3213"/>
    </row>
    <row r="4" spans="1:7" ht="14.25">
      <c r="A4" s="3218">
        <v>50</v>
      </c>
      <c r="B4" s="3219"/>
      <c r="C4" s="68">
        <f>ROUNDDOWN(MIN((B4-$B$1)/365,A4),2)</f>
        <v>0</v>
      </c>
      <c r="D4" s="69">
        <f>IF(ISERROR(ROUND(POWER(1+E4,A4-C4)*(POWER(1+E4,C4)-1)/(POWER(1+E4,A4)-1),3)),0,ROUND(POWER(1+E4,A4-C4)*(POWER(1+E4,C4)-1)/(POWER(1+E4,A4)-1),3))</f>
        <v>0</v>
      </c>
      <c r="E4" s="3220"/>
      <c r="F4" s="3213"/>
      <c r="G4" s="3213"/>
    </row>
    <row r="5" spans="1:7" ht="15" thickBot="1">
      <c r="A5" s="3221">
        <v>70</v>
      </c>
      <c r="B5" s="3222"/>
      <c r="C5" s="3223">
        <f>ROUNDDOWN(MIN((B5-$B$1)/365,A5),2)</f>
        <v>0</v>
      </c>
      <c r="D5" s="3224">
        <f>IF(ISERROR(ROUND(POWER(1+E5,A5-C5)*(POWER(1+E5,C5)-1)/(POWER(1+E5,A5)-1),3)),0,ROUND(POWER(1+E5,A5-C5)*(POWER(1+E5,C5)-1)/(POWER(1+E5,A5)-1),3))</f>
        <v>0</v>
      </c>
      <c r="E5" s="3225"/>
      <c r="F5" s="3213"/>
      <c r="G5" s="3213"/>
    </row>
    <row r="6" spans="1:7" ht="14.25" thickBot="1">
      <c r="A6" s="3213"/>
      <c r="B6" s="3213"/>
      <c r="C6" s="3213"/>
      <c r="D6" s="3213"/>
      <c r="E6" s="3213"/>
      <c r="F6" s="3213"/>
      <c r="G6" s="3213"/>
    </row>
    <row r="7" spans="1:7" ht="14.25" thickBot="1">
      <c r="A7" s="3226" t="s">
        <v>3408</v>
      </c>
      <c r="B7" s="3227"/>
      <c r="C7" s="3228"/>
      <c r="D7" s="3228"/>
      <c r="E7" s="3228"/>
      <c r="F7" s="3228"/>
      <c r="G7" s="3228"/>
    </row>
    <row r="8" spans="1:7" ht="14.25" thickBot="1">
      <c r="A8" s="3595" t="s">
        <v>3409</v>
      </c>
      <c r="B8" s="3596"/>
      <c r="C8" s="3229"/>
      <c r="D8" s="3230" t="s">
        <v>3407</v>
      </c>
      <c r="E8" s="3229"/>
      <c r="F8" s="3231" t="s">
        <v>3406</v>
      </c>
      <c r="G8" s="3213"/>
    </row>
    <row r="9" spans="1:7" ht="15" thickBot="1">
      <c r="A9" s="3232" t="s">
        <v>3410</v>
      </c>
      <c r="B9" s="3233">
        <v>50</v>
      </c>
      <c r="C9" s="3234" t="s">
        <v>3411</v>
      </c>
      <c r="D9" s="3235">
        <f>'数据-取费表'!H6</f>
        <v>4.4999999999999998E-2</v>
      </c>
      <c r="E9" s="3234" t="s">
        <v>3412</v>
      </c>
      <c r="F9" s="3236">
        <f>1-(1/(POWER(1+D9,B9)))</f>
        <v>0.88929035003434787</v>
      </c>
      <c r="G9" s="3213">
        <f>ROUND(F9/F10,2)</f>
        <v>1.52</v>
      </c>
    </row>
    <row r="10" spans="1:7" ht="15" thickBot="1">
      <c r="A10" s="3237" t="s">
        <v>3413</v>
      </c>
      <c r="B10" s="3238">
        <v>20</v>
      </c>
      <c r="C10" s="3239" t="s">
        <v>3414</v>
      </c>
      <c r="D10" s="3235">
        <f>D9</f>
        <v>4.4999999999999998E-2</v>
      </c>
      <c r="E10" s="3239" t="s">
        <v>3415</v>
      </c>
      <c r="F10" s="3240">
        <f>1-(1/(POWER(1+D10,B10)))</f>
        <v>0.58535714031541541</v>
      </c>
      <c r="G10" s="3213">
        <f>ROUND(F10/F9,3)</f>
        <v>0.65800000000000003</v>
      </c>
    </row>
    <row r="11" spans="1:7" ht="15" thickBot="1">
      <c r="A11" s="3241" t="s">
        <v>3416</v>
      </c>
      <c r="B11" s="3242"/>
      <c r="C11" s="3242"/>
      <c r="D11" s="3242"/>
      <c r="E11" s="3242"/>
      <c r="F11" s="3242"/>
      <c r="G11" s="3213"/>
    </row>
    <row r="12" spans="1:7" ht="14.25">
      <c r="A12" s="3232" t="s">
        <v>3417</v>
      </c>
      <c r="B12" s="3233"/>
      <c r="C12" s="3213"/>
      <c r="D12" s="3213"/>
      <c r="E12" s="3243"/>
      <c r="F12" s="3243"/>
      <c r="G12" s="3213"/>
    </row>
    <row r="13" spans="1:7" ht="15" thickBot="1">
      <c r="A13" s="3237" t="s">
        <v>3418</v>
      </c>
      <c r="B13" s="3244">
        <f>ROUND(B12*F10/F9,2)</f>
        <v>0</v>
      </c>
      <c r="C13" s="3213"/>
      <c r="D13" s="3213"/>
      <c r="E13" s="3243"/>
      <c r="F13" s="3243"/>
      <c r="G13" s="3213"/>
    </row>
    <row r="14" spans="1:7" ht="14.25" thickBot="1">
      <c r="A14" s="3241" t="s">
        <v>3419</v>
      </c>
      <c r="B14" s="3245"/>
      <c r="C14" s="3213"/>
      <c r="D14" s="3213"/>
      <c r="E14" s="3213"/>
      <c r="F14" s="3213"/>
      <c r="G14" s="3213"/>
    </row>
    <row r="15" spans="1:7" ht="14.25">
      <c r="A15" s="3234" t="s">
        <v>3418</v>
      </c>
      <c r="B15" s="3246"/>
      <c r="C15" s="3213"/>
      <c r="D15" s="3213"/>
      <c r="E15" s="3213"/>
      <c r="F15" s="3213"/>
      <c r="G15" s="3213"/>
    </row>
    <row r="16" spans="1:7" ht="15" thickBot="1">
      <c r="A16" s="3239" t="s">
        <v>3417</v>
      </c>
      <c r="B16" s="3247">
        <f>ROUND(B15*F9/F10,2)</f>
        <v>0</v>
      </c>
      <c r="C16" s="3213"/>
      <c r="D16" s="3213"/>
      <c r="E16" s="3213"/>
      <c r="F16" s="3213"/>
      <c r="G16" s="3213"/>
    </row>
  </sheetData>
  <mergeCells count="1">
    <mergeCell ref="A8:B8"/>
  </mergeCells>
  <phoneticPr fontId="140" type="noConversion"/>
  <dataValidations disablePrompts="1" count="1">
    <dataValidation type="list" allowBlank="1" showInputMessage="1" showErrorMessage="1" sqref="A3:A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0" t="str">
        <f>IF(项目基本情况!B9="房地产市场价值","估价结果一览表","结果表-2")</f>
        <v>结果表-2</v>
      </c>
      <c r="B1" s="3270"/>
      <c r="C1" s="3270"/>
      <c r="D1" s="3270"/>
      <c r="E1" s="3270"/>
      <c r="F1" s="3270"/>
      <c r="G1" s="3270"/>
      <c r="H1" s="3270"/>
      <c r="I1" s="3270"/>
    </row>
    <row r="2" spans="1:9" ht="30" customHeight="1" thickTop="1">
      <c r="A2" s="3271" t="s">
        <v>1546</v>
      </c>
      <c r="B2" s="3271" t="s">
        <v>1547</v>
      </c>
      <c r="C2" s="3271" t="s">
        <v>1548</v>
      </c>
      <c r="D2" s="3271" t="str">
        <f>结果表!D116</f>
        <v>出让国有建设用地使用权价值</v>
      </c>
      <c r="E2" s="3271"/>
      <c r="F2" s="3271" t="str">
        <f>结果表!F116</f>
        <v>在建建筑物价值</v>
      </c>
      <c r="G2" s="3271"/>
      <c r="H2" s="3271" t="str">
        <f>IF(项目基本情况!B9="房地产市场价值","房地产市场价值","房地产价值")</f>
        <v>房地产价值</v>
      </c>
      <c r="I2" s="3271"/>
    </row>
    <row r="3" spans="1:9" ht="15">
      <c r="A3" s="3265"/>
      <c r="B3" s="3265"/>
      <c r="C3" s="3265"/>
      <c r="D3" s="963" t="s">
        <v>1543</v>
      </c>
      <c r="E3" s="963" t="s">
        <v>1549</v>
      </c>
      <c r="F3" s="963" t="s">
        <v>1543</v>
      </c>
      <c r="G3" s="963" t="s">
        <v>1544</v>
      </c>
      <c r="H3" s="963" t="s">
        <v>1543</v>
      </c>
      <c r="I3" s="963" t="s">
        <v>1544</v>
      </c>
    </row>
    <row r="4" spans="1:9" ht="15">
      <c r="A4" s="1659" t="str">
        <f>项目基本情况!S2</f>
        <v>北京市房地产</v>
      </c>
      <c r="B4" s="963">
        <f>项目基本情况!C17</f>
        <v>3519.53</v>
      </c>
      <c r="C4" s="963">
        <f>项目基本情况!C18</f>
        <v>0</v>
      </c>
      <c r="D4" s="963">
        <f ca="1">结果表!D118</f>
        <v>921</v>
      </c>
      <c r="E4" s="963">
        <f ca="1">结果表!E118</f>
        <v>2617</v>
      </c>
      <c r="F4" s="963">
        <f ca="1">结果表!F118</f>
        <v>1967</v>
      </c>
      <c r="G4" s="963">
        <f ca="1">结果表!G118</f>
        <v>5589</v>
      </c>
      <c r="H4" s="963">
        <f ca="1">结果表!H118</f>
        <v>2888</v>
      </c>
      <c r="I4" s="963">
        <f ca="1">结果表!I118</f>
        <v>8206</v>
      </c>
    </row>
    <row r="5" spans="1:9" ht="30" customHeight="1">
      <c r="A5" s="3265" t="s">
        <v>1545</v>
      </c>
      <c r="B5" s="3265"/>
      <c r="C5" s="3265"/>
      <c r="D5" s="3266" t="str">
        <f ca="1">结果表!D119</f>
        <v>玖佰贰拾壹万元整</v>
      </c>
      <c r="E5" s="3266"/>
      <c r="F5" s="3266" t="str">
        <f ca="1">结果表!F119</f>
        <v>壹仟玖佰陆拾柒万元整</v>
      </c>
      <c r="G5" s="3266"/>
      <c r="H5" s="3266" t="str">
        <f ca="1">结果表!H119</f>
        <v>贰仟捌佰捌拾捌万元整</v>
      </c>
      <c r="I5" s="3266"/>
    </row>
    <row r="6" spans="1:9" ht="15.75">
      <c r="A6" s="3264" t="str">
        <f>结果表!A120</f>
        <v>估价师知悉的法定优先受偿款</v>
      </c>
      <c r="B6" s="3264"/>
      <c r="C6" s="3264"/>
      <c r="D6" s="3264">
        <f>结果表!D120</f>
        <v>0</v>
      </c>
      <c r="E6" s="3264"/>
      <c r="F6" s="3264"/>
      <c r="G6" s="3264"/>
      <c r="H6" s="3264"/>
      <c r="I6" s="3264"/>
    </row>
    <row r="7" spans="1:9" ht="15">
      <c r="A7" s="3265" t="s">
        <v>1545</v>
      </c>
      <c r="B7" s="3265"/>
      <c r="C7" s="3265"/>
      <c r="D7" s="3267" t="str">
        <f>结果表!D121</f>
        <v>零元整</v>
      </c>
      <c r="E7" s="3268"/>
      <c r="F7" s="3268"/>
      <c r="G7" s="3268"/>
      <c r="H7" s="3268"/>
      <c r="I7" s="3269"/>
    </row>
    <row r="8" spans="1:9" ht="15.75">
      <c r="A8" s="3264" t="str">
        <f>结果表!A122</f>
        <v>房地产抵押价值</v>
      </c>
      <c r="B8" s="3264"/>
      <c r="C8" s="3264"/>
      <c r="D8" s="3264">
        <f ca="1">结果表!D122</f>
        <v>2888</v>
      </c>
      <c r="E8" s="3264"/>
      <c r="F8" s="3264"/>
      <c r="G8" s="3264"/>
      <c r="H8" s="3264"/>
      <c r="I8" s="3264"/>
    </row>
    <row r="9" spans="1:9" ht="15">
      <c r="A9" s="3265" t="s">
        <v>1545</v>
      </c>
      <c r="B9" s="3265"/>
      <c r="C9" s="3265"/>
      <c r="D9" s="3266" t="str">
        <f ca="1">结果表!D123</f>
        <v>贰仟捌佰捌拾捌万元整</v>
      </c>
      <c r="E9" s="3266"/>
      <c r="F9" s="3266"/>
      <c r="G9" s="3266"/>
      <c r="H9" s="3266"/>
      <c r="I9" s="3266"/>
    </row>
    <row r="10" spans="1:9" ht="15.75">
      <c r="A10" s="3264" t="str">
        <f>结果表!A124</f>
        <v/>
      </c>
      <c r="B10" s="3264"/>
      <c r="C10" s="3264"/>
      <c r="D10" s="3264" t="str">
        <f>结果表!D124</f>
        <v>——</v>
      </c>
      <c r="E10" s="3264"/>
      <c r="F10" s="3264"/>
      <c r="G10" s="3264"/>
      <c r="H10" s="3264"/>
      <c r="I10" s="3264"/>
    </row>
    <row r="11" spans="1:9" ht="15">
      <c r="A11" s="3265" t="s">
        <v>1545</v>
      </c>
      <c r="B11" s="3265"/>
      <c r="C11" s="3265"/>
      <c r="D11" s="3266" t="e">
        <f>结果表!D125</f>
        <v>#VALUE!</v>
      </c>
      <c r="E11" s="3266"/>
      <c r="F11" s="3266"/>
      <c r="G11" s="3266"/>
      <c r="H11" s="3266"/>
      <c r="I11" s="3266"/>
    </row>
    <row r="12" spans="1:9" ht="15.75">
      <c r="A12" s="3264" t="str">
        <f>结果表!A126</f>
        <v/>
      </c>
      <c r="B12" s="3264"/>
      <c r="C12" s="3264"/>
      <c r="D12" s="3264" t="str">
        <f>结果表!D126</f>
        <v>——</v>
      </c>
      <c r="E12" s="3264"/>
      <c r="F12" s="3264"/>
      <c r="G12" s="3264"/>
      <c r="H12" s="3264"/>
      <c r="I12" s="3264"/>
    </row>
    <row r="13" spans="1:9" ht="15.75" thickBot="1">
      <c r="A13" s="3261" t="s">
        <v>1545</v>
      </c>
      <c r="B13" s="3261"/>
      <c r="C13" s="3261"/>
      <c r="D13" s="3262" t="e">
        <f>结果表!D127</f>
        <v>#VALUE!</v>
      </c>
      <c r="E13" s="3262"/>
      <c r="F13" s="3262"/>
      <c r="G13" s="3262"/>
      <c r="H13" s="3262"/>
      <c r="I13" s="3262"/>
    </row>
    <row r="14" spans="1:9" ht="15" thickTop="1">
      <c r="A14" s="3263" t="s">
        <v>1550</v>
      </c>
      <c r="B14" s="3263"/>
      <c r="C14" s="3263"/>
      <c r="D14" s="3263"/>
      <c r="E14" s="3263"/>
      <c r="F14" s="3263"/>
      <c r="G14" s="3263"/>
      <c r="H14" s="3263"/>
      <c r="I14" s="326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8" t="s">
        <v>1567</v>
      </c>
      <c r="B1" s="3278"/>
      <c r="C1" s="3278"/>
      <c r="D1" s="3278"/>
    </row>
    <row r="2" spans="1:4" ht="18">
      <c r="A2" s="3279" t="s">
        <v>1551</v>
      </c>
      <c r="B2" s="3279"/>
      <c r="C2" s="3279"/>
      <c r="D2" s="3279"/>
    </row>
    <row r="3" spans="1:4" ht="18.75">
      <c r="A3" s="1663" t="s">
        <v>1552</v>
      </c>
      <c r="B3" s="1663" t="s">
        <v>1553</v>
      </c>
      <c r="C3" s="1663" t="s">
        <v>1554</v>
      </c>
      <c r="D3" s="1663" t="s">
        <v>1555</v>
      </c>
    </row>
    <row r="4" spans="1:4" ht="56.25" customHeight="1">
      <c r="A4" s="1664" t="str">
        <f>项目基本情况!B4</f>
        <v>王鹏</v>
      </c>
      <c r="B4" s="1665">
        <f ca="1">项目基本情况!C4</f>
        <v>0</v>
      </c>
      <c r="C4" s="1666"/>
      <c r="D4" s="1667" t="s">
        <v>1556</v>
      </c>
    </row>
    <row r="5" spans="1:4" ht="56.25" customHeight="1">
      <c r="A5" s="1664" t="str">
        <f>项目基本情况!D4</f>
        <v>郑燚</v>
      </c>
      <c r="B5" s="1665">
        <f ca="1">项目基本情况!E4</f>
        <v>1120070131</v>
      </c>
      <c r="C5" s="1668"/>
      <c r="D5" s="1667" t="s">
        <v>1556</v>
      </c>
    </row>
    <row r="6" spans="1:4" ht="18">
      <c r="A6" s="3279" t="s">
        <v>1557</v>
      </c>
      <c r="B6" s="3279"/>
      <c r="C6" s="3279"/>
      <c r="D6" s="327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80" t="s">
        <v>1560</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2" t="str">
        <f>IF(项目基本情况!B8="抵押","4.本次评估估价师所知悉的法定优先受偿款情况说明如下：","——")</f>
        <v>4.本次评估估价师所知悉的法定优先受偿款情况说明如下：</v>
      </c>
      <c r="B14" s="3277"/>
      <c r="C14" s="3277"/>
      <c r="D14" s="3277"/>
    </row>
    <row r="15" spans="1:4" ht="42" customHeight="1">
      <c r="A15" s="32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2"/>
      <c r="C15" s="3272"/>
      <c r="D15" s="3272"/>
    </row>
    <row r="16" spans="1:4" ht="30" customHeight="1">
      <c r="A16" s="3274" t="s">
        <v>1561</v>
      </c>
      <c r="B16" s="3274"/>
      <c r="C16" s="3274"/>
      <c r="D16" s="3274"/>
    </row>
    <row r="17" spans="1:4" ht="144" customHeight="1">
      <c r="A17" s="3274" t="s">
        <v>1562</v>
      </c>
      <c r="B17" s="3274"/>
      <c r="C17" s="3274"/>
      <c r="D17" s="3274"/>
    </row>
    <row r="18" spans="1:4" ht="15.75" customHeight="1">
      <c r="A18" s="3272" t="str">
        <f>IF(项目基本情况!B8="抵押",结果表!K120,"——")</f>
        <v>故，本次评估不存在估价师知悉的法定优先受偿款</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1563</v>
      </c>
      <c r="B22" s="3276"/>
      <c r="C22" s="3276"/>
      <c r="D22" s="327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3">
        <v>42551</v>
      </c>
      <c r="D31" s="32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6" t="s">
        <v>1574</v>
      </c>
      <c r="B15" s="3281" t="s">
        <v>136</v>
      </c>
      <c r="C15" s="3282"/>
    </row>
    <row r="16" spans="1:7" ht="13.5">
      <c r="A16" s="3287"/>
      <c r="B16" s="3281" t="s">
        <v>69</v>
      </c>
      <c r="C16" s="3282"/>
    </row>
    <row r="17" spans="1:3" ht="13.5">
      <c r="A17" s="3287"/>
      <c r="B17" s="3284" t="s">
        <v>1575</v>
      </c>
      <c r="C17" s="1686" t="s">
        <v>1574</v>
      </c>
    </row>
    <row r="18" spans="1:3" ht="13.5">
      <c r="A18" s="3287"/>
      <c r="B18" s="3284"/>
      <c r="C18" s="1686" t="s">
        <v>1576</v>
      </c>
    </row>
    <row r="19" spans="1:3" ht="13.5">
      <c r="A19" s="3287"/>
      <c r="B19" s="3284"/>
      <c r="C19" s="1686" t="s">
        <v>1577</v>
      </c>
    </row>
    <row r="20" spans="1:3" ht="13.5">
      <c r="A20" s="3288"/>
      <c r="B20" s="3283" t="s">
        <v>1578</v>
      </c>
      <c r="C20" s="3282"/>
    </row>
    <row r="21" spans="1:3" ht="13.5">
      <c r="A21" s="1687" t="s">
        <v>1579</v>
      </c>
      <c r="B21" s="1688"/>
      <c r="C21" s="1689"/>
    </row>
    <row r="22" spans="1:3" ht="13.5">
      <c r="A22" s="3285" t="s">
        <v>1580</v>
      </c>
      <c r="B22" s="3283" t="s">
        <v>1581</v>
      </c>
      <c r="C22" s="3282"/>
    </row>
    <row r="23" spans="1:3" ht="13.5">
      <c r="A23" s="3285"/>
      <c r="B23" s="3283" t="s">
        <v>1582</v>
      </c>
      <c r="C23" s="3282"/>
    </row>
    <row r="24" spans="1:3" ht="13.5">
      <c r="A24" s="3285"/>
      <c r="B24" s="3283" t="s">
        <v>1583</v>
      </c>
      <c r="C24" s="3282"/>
    </row>
    <row r="25" spans="1:3" ht="13.5">
      <c r="A25" s="3285"/>
      <c r="B25" s="3284" t="s">
        <v>1584</v>
      </c>
      <c r="C25" s="1686" t="s">
        <v>1585</v>
      </c>
    </row>
    <row r="26" spans="1:3" ht="13.5">
      <c r="A26" s="3285"/>
      <c r="B26" s="3284"/>
      <c r="C26" s="1686" t="s">
        <v>1586</v>
      </c>
    </row>
    <row r="27" spans="1:3" ht="13.5">
      <c r="A27" s="3285"/>
      <c r="B27" s="3284"/>
      <c r="C27" s="1686" t="s">
        <v>1587</v>
      </c>
    </row>
    <row r="28" spans="1:3" ht="13.5">
      <c r="A28" s="3285"/>
      <c r="B28" s="3284"/>
      <c r="C28" s="1686" t="s">
        <v>1588</v>
      </c>
    </row>
    <row r="29" spans="1:3" ht="13.5">
      <c r="A29" s="3285"/>
      <c r="B29" s="3284"/>
      <c r="C29" s="1686" t="s">
        <v>1589</v>
      </c>
    </row>
    <row r="30" spans="1:3" ht="13.5">
      <c r="A30" s="3285"/>
      <c r="B30" s="3284"/>
      <c r="C30" s="1686" t="s">
        <v>1590</v>
      </c>
    </row>
    <row r="31" spans="1:3" ht="13.5">
      <c r="A31" s="3285"/>
      <c r="B31" s="3284"/>
      <c r="C31" s="1686" t="s">
        <v>1591</v>
      </c>
    </row>
    <row r="32" spans="1:3" ht="13.5">
      <c r="A32" s="3285"/>
      <c r="B32" s="3284"/>
      <c r="C32" s="1686" t="s">
        <v>1592</v>
      </c>
    </row>
    <row r="33" spans="1:3" ht="13.5">
      <c r="A33" s="3285"/>
      <c r="B33" s="328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89" t="s">
        <v>2840</v>
      </c>
      <c r="B17" s="3289"/>
      <c r="C17" s="3289"/>
      <c r="D17" s="3289"/>
      <c r="E17" s="3289"/>
      <c r="F17" s="3289"/>
      <c r="G17" s="3289"/>
      <c r="H17" s="3289"/>
    </row>
    <row r="18" spans="1:8" ht="24" customHeight="1">
      <c r="A18" s="3290" t="s">
        <v>2841</v>
      </c>
      <c r="B18" s="3290"/>
      <c r="C18" s="3290"/>
      <c r="D18" s="2535"/>
      <c r="E18" s="3291" t="s">
        <v>2842</v>
      </c>
      <c r="F18" s="3290"/>
      <c r="G18" s="3290"/>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2022-03-22T01:55:11Z</dcterms:modified>
</cp:coreProperties>
</file>