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30" i="74" l="1"/>
  <c r="C5" i="74" l="1"/>
  <c r="D14" i="74"/>
  <c r="D29" i="74"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76" i="15"/>
  <c r="B7" i="76"/>
  <c r="M8" i="15"/>
  <c r="E2" i="68"/>
  <c r="F3" i="73"/>
  <c r="E12" i="76"/>
  <c r="D20" i="9"/>
  <c r="F16" i="15"/>
  <c r="D6" i="73"/>
  <c r="B8" i="76"/>
  <c r="C76" i="67"/>
  <c r="E9" i="76"/>
  <c r="M6" i="67"/>
  <c r="D19" i="9"/>
  <c r="F7" i="73"/>
  <c r="B10" i="76"/>
  <c r="L48" i="15"/>
  <c r="M9" i="67"/>
  <c r="F6" i="67"/>
  <c r="F8" i="67"/>
  <c r="C20" i="9"/>
  <c r="C19" i="9"/>
  <c r="F38" i="67"/>
  <c r="L47" i="15"/>
  <c r="M22" i="67"/>
  <c r="F42" i="15"/>
  <c r="D35" i="9"/>
  <c r="M26" i="15"/>
  <c r="F6" i="73"/>
  <c r="M24" i="67"/>
  <c r="M23" i="67"/>
  <c r="E11" i="76"/>
  <c r="M28" i="15"/>
  <c r="B9" i="76"/>
  <c r="F9" i="15"/>
  <c r="F6" i="15"/>
  <c r="B13" i="76"/>
  <c r="F26" i="15"/>
  <c r="F37" i="15"/>
  <c r="F8" i="15"/>
  <c r="J15" i="67"/>
  <c r="F4" i="73"/>
  <c r="M29" i="67"/>
  <c r="F20" i="31"/>
  <c r="F43" i="15"/>
  <c r="F36" i="15"/>
  <c r="F16" i="67"/>
  <c r="M28" i="67"/>
  <c r="M24" i="15"/>
  <c r="B11" i="76"/>
  <c r="F42" i="67"/>
  <c r="E2" i="69"/>
  <c r="F40" i="15"/>
  <c r="F37" i="67"/>
  <c r="F7" i="15"/>
  <c r="F43" i="67"/>
  <c r="B12" i="76"/>
  <c r="F7" i="67"/>
  <c r="J15" i="15"/>
  <c r="F36" i="67"/>
  <c r="F13" i="67"/>
  <c r="E10" i="76"/>
  <c r="F5" i="73"/>
  <c r="E7" i="76"/>
  <c r="F13" i="15"/>
  <c r="D34" i="9"/>
  <c r="M23" i="15"/>
  <c r="M9" i="15"/>
  <c r="L48" i="67"/>
  <c r="M6" i="15"/>
  <c r="E13" i="76"/>
  <c r="AO13" i="1"/>
  <c r="F26" i="67"/>
  <c r="M22" i="15"/>
  <c r="M29" i="15"/>
  <c r="F40" i="67"/>
  <c r="L47" i="67"/>
  <c r="M26" i="67"/>
  <c r="F9" i="67"/>
  <c r="F38" i="15"/>
  <c r="M8" i="67"/>
  <c r="E8" i="76"/>
  <c r="S23" i="33" l="1"/>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5" i="73"/>
  <c r="D4" i="73"/>
  <c r="C16" i="15"/>
  <c r="D3" i="73"/>
  <c r="C16" i="67"/>
  <c r="D7" i="73"/>
  <c r="J7" i="37" l="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B40" i="1" l="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4" i="67"/>
  <c r="C24" i="67" s="1"/>
  <c r="C35" i="9"/>
  <c r="M27" i="15"/>
  <c r="F41" i="15"/>
  <c r="M27" i="67"/>
  <c r="F24" i="15" l="1"/>
  <c r="C24" i="15" s="1"/>
  <c r="F22" i="69"/>
  <c r="F41" i="69" s="1"/>
  <c r="F22" i="68"/>
  <c r="C26" i="68" s="1"/>
  <c r="D22" i="68" s="1"/>
  <c r="F25" i="12"/>
  <c r="C26" i="12" s="1"/>
  <c r="D25" i="12" s="1"/>
  <c r="F22" i="1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44" i="11"/>
  <c r="D41" i="11" s="1"/>
  <c r="C23" i="11"/>
  <c r="C24" i="11"/>
  <c r="C25" i="11"/>
  <c r="C26" i="11"/>
  <c r="D22" i="11" s="1"/>
  <c r="C34" i="9"/>
  <c r="C66" i="67"/>
  <c r="C60" i="67"/>
  <c r="D10" i="69"/>
  <c r="C34" i="69"/>
  <c r="D10" i="68"/>
  <c r="C17" i="15"/>
  <c r="C14" i="67"/>
  <c r="C17" i="67"/>
  <c r="C16" i="71" l="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5" i="71" l="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4"/>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6" i="1"/>
  <c r="AO7" i="1"/>
  <c r="AO10" i="1"/>
  <c r="AO9" i="1"/>
  <c r="AO8"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P57" i="9"/>
  <c r="N58" i="9"/>
  <c r="N60" i="9"/>
  <c r="N59" i="9"/>
  <c r="N61" i="9"/>
  <c r="D52" i="9"/>
  <c r="D53" i="9"/>
  <c r="H4" i="52"/>
  <c r="C104" i="9"/>
  <c r="M54" i="9"/>
  <c r="B21" i="72"/>
  <c r="M55" i="9"/>
  <c r="B49" i="72"/>
  <c r="B51" i="72"/>
  <c r="B47" i="72"/>
  <c r="M48" i="9"/>
  <c r="F4" i="52"/>
  <c r="D56" i="9"/>
  <c r="D7" i="53"/>
  <c r="D5" i="52"/>
  <c r="D4" i="52"/>
  <c r="D119" i="9"/>
  <c r="B32" i="72"/>
  <c r="D59" i="9"/>
  <c r="B48" i="72"/>
  <c r="E4" i="52"/>
  <c r="D118" i="9"/>
  <c r="G4" i="52"/>
  <c r="B52" i="72"/>
  <c r="C6" i="74"/>
  <c r="D8" i="52"/>
  <c r="C93" i="9"/>
  <c r="C86" i="9"/>
  <c r="E118" i="9"/>
  <c r="H102" i="9"/>
  <c r="C105" i="9"/>
  <c r="I4" i="52"/>
  <c r="B20" i="72"/>
  <c r="E80" i="9"/>
  <c r="E81" i="9"/>
  <c r="C68" i="9"/>
  <c r="D54" i="9"/>
  <c r="C96" i="9"/>
  <c r="E96" i="9"/>
  <c r="E97" i="9"/>
  <c r="H108" i="9"/>
  <c r="D15" i="53"/>
  <c r="B31" i="72"/>
  <c r="D5" i="53"/>
  <c r="D6" i="53"/>
  <c r="B22" i="72"/>
  <c r="D14" i="53"/>
  <c r="D13" i="53"/>
  <c r="B30" i="72"/>
  <c r="C78" i="9"/>
  <c r="C73" i="9"/>
  <c r="C64" i="9"/>
  <c r="C63" i="9"/>
  <c r="C67" i="9"/>
  <c r="C85" i="9"/>
  <c r="C95" i="9"/>
  <c r="C97" i="9"/>
  <c r="D58" i="9"/>
  <c r="H107" i="9"/>
  <c r="D122" i="9"/>
  <c r="D123" i="9"/>
  <c r="D9" i="52"/>
  <c r="G118" i="9"/>
  <c r="F118" i="9"/>
  <c r="F119" i="9"/>
  <c r="F5" i="52"/>
  <c r="B53" i="72"/>
  <c r="C81" i="9"/>
  <c r="C72" i="9"/>
  <c r="C79" i="9"/>
  <c r="C80" i="9"/>
  <c r="H119" i="9"/>
  <c r="H5" i="5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<sst xmlns="http://schemas.openxmlformats.org/spreadsheetml/2006/main" count="7773" uniqueCount="3391">
  <si>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</si>
  <si>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</si>
  <si>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</si>
  <si>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</si>
  <si>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</si>
  <si>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</si>
  <si>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</si>
  <si>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</si>
  <si>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</si>
  <si>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</si>
  <si>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</si>
  <si>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</si>
  <si>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</si>
  <si>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</si>
  <si>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</si>
  <si>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</si>
  <si>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</si>
  <si>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</si>
  <si>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</si>
  <si>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</si>
  <si>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</si>
  <si>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</si>
  <si>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</si>
  <si>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</si>
  <si>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</si>
  <si>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</si>
  <si>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</si>
  <si>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</si>
  <si>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</si>
  <si>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</si>
  <si>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</si>
  <si>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</si>
  <si>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</si>
  <si>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</si>
  <si>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</si>
  <si>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</si>
  <si>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</si>
  <si>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</si>
  <si>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</si>
  <si>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</si>
  <si>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</si>
  <si>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</si>
  <si>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</si>
  <si>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</si>
  <si>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</si>
  <si>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</si>
  <si>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</si>
  <si>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</si>
  <si>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</si>
  <si>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</si>
  <si>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</si>
  <si>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</si>
  <si>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</si>
  <si>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</si>
  <si>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</si>
  <si>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</si>
  <si>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</si>
  <si>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</si>
  <si>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</si>
  <si>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</si>
  <si>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</si>
  <si>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</si>
  <si>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</si>
  <si>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</si>
  <si>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</si>
  <si>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</si>
  <si>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</si>
  <si>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</si>
  <si>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</si>
  <si>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</si>
  <si>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</si>
  <si>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</si>
  <si>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</si>
  <si>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</si>
  <si>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</si>
  <si>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</si>
  <si>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</si>
  <si>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</si>
  <si>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</si>
  <si>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</si>
  <si>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</si>
  <si>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</si>
  <si>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</si>
  <si>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</si>
  <si>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</si>
  <si>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</si>
  <si>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</si>
  <si>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</si>
  <si>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</si>
  <si>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</si>
  <si>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</si>
  <si>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</si>
  <si>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</si>
  <si>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</si>
  <si>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</si>
  <si>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</si>
  <si>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</si>
  <si>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</si>
  <si>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</si>
  <si>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</si>
  <si>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</si>
  <si>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</si>
  <si>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</si>
  <si>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</si>
  <si>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</si>
  <si>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</si>
  <si>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</si>
  <si>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</si>
  <si>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</si>
  <si>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</si>
  <si>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</si>
  <si>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</si>
  <si>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</si>
  <si>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</si>
  <si>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</si>
  <si>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</si>
  <si>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</si>
  <si>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</si>
  <si>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</si>
  <si>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</si>
  <si>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</si>
  <si>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</si>
  <si>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</si>
  <si>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</si>
  <si>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</si>
  <si>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</si>
  <si>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</si>
  <si>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</si>
  <si>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</si>
  <si>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</si>
  <si>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</si>
  <si>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</si>
  <si>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</si>
  <si>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</si>
  <si>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</si>
  <si>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</si>
  <si>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</si>
  <si>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</si>
  <si>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</si>
  <si>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</si>
  <si>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</si>
  <si>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</si>
  <si>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</si>
  <si>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</si>
  <si>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</si>
  <si>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</si>
  <si>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</si>
  <si>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</si>
  <si>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</si>
  <si>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</si>
  <si>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</si>
  <si>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</si>
  <si>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</si>
  <si>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</si>
  <si>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</si>
  <si>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</si>
  <si>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</si>
  <si>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</si>
  <si>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</si>
  <si>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</si>
  <si>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</si>
  <si>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</si>
  <si>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</si>
  <si>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</si>
  <si>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</si>
  <si>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</si>
  <si>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</si>
  <si>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</si>
  <si>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</si>
  <si>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</si>
  <si>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</si>
  <si>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</si>
  <si>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</si>
  <si>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</si>
  <si>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</si>
  <si>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</si>
  <si>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</si>
  <si>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</si>
  <si>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</si>
  <si>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</si>
  <si>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</si>
  <si>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</si>
  <si>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</si>
  <si>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</si>
  <si>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</si>
  <si>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</si>
  <si>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</si>
  <si>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</si>
  <si>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</si>
  <si>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</si>
  <si>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</si>
  <si>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</si>
  <si>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</si>
  <si>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</si>
  <si>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</si>
  <si>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</si>
  <si>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</si>
  <si>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</si>
  <si>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</si>
  <si>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</si>
  <si>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</si>
  <si>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</si>
  <si>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</si>
  <si>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</si>
  <si>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</si>
  <si>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</si>
  <si>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</si>
  <si>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</si>
  <si>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</si>
  <si>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</si>
  <si>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</si>
  <si>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</si>
  <si>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</si>
  <si>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</si>
  <si>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</si>
  <si>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</si>
  <si>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</si>
  <si>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</si>
  <si>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</si>
  <si>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</si>
  <si>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</si>
  <si>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</si>
  <si>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</si>
  <si>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</si>
  <si>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</si>
  <si>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</si>
  <si>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</si>
  <si>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</si>
  <si>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</si>
  <si>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</si>
  <si>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</si>
  <si>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</si>
  <si>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</si>
  <si>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</si>
  <si>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</si>
  <si>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</si>
  <si>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</si>
  <si>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</si>
  <si>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</si>
  <si>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</si>
  <si>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</si>
  <si>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</si>
  <si>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</si>
  <si>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</si>
  <si>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</si>
  <si>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</si>
  <si>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</si>
  <si>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</si>
  <si>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</si>
  <si>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</si>
  <si>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</si>
  <si>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</si>
  <si>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</si>
  <si>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</si>
  <si>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</si>
  <si>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</si>
  <si>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</si>
  <si>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</si>
  <si>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</si>
  <si>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</si>
  <si>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</si>
  <si>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</si>
  <si>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</si>
  <si>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</si>
  <si>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</si>
  <si>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</si>
  <si>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</si>
  <si>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</si>
  <si>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</si>
  <si>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</si>
  <si>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</si>
  <si>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</si>
  <si>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</si>
  <si>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</si>
  <si>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</si>
  <si>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</si>
  <si>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</si>
  <si>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</si>
  <si>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</si>
  <si>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</si>
  <si>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</si>
  <si>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</si>
  <si>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</si>
  <si>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</si>
  <si>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</si>
  <si>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</si>
  <si>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</si>
  <si>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</si>
  <si>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</si>
  <si>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</si>
  <si>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</si>
  <si>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</si>
  <si>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</si>
  <si>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</si>
  <si>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</si>
  <si>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</si>
  <si>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</si>
  <si>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</si>
  <si>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</si>
  <si>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</si>
  <si>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</si>
  <si>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</si>
  <si>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</si>
  <si>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</si>
  <si>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</si>
  <si>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</si>
  <si>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</si>
  <si>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</si>
  <si>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</si>
  <si>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</si>
  <si>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</si>
  <si>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</si>
  <si>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</si>
  <si>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</si>
  <si>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</si>
  <si>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</si>
  <si>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</si>
  <si>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</si>
  <si>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</si>
  <si>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</si>
  <si>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</si>
  <si>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</si>
  <si>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</si>
  <si>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</si>
  <si>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</si>
  <si>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</si>
  <si>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</si>
  <si>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</si>
  <si>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</si>
  <si>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</si>
  <si>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</si>
  <si>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</si>
  <si>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</si>
  <si>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</si>
  <si>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</si>
  <si>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</si>
  <si>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</si>
  <si>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</si>
  <si>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</si>
  <si>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</si>
  <si>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</si>
  <si>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</si>
  <si>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</si>
  <si>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</si>
  <si>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</si>
  <si>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</si>
  <si>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</si>
  <si>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</si>
  <si>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</si>
  <si>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</si>
  <si>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</si>
  <si>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</si>
  <si>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</si>
  <si>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</si>
  <si>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</si>
  <si>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</si>
  <si>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</si>
  <si>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</si>
  <si>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</si>
  <si>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</si>
  <si>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</si>
  <si>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</si>
  <si>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</si>
  <si>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</si>
  <si>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</si>
  <si>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</si>
  <si>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</si>
  <si>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</si>
  <si>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</si>
  <si>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</si>
  <si>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</si>
  <si>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</si>
  <si>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</si>
  <si>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</si>
  <si>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</si>
  <si>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</si>
  <si>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</si>
  <si>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</si>
  <si>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</si>
  <si>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</si>
  <si>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</si>
  <si>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</si>
  <si>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</si>
  <si>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</si>
  <si>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</si>
  <si>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</si>
  <si>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</si>
  <si>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</si>
  <si>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</si>
  <si>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</si>
  <si>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</si>
  <si>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</si>
  <si>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</si>
  <si>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</si>
  <si>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</si>
  <si>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</si>
  <si>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</si>
  <si>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</si>
  <si>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</si>
  <si>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</si>
  <si>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</si>
  <si>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</si>
  <si>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</si>
  <si>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</si>
  <si>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</si>
  <si>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</si>
  <si>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</si>
  <si>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</si>
  <si>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</si>
  <si>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</si>
  <si>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</si>
  <si>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</si>
  <si>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</si>
  <si>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</si>
  <si>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</si>
  <si>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</si>
  <si>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</si>
  <si>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</si>
  <si>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</si>
  <si>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</si>
  <si>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</si>
  <si>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</si>
  <si>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</si>
  <si>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</si>
  <si>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</si>
  <si>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</si>
  <si>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</si>
  <si>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</si>
  <si>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</si>
  <si>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</si>
  <si>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</si>
  <si>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</si>
  <si>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</si>
  <si>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</si>
  <si>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</si>
  <si>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</si>
  <si>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</si>
  <si>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</si>
  <si>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</si>
  <si>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</si>
  <si>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</si>
  <si>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</si>
  <si>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</si>
  <si>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</si>
  <si>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</si>
  <si>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</si>
  <si>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</si>
  <si>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</si>
  <si>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</si>
  <si>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</si>
  <si>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</si>
  <si>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</si>
  <si>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</si>
  <si>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</si>
  <si>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</si>
  <si>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</si>
  <si>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</si>
  <si>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</si>
  <si>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</si>
  <si>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</si>
  <si>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</si>
  <si>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</si>
  <si>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</si>
  <si>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</si>
  <si>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</si>
  <si>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</si>
  <si>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</si>
  <si>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</si>
  <si>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</si>
  <si>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</si>
  <si>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</si>
  <si>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</si>
  <si>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</si>
  <si>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</si>
  <si>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</si>
  <si>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</si>
  <si>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</si>
  <si>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</si>
  <si>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</si>
  <si>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</si>
  <si>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</si>
  <si>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</si>
  <si>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</si>
  <si>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</si>
  <si>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</si>
  <si>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</si>
  <si>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</si>
  <si>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</si>
  <si>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</si>
  <si>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</si>
  <si>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</si>
  <si>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</si>
  <si>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</si>
  <si>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</si>
  <si>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</si>
  <si>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</si>
  <si>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</si>
  <si>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</si>
  <si>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</si>
  <si>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</si>
  <si>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</si>
  <si>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</si>
  <si>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</si>
  <si>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</si>
  <si>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</si>
  <si>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</si>
  <si>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</si>
  <si>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</si>
  <si>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</si>
  <si>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</si>
  <si>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</si>
  <si>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</si>
  <si>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</si>
  <si>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</si>
  <si>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</si>
  <si>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</si>
  <si>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</si>
  <si>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</si>
  <si>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</si>
  <si>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</si>
  <si>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</si>
  <si>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</si>
  <si>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</si>
  <si>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</si>
  <si>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</si>
  <si>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</si>
  <si>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</si>
  <si>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</si>
  <si>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</si>
  <si>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</si>
  <si>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</si>
  <si>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</si>
  <si>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</si>
  <si>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</si>
  <si>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</si>
  <si>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</si>
  <si>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</si>
  <si>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</si>
  <si>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</si>
  <si>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</si>
  <si>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</si>
  <si>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</si>
  <si>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</si>
  <si>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</si>
  <si>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</si>
  <si>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</si>
  <si>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</si>
  <si>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</si>
  <si>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</si>
  <si>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</si>
  <si>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</si>
  <si>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</si>
  <si>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</si>
  <si>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</si>
  <si>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</si>
  <si>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</si>
  <si>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</si>
  <si>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</si>
  <si>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</si>
  <si>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</si>
  <si>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</si>
  <si>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</si>
  <si>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</si>
  <si>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</si>
  <si>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</si>
  <si>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</si>
  <si>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</si>
  <si>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</si>
  <si>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</si>
  <si>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</si>
  <si>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</si>
  <si>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</si>
  <si>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</si>
  <si>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</si>
  <si>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</si>
  <si>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</si>
  <si>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</si>
  <si>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</si>
  <si>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</si>
  <si>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</si>
  <si>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</si>
  <si>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</si>
  <si>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</si>
  <si>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</si>
  <si>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</si>
  <si>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</si>
  <si>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</si>
  <si>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</si>
  <si>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</si>
  <si>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</si>
  <si>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</si>
  <si>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</si>
  <si>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</si>
  <si>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</si>
  <si>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</si>
  <si>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</si>
  <si>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</si>
  <si>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</si>
  <si>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</si>
  <si>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</si>
  <si>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</si>
  <si>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</si>
  <si>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</si>
  <si>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</si>
  <si>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</si>
  <si>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</si>
  <si>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</si>
  <si>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</si>
  <si>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</si>
  <si>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</si>
  <si>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</si>
  <si>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</si>
  <si>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</si>
  <si>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</si>
  <si>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</si>
  <si>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</si>
  <si>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</si>
  <si>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</si>
  <si>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</si>
  <si>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</si>
  <si>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</si>
  <si>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</si>
  <si>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</si>
  <si>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</si>
  <si>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</si>
  <si>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</si>
  <si>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</si>
  <si>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</si>
  <si>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</si>
  <si>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</si>
  <si>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</si>
  <si>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</si>
  <si>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</si>
  <si>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</si>
  <si>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</si>
  <si>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</si>
  <si>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</si>
  <si>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</si>
  <si>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</si>
  <si>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</si>
  <si>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</si>
  <si>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</si>
  <si>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</si>
  <si>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</si>
  <si>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</si>
  <si>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</si>
  <si>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</si>
  <si>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</si>
  <si>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</si>
  <si>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</si>
  <si>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</si>
  <si>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</si>
  <si>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</si>
  <si>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</si>
  <si>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</si>
  <si>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</si>
  <si>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</si>
  <si>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</si>
  <si>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</si>
  <si>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</si>
  <si>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</si>
  <si>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</si>
  <si>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</si>
  <si>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</si>
  <si>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</si>
  <si>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</si>
  <si>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</si>
  <si>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</si>
  <si>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</si>
  <si>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</si>
  <si>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</si>
  <si>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</si>
  <si>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</si>
  <si>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</si>
  <si>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</si>
  <si>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</si>
  <si>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</si>
  <si>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</si>
  <si>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</si>
  <si>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</si>
  <si>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</si>
  <si>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</si>
  <si>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</si>
  <si>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</si>
  <si>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</si>
  <si>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</si>
  <si>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</si>
  <si>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</si>
  <si>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</si>
  <si>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</si>
  <si>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</si>
  <si>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</si>
  <si>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</si>
  <si>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</si>
  <si>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</si>
  <si>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</si>
  <si>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</si>
  <si>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</si>
  <si>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</si>
  <si>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</si>
  <si>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</si>
  <si>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</si>
  <si>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</si>
  <si>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</si>
  <si>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</si>
  <si>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</si>
  <si>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</si>
  <si>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</si>
  <si>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</si>
  <si>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</si>
  <si>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</si>
  <si>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</si>
  <si>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</si>
  <si>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</si>
  <si>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</si>
  <si>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</si>
  <si>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</si>
  <si>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</si>
  <si>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</si>
  <si>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</si>
  <si>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</si>
  <si>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</si>
  <si>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</si>
  <si>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</si>
  <si>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</si>
  <si>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</si>
  <si>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</si>
  <si>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</si>
  <si>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</si>
  <si>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</si>
  <si>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</si>
  <si>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</si>
  <si>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</si>
  <si>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</si>
  <si>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</si>
  <si>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</si>
  <si>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</si>
  <si>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</si>
  <si>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</si>
  <si>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</si>
  <si>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</si>
  <si>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</si>
  <si>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</si>
  <si>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</si>
  <si>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</si>
  <si>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</si>
  <si>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</si>
  <si>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</si>
  <si>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</si>
  <si>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</si>
  <si>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</si>
  <si>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</si>
  <si>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</si>
  <si>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</si>
  <si>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</si>
  <si>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</si>
  <si>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</si>
  <si>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</si>
  <si>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</si>
  <si>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</si>
  <si>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</si>
  <si>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</si>
  <si>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</si>
  <si>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</si>
  <si>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</si>
  <si>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</si>
  <si>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</si>
  <si>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</si>
  <si>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</si>
  <si>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</si>
  <si>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</si>
  <si>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</si>
  <si>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</si>
  <si>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</si>
  <si>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</si>
  <si>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</si>
  <si>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</si>
  <si>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</si>
  <si>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</si>
  <si>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</si>
  <si>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</si>
  <si>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</si>
  <si>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</si>
  <si>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</si>
  <si>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</si>
  <si>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</si>
  <si>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</si>
  <si>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</si>
  <si>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</si>
  <si>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</si>
  <si>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</si>
  <si>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</si>
  <si>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</si>
  <si>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</si>
  <si>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</si>
  <si>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</si>
  <si>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</si>
  <si>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</si>
  <si>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</si>
  <si>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</si>
  <si>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</si>
  <si>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</si>
  <si>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</si>
  <si>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</si>
  <si>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</si>
  <si>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</si>
  <si>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</si>
  <si>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</si>
  <si>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</si>
  <si>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</si>
  <si>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</si>
  <si>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</si>
  <si>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</si>
  <si>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</si>
  <si>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</si>
  <si>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</si>
  <si>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</si>
  <si>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</si>
  <si>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</si>
  <si>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</si>
  <si>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</si>
  <si>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</si>
  <si>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</si>
  <si>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</si>
  <si>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</si>
  <si>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</si>
  <si>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</si>
  <si>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</si>
  <si>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</si>
  <si>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</si>
  <si>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</si>
  <si>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</si>
  <si>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</si>
  <si>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</si>
  <si>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</si>
  <si>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</si>
  <si>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</si>
  <si>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</si>
  <si>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</si>
  <si>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</si>
  <si>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</si>
  <si>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</si>
  <si>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</si>
  <si>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</si>
  <si>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</si>
  <si>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</si>
  <si>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</si>
  <si>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</si>
  <si>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</si>
  <si>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</si>
  <si>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</si>
  <si>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</si>
  <si>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</si>
  <si>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</si>
  <si>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</si>
  <si>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</si>
  <si>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</si>
  <si>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</si>
  <si>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</si>
  <si>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</si>
  <si>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</si>
  <si>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</si>
  <si>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</si>
  <si>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</si>
  <si>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</si>
  <si>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</si>
  <si>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</si>
  <si>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</si>
  <si>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</si>
  <si>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</si>
  <si>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</si>
  <si>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</si>
  <si>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</si>
  <si>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</si>
  <si>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</si>
  <si>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</si>
  <si>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</si>
  <si>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</si>
  <si>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</si>
  <si>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</si>
  <si>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</si>
  <si>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</si>
  <si>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</si>
  <si>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</si>
  <si>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</si>
  <si>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</si>
  <si>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</si>
  <si>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</si>
  <si>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</si>
  <si>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</si>
  <si>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</si>
  <si>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</si>
  <si>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</si>
  <si>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</si>
  <si>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</si>
  <si>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</si>
  <si>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</si>
  <si>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</si>
  <si>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</si>
  <si>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</si>
  <si>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</si>
  <si>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</si>
  <si>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</si>
  <si>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</si>
  <si>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</si>
  <si>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</si>
  <si>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</si>
  <si>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</si>
  <si>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</si>
  <si>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</si>
  <si>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</si>
  <si>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</si>
  <si>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</si>
  <si>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</si>
  <si>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</si>
  <si>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</si>
  <si>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</si>
  <si>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</si>
  <si>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</si>
  <si>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</si>
  <si>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</si>
  <si>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</si>
  <si>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</si>
  <si>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</si>
  <si>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</si>
  <si>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</si>
  <si>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</si>
  <si>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</si>
  <si>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</si>
  <si>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</si>
  <si>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</si>
  <si>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</si>
  <si>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</si>
  <si>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</si>
  <si>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</si>
  <si>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</si>
  <si>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</si>
  <si>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</si>
  <si>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</si>
  <si>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</si>
  <si>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</si>
  <si>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</si>
  <si>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</si>
  <si>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</si>
  <si>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</si>
  <si>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</si>
  <si>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</si>
  <si>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</si>
  <si>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</si>
  <si>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</si>
  <si>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</si>
  <si>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</si>
  <si>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</si>
  <si>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</si>
  <si>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</si>
  <si>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</si>
  <si>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</si>
  <si>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</si>
  <si>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</si>
  <si>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</si>
  <si>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</si>
  <si>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</si>
  <si>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</si>
  <si>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</si>
  <si>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</si>
  <si>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</si>
  <si>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</si>
  <si>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</si>
  <si>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</si>
  <si>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</si>
  <si>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</si>
  <si>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</si>
  <si>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</si>
  <si>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</si>
  <si>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</si>
  <si>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</si>
  <si>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</si>
  <si>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</si>
  <si>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</si>
  <si>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</si>
  <si>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</si>
  <si>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</si>
  <si>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</si>
  <si>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</si>
  <si>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</si>
  <si>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</si>
  <si>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</si>
  <si>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</si>
  <si>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</si>
  <si>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</si>
  <si>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</si>
  <si>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</si>
  <si>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</si>
  <si>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</si>
  <si>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</si>
  <si>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</si>
  <si>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</si>
  <si>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</si>
  <si>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</si>
  <si>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</si>
  <si>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</si>
  <si>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</si>
  <si>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</si>
  <si>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</si>
  <si>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</si>
  <si>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</si>
  <si>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</si>
  <si>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</si>
  <si>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</si>
  <si>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</si>
  <si>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</si>
  <si>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</si>
  <si>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</si>
  <si>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</si>
  <si>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</si>
  <si>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</si>
  <si>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</si>
  <si>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</si>
  <si>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</si>
  <si>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</si>
  <si>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</si>
  <si>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</si>
  <si>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</si>
  <si>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</si>
  <si>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</si>
  <si>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</si>
  <si>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</si>
  <si>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</si>
  <si>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</si>
  <si>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</si>
  <si>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</si>
  <si>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</si>
  <si>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</si>
  <si>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</si>
  <si>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</si>
  <si>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</si>
  <si>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</si>
  <si>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</si>
  <si>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</si>
  <si>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</si>
  <si>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</si>
  <si>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</si>
  <si>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</si>
  <si>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</si>
  <si>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</si>
  <si>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</si>
  <si>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</si>
  <si>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</si>
  <si>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</si>
  <si>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</si>
  <si>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</si>
  <si>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</si>
  <si>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</si>
  <si>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</si>
  <si>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</si>
  <si>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</si>
  <si>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</si>
  <si>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</si>
  <si>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</si>
  <si>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</si>
  <si>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</si>
  <si>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</si>
  <si>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</si>
  <si>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</si>
  <si>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</si>
  <si>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</si>
  <si>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</si>
  <si>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</si>
  <si>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</si>
  <si>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</si>
  <si>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</si>
  <si>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</si>
  <si>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</si>
  <si>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</si>
  <si>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</si>
  <si>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</si>
  <si>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</si>
  <si>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</si>
  <si>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</si>
  <si>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</si>
  <si>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</si>
  <si>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</si>
  <si>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</si>
  <si>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</si>
  <si>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</si>
  <si>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</si>
  <si>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</si>
  <si>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</si>
  <si>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</si>
  <si>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</si>
  <si>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</si>
  <si>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</si>
  <si>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</si>
  <si>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</si>
  <si>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</si>
  <si>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</si>
  <si>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</si>
  <si>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</si>
  <si>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</si>
  <si>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</si>
  <si>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</si>
  <si>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</si>
  <si>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</si>
  <si>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</si>
  <si>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</si>
  <si>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</si>
  <si>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</si>
  <si>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</si>
  <si>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</si>
  <si>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</si>
  <si>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</si>
  <si>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</si>
  <si>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</si>
  <si>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</si>
  <si>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</si>
  <si>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</si>
  <si>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</si>
  <si>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</si>
  <si>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</si>
  <si>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</si>
  <si>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</si>
  <si>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</si>
  <si>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</si>
  <si>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</si>
  <si>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</si>
  <si>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</si>
  <si>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</si>
  <si>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</si>
  <si>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</si>
  <si>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</si>
  <si>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</si>
  <si>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</si>
  <si>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</si>
  <si>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</si>
  <si>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</si>
  <si>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</si>
  <si>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</si>
  <si>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</si>
  <si>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</si>
  <si>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</si>
  <si>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</si>
  <si>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</si>
  <si>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</si>
  <si>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</si>
  <si>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</si>
  <si>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</si>
  <si>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</si>
  <si>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</si>
  <si>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</si>
  <si>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</si>
  <si>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</si>
  <si>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</si>
  <si>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</si>
  <si>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</si>
  <si>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</si>
  <si>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</si>
  <si>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</si>
  <si>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</si>
  <si>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</si>
  <si>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</si>
  <si>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</si>
  <si>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</si>
  <si>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</si>
  <si>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</si>
  <si>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</si>
  <si>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</si>
  <si>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</si>
  <si>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</si>
  <si>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</si>
  <si>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</si>
  <si>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</si>
  <si>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</si>
  <si>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</si>
  <si>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</si>
  <si>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</si>
  <si>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</si>
  <si>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</si>
  <si>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</si>
  <si>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</si>
  <si>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</si>
  <si>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</si>
  <si>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</si>
  <si>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</si>
  <si>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</si>
  <si>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</si>
  <si>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</si>
  <si>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</si>
  <si>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</si>
  <si>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</si>
  <si>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</si>
  <si>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</si>
  <si>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</si>
  <si>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</si>
  <si>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</si>
  <si>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</si>
  <si>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</si>
  <si>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</si>
  <si>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</si>
  <si>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</si>
  <si>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</si>
  <si>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</si>
  <si>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</si>
  <si>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</si>
  <si>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</si>
  <si>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</si>
  <si>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</si>
  <si>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</si>
  <si>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</si>
  <si>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</si>
  <si>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</si>
  <si>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</si>
  <si>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</si>
  <si>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</si>
  <si>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</si>
  <si>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</si>
  <si>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</si>
  <si>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</si>
  <si>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</si>
  <si>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</si>
  <si>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</si>
  <si>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</si>
  <si>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</si>
  <si>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</si>
  <si>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</si>
  <si>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</si>
  <si>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</si>
  <si>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</si>
  <si>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</si>
  <si>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</si>
  <si>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</si>
  <si>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</si>
  <si>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</si>
  <si>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</si>
  <si>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</si>
  <si>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</si>
  <si>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</si>
  <si>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</si>
  <si>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</si>
  <si>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</si>
  <si>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</si>
  <si>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</si>
  <si>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</si>
  <si>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</si>
  <si>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</si>
  <si>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</si>
  <si>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</si>
  <si>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</si>
  <si>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</si>
  <si>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</si>
  <si>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</si>
  <si>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</si>
  <si>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</si>
  <si>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</si>
  <si>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</si>
  <si>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</si>
  <si>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</si>
  <si>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</si>
  <si>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</si>
  <si>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</si>
  <si>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</si>
  <si>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</si>
  <si>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</si>
  <si>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</si>
  <si>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</si>
  <si>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</si>
  <si>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</si>
  <si>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</si>
  <si>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</si>
  <si>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</si>
  <si>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</si>
  <si>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</si>
  <si>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</si>
  <si>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</si>
  <si>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</si>
  <si>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</si>
  <si>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</si>
  <si>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</si>
  <si>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</si>
  <si>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</si>
  <si>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</si>
  <si>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</si>
  <si>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</si>
  <si>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</si>
  <si>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</si>
  <si>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</si>
  <si>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</si>
  <si>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</si>
  <si>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</si>
  <si>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</si>
  <si>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</si>
  <si>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</si>
  <si>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</si>
  <si>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</si>
  <si>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</si>
  <si>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</si>
  <si>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</si>
  <si>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</si>
  <si>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</si>
  <si>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</si>
  <si>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</si>
  <si>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</si>
  <si>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</si>
  <si>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</si>
  <si>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</si>
  <si>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</si>
  <si>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</si>
  <si>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</si>
  <si>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</si>
  <si>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</si>
  <si>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</si>
  <si>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</si>
  <si>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</si>
  <si>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</si>
  <si>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</si>
  <si>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</si>
  <si>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</si>
  <si>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</si>
  <si>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</si>
  <si>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</si>
  <si>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</si>
  <si>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</si>
  <si>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</si>
  <si>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</si>
  <si>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</si>
  <si>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</si>
  <si>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</si>
  <si>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</si>
  <si>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</si>
  <si>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</si>
  <si>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</si>
  <si>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</si>
  <si>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</si>
  <si>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</si>
  <si>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</si>
  <si>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</si>
  <si>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</si>
  <si>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</si>
  <si>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</si>
  <si>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</si>
  <si>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</si>
  <si>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</si>
  <si>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</si>
  <si>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</si>
  <si>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</si>
  <si>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</si>
  <si>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</si>
  <si>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</si>
  <si>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</si>
  <si>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</si>
  <si>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</si>
  <si>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</si>
  <si>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</si>
  <si>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</si>
  <si>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</si>
  <si>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</si>
  <si>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</si>
  <si>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</si>
  <si>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</si>
  <si>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</si>
  <si>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</si>
  <si>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</si>
  <si>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</si>
  <si>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</si>
  <si>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</si>
  <si>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</si>
  <si>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</si>
  <si>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</si>
  <si>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</si>
  <si>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</si>
  <si>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</si>
  <si>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</si>
  <si>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</si>
  <si>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</si>
  <si>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</si>
  <si>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</si>
  <si>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</si>
  <si>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</si>
  <si>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</si>
  <si>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</si>
  <si>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</si>
  <si>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</si>
  <si>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</si>
  <si>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</si>
  <si>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</si>
  <si>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</si>
  <si>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</si>
  <si>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</si>
  <si>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</si>
  <si>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</si>
  <si>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</si>
  <si>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</si>
  <si>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</si>
  <si>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</si>
  <si>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</si>
  <si>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</si>
  <si>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</si>
  <si>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</si>
  <si>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</si>
  <si>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</si>
  <si>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</si>
  <si>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</si>
  <si>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</si>
  <si>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</si>
  <si>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</si>
  <si>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</si>
  <si>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</si>
  <si>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</si>
  <si>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</si>
  <si>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</si>
  <si>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</si>
  <si>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</si>
  <si>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</si>
  <si>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</si>
  <si>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</si>
  <si>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</si>
  <si>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</si>
  <si>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</si>
  <si>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</si>
  <si>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</si>
  <si>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</si>
  <si>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</si>
  <si>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</si>
  <si>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</si>
  <si>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</si>
  <si>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</si>
  <si>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</si>
  <si>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</si>
  <si>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</si>
  <si>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</si>
  <si>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</si>
  <si>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</si>
  <si>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</si>
  <si>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</si>
  <si>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</si>
  <si>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</si>
  <si>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</si>
  <si>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</si>
  <si>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</si>
  <si>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</si>
  <si>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</si>
  <si>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</si>
  <si>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</si>
  <si>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</si>
  <si>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</si>
  <si>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</si>
  <si>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</si>
  <si>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</si>
  <si>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</si>
  <si>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</si>
  <si>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</si>
  <si>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</si>
  <si>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</si>
  <si>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</si>
  <si>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</si>
  <si>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</si>
  <si>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</si>
  <si>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</si>
  <si>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</si>
  <si>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</si>
  <si>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</si>
  <si>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</si>
  <si>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</si>
  <si>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</si>
  <si>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</si>
  <si>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</si>
  <si>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</si>
  <si>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</si>
  <si>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</si>
  <si>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</si>
  <si>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</si>
  <si>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</si>
  <si>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</si>
  <si>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</si>
  <si>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</si>
  <si>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</si>
  <si>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</si>
  <si>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</si>
  <si>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</si>
  <si>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</si>
  <si>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</si>
  <si>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</si>
  <si>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</si>
  <si>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</si>
  <si>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</si>
  <si>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</si>
  <si>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</si>
  <si>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</si>
  <si>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</si>
  <si>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</si>
  <si>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</si>
  <si>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</si>
  <si>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</si>
  <si>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</si>
  <si>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</si>
  <si>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</si>
  <si>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</si>
  <si>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</si>
  <si>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</si>
  <si>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</si>
  <si>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</si>
  <si>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</si>
  <si>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</si>
  <si>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</si>
  <si>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</si>
  <si>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</si>
  <si>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</si>
  <si>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</si>
  <si>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</si>
  <si>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</si>
  <si>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</si>
  <si>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</si>
  <si>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</si>
  <si>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</si>
  <si>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</si>
  <si>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</si>
  <si>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</si>
  <si>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</si>
  <si>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</si>
  <si>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</si>
  <si>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</si>
  <si>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</si>
  <si>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</si>
  <si>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</si>
  <si>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</si>
  <si>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</si>
  <si>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</si>
  <si>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</si>
  <si>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</si>
  <si>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</si>
  <si>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</si>
  <si>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</si>
  <si>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</si>
  <si>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</si>
  <si>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</si>
  <si>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</si>
  <si>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</si>
  <si>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</si>
  <si>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</si>
  <si>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</si>
  <si>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</si>
  <si>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</si>
  <si>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</si>
  <si>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</si>
  <si>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</si>
  <si>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</si>
  <si>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</si>
  <si>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</si>
  <si>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</si>
  <si>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</si>
  <si>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</si>
  <si>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</si>
  <si>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</si>
  <si>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</si>
  <si>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</si>
  <si>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</si>
  <si>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</si>
  <si>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</si>
  <si>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</si>
  <si>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</si>
  <si>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</si>
  <si>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</si>
  <si>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</si>
  <si>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</si>
  <si>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</si>
  <si>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</si>
  <si>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</si>
  <si>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</si>
  <si>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</si>
  <si>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</si>
  <si>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</si>
  <si>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</si>
  <si>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</si>
  <si>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</si>
  <si>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</si>
  <si>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</si>
  <si>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</si>
  <si>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</si>
  <si>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</si>
  <si>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</si>
  <si>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</si>
  <si>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</si>
  <si>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</si>
  <si>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</si>
  <si>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</si>
  <si>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</si>
  <si>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</si>
  <si>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</si>
  <si>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</si>
  <si>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</si>
  <si>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</si>
  <si>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</si>
  <si>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</si>
  <si>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</si>
  <si>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</si>
  <si>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</si>
  <si>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</si>
  <si>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</si>
  <si>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</si>
  <si>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</si>
  <si>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</si>
  <si>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</si>
  <si>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</si>
  <si>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</si>
  <si>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</si>
  <si>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</si>
  <si>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</si>
  <si>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</si>
  <si>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</si>
  <si>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</si>
  <si>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</si>
  <si>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</si>
  <si>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</si>
  <si>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</si>
  <si>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</si>
  <si>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</si>
  <si>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</si>
  <si>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</si>
  <si>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</si>
  <si>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</si>
  <si>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</si>
  <si>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</si>
  <si>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</si>
  <si>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</si>
  <si>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</si>
  <si>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</si>
  <si>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</si>
  <si>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</si>
  <si>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</si>
  <si>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</si>
  <si>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</si>
  <si>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</si>
  <si>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</si>
  <si>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</si>
  <si>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</si>
  <si>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</si>
  <si>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</si>
  <si>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</si>
  <si>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</si>
  <si>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</si>
  <si>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</si>
  <si>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</si>
  <si>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</si>
  <si>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</si>
  <si>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</si>
  <si>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</si>
  <si>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</si>
  <si>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</si>
  <si>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</si>
  <si>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</si>
  <si>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</si>
  <si>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</si>
  <si>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</si>
  <si>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</si>
  <si>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</si>
  <si>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</si>
  <si>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</si>
  <si>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</si>
  <si>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</si>
  <si>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</si>
  <si>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</si>
  <si>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</si>
  <si>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</si>
  <si>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</si>
  <si>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</si>
  <si>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</si>
  <si>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</si>
  <si>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</si>
  <si>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</si>
  <si>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</si>
  <si>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</si>
  <si>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</si>
  <si>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</si>
  <si>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</si>
  <si>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</si>
  <si>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</si>
  <si>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</si>
  <si>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</si>
  <si>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</si>
  <si>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</si>
  <si>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</si>
  <si>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</si>
  <si>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</si>
  <si>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</si>
  <si>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</si>
  <si>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</si>
  <si>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</si>
  <si>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</si>
  <si>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</si>
  <si>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</si>
  <si>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</si>
  <si>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</si>
  <si>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</si>
  <si>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</si>
  <si>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</si>
  <si>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</si>
  <si>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</si>
  <si>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</si>
  <si>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</si>
  <si>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</si>
  <si>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</si>
  <si>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</si>
  <si>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</si>
  <si>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</si>
  <si>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</si>
  <si>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</si>
  <si>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</si>
  <si>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</si>
  <si>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</si>
  <si>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</si>
  <si>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</si>
  <si>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</si>
  <si>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</si>
  <si>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</si>
  <si>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</si>
  <si>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</si>
  <si>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</si>
  <si>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</si>
  <si>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</si>
  <si>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</si>
  <si>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</si>
  <si>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</si>
  <si>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</si>
  <si>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</si>
  <si>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</si>
  <si>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</si>
  <si>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</si>
  <si>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</si>
  <si>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</si>
  <si>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</si>
  <si>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</si>
  <si>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</si>
  <si>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</si>
  <si>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</si>
  <si>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</si>
  <si>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</si>
  <si>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</si>
  <si>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</si>
  <si>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</si>
  <si>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</si>
  <si>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</si>
  <si>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</si>
  <si>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</si>
  <si>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</si>
  <si>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</si>
  <si>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</si>
  <si>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</si>
  <si>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</si>
  <si>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</si>
  <si>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</si>
  <si>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</si>
  <si>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</si>
  <si>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</si>
  <si>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</si>
  <si>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</si>
  <si>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</si>
  <si>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</si>
  <si>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</si>
  <si>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</si>
  <si>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</si>
  <si>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</si>
  <si>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</si>
  <si>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</si>
  <si>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</si>
  <si>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</si>
  <si>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</si>
  <si>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</si>
  <si>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</si>
  <si>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</si>
  <si>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</si>
  <si>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</si>
  <si>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</si>
  <si>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</si>
  <si>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</si>
  <si>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</si>
  <si>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</si>
  <si>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</si>
  <si>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</si>
  <si>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</si>
  <si>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</si>
  <si>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</si>
  <si>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</si>
  <si>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</si>
  <si>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</si>
  <si>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</si>
  <si>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</si>
  <si>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</si>
  <si>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</si>
  <si>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</si>
  <si>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</si>
  <si>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</si>
  <si>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</si>
  <si>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</si>
  <si>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</si>
  <si>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</si>
  <si>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</si>
  <si>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</si>
  <si>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</si>
  <si>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</si>
  <si>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</si>
  <si>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</si>
  <si>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</si>
  <si>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</si>
  <si>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</si>
  <si>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</si>
  <si>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</si>
  <si>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</si>
  <si>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</si>
  <si>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</si>
  <si>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</si>
  <si>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</si>
  <si>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</si>
  <si>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</si>
  <si>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</si>
  <si>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</si>
  <si>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</si>
  <si>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</si>
  <si>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</si>
  <si>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</si>
  <si>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</si>
  <si>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</si>
  <si>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</si>
  <si>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</si>
  <si>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</si>
  <si>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</si>
  <si>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</si>
  <si>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</si>
  <si>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</si>
  <si>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</si>
  <si>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</si>
  <si>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</si>
  <si>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</si>
  <si>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</si>
  <si>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</si>
  <si>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</si>
  <si>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</si>
  <si>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</si>
  <si>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</si>
  <si>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</si>
  <si>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</si>
  <si>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</si>
  <si>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</si>
  <si>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</si>
  <si>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</si>
  <si>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</si>
  <si>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</si>
  <si>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</si>
  <si>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</si>
  <si>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</si>
  <si>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</si>
  <si>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</si>
  <si>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</si>
  <si>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</si>
  <si>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</si>
  <si>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</si>
  <si>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</si>
  <si>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</si>
  <si>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</si>
  <si>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</si>
  <si>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</si>
  <si>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</si>
  <si>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</si>
  <si>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</si>
  <si>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</si>
  <si>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</si>
  <si>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</si>
  <si>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</si>
  <si>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</si>
  <si>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</si>
  <si>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</si>
  <si>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</si>
  <si>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</si>
  <si>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</si>
  <si>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</si>
  <si>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</si>
  <si>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</si>
  <si>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</si>
  <si>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</si>
  <si>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</si>
  <si>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</si>
  <si>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</si>
  <si>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</si>
  <si>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</si>
  <si>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</si>
  <si>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</si>
  <si>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</si>
  <si>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</si>
  <si>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</si>
  <si>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</si>
  <si>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</si>
  <si>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</si>
  <si>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</si>
  <si>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</si>
  <si>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</si>
  <si>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</si>
  <si>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</si>
  <si>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</si>
  <si>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</si>
  <si>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</si>
  <si>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</si>
  <si>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</si>
  <si>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</si>
  <si>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</si>
  <si>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</si>
  <si>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</si>
  <si>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</si>
  <si>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</si>
  <si>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</si>
  <si>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</si>
  <si>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</si>
  <si>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</si>
  <si>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</si>
  <si>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</si>
  <si>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</si>
  <si>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</si>
  <si>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</si>
  <si>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</si>
  <si>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</si>
  <si>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</si>
  <si>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</si>
  <si>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</si>
  <si>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</si>
  <si>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</si>
  <si>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</si>
  <si>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</si>
  <si>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</si>
  <si>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</si>
  <si>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</si>
  <si>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</si>
  <si>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</si>
  <si>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</si>
  <si>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</si>
  <si>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</si>
  <si>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</si>
  <si>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</si>
  <si>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</si>
  <si>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</si>
  <si>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</si>
  <si>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</si>
  <si>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</si>
  <si>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</si>
  <si>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</si>
  <si>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</si>
  <si>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</si>
  <si>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</si>
  <si>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</si>
  <si>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</si>
  <si>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</si>
  <si>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</si>
  <si>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</si>
  <si>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</si>
  <si>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</si>
  <si>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</si>
  <si>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</si>
  <si>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</si>
  <si>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</si>
  <si>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</si>
  <si>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</si>
  <si>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</si>
  <si>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</si>
  <si>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</si>
  <si>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</si>
  <si>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</si>
  <si>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</si>
  <si>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</si>
  <si>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</si>
  <si>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</si>
  <si>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</si>
  <si>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</si>
  <si>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</si>
  <si>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</si>
  <si>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</si>
  <si>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</si>
  <si>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</si>
  <si>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</si>
  <si>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</si>
  <si>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</si>
  <si>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</si>
  <si>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</si>
  <si>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</si>
  <si>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</si>
  <si>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</si>
  <si>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</si>
  <si>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</si>
  <si>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</si>
  <si>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</si>
  <si>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</si>
  <si>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</si>
  <si>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</si>
  <si>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</si>
  <si>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</si>
  <si>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</si>
  <si>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</si>
  <si>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</si>
  <si>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</si>
  <si>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</si>
  <si>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</si>
  <si>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</si>
  <si>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</si>
  <si>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</si>
  <si>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</si>
  <si>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</si>
  <si>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</si>
  <si>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</si>
  <si>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</si>
  <si>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</si>
  <si>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</si>
  <si>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</si>
  <si>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</si>
  <si>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</si>
  <si>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</si>
  <si>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</si>
  <si>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</si>
  <si>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</si>
  <si>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</si>
  <si>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</si>
  <si>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</si>
  <si>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</si>
  <si>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</si>
  <si>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</si>
  <si>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</si>
  <si>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</si>
  <si>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</si>
  <si>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</si>
  <si>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</si>
  <si>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</si>
  <si>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</si>
  <si>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</si>
  <si>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</si>
  <si>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</si>
  <si>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</si>
  <si>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</si>
  <si>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</si>
  <si>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</si>
  <si>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</si>
  <si>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</si>
  <si>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</si>
  <si>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</si>
  <si>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</si>
  <si>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</si>
  <si>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</si>
  <si>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</si>
  <si>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</si>
  <si>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</si>
  <si>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</si>
  <si>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</si>
  <si>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</si>
  <si>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</si>
  <si>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</si>
  <si>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</si>
  <si>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</si>
  <si>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</si>
  <si>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</si>
  <si>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</si>
  <si>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</si>
  <si>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</si>
  <si>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</si>
  <si>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</si>
  <si>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</si>
  <si>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</si>
  <si>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</si>
  <si>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</si>
  <si>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</si>
  <si>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</si>
  <si>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</si>
  <si>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</si>
  <si>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</si>
  <si>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</si>
  <si>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</si>
  <si>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</si>
  <si>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</si>
  <si>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</si>
  <si>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</si>
  <si>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</si>
  <si>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</si>
  <si>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</si>
  <si>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</si>
  <si>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</si>
  <si>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</si>
  <si>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</si>
  <si>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</si>
  <si>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</si>
  <si>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</si>
  <si>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</si>
  <si>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</si>
  <si>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</si>
  <si>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</si>
  <si>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</si>
  <si>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</si>
  <si>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</si>
  <si>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</si>
  <si>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</si>
  <si>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</si>
  <si>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</si>
  <si>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</si>
  <si>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</si>
  <si>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</si>
  <si>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</si>
  <si>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</si>
  <si>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</si>
  <si>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</si>
  <si>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</si>
  <si>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</si>
  <si>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</si>
  <si>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</si>
  <si>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</si>
  <si>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</si>
  <si>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</si>
  <si>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</si>
  <si>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</si>
  <si>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</si>
  <si>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</si>
  <si>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</si>
  <si>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</si>
  <si>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</si>
  <si>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</si>
  <si>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</si>
  <si>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</si>
  <si>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</si>
  <si>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</si>
  <si>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</si>
  <si>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</si>
  <si>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</si>
  <si>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</si>
  <si>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</si>
  <si>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</si>
  <si>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</si>
  <si>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</si>
  <si>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</si>
  <si>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</si>
  <si>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</si>
  <si>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</si>
  <si>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</si>
  <si>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</si>
  <si>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</si>
  <si>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</si>
  <si>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</si>
  <si>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</si>
  <si>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</si>
  <si>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</si>
  <si>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</si>
  <si>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</si>
  <si>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</si>
  <si>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</si>
  <si>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</si>
  <si>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</si>
  <si>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</si>
  <si>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</si>
  <si>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</si>
  <si>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</si>
  <si>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</si>
  <si>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</si>
  <si>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</si>
  <si>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</si>
  <si>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</si>
  <si>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</si>
  <si>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</si>
  <si>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</si>
  <si>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</si>
  <si>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</si>
  <si>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</si>
  <si>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</si>
  <si>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</si>
  <si>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</si>
  <si>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</si>
  <si>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</si>
  <si>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</si>
  <si>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</si>
  <si>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</si>
  <si>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</si>
  <si>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</si>
  <si>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</si>
  <si>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</si>
  <si>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</si>
  <si>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</si>
  <si>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</si>
  <si>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</si>
  <si>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</si>
  <si>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</si>
  <si>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</si>
  <si>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</si>
  <si>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</si>
  <si>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</si>
  <si>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</si>
  <si>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</si>
  <si>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</si>
  <si>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</si>
  <si>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</si>
  <si>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</si>
  <si>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</si>
  <si>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</si>
  <si>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</si>
  <si>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</si>
  <si>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</si>
  <si>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</si>
  <si>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</si>
  <si>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</si>
  <si>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</si>
  <si>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</si>
  <si>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</si>
  <si>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</si>
  <si>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</si>
  <si>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</si>
  <si>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</si>
  <si>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</si>
  <si>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</si>
  <si>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</si>
  <si>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</si>
  <si>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</si>
  <si>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</si>
  <si>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</si>
  <si>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</si>
  <si>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</si>
  <si>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</si>
  <si>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</si>
  <si>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</si>
  <si>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</si>
  <si>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</si>
  <si>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</si>
  <si>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</si>
  <si>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</si>
  <si>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</si>
  <si>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</si>
  <si>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</si>
  <si>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</si>
  <si>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</si>
  <si>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</si>
  <si>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</si>
  <si>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</si>
  <si>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</si>
  <si>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</si>
  <si>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</si>
  <si>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</si>
  <si>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</si>
  <si>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</si>
  <si>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</si>
  <si>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</si>
  <si>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</si>
  <si>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</si>
  <si>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</si>
  <si>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</si>
  <si>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</si>
  <si>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</si>
  <si>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</si>
  <si>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</si>
  <si>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</si>
  <si>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</si>
  <si>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</si>
  <si>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</si>
  <si>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</si>
  <si>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</si>
  <si>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</si>
  <si>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</si>
  <si>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</si>
  <si>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</si>
  <si>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</si>
  <si>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</si>
  <si>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</si>
  <si>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</si>
  <si>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</si>
  <si>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</si>
  <si>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</si>
  <si>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</si>
  <si>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</si>
  <si>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</si>
  <si>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</si>
  <si>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</si>
  <si>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</si>
  <si>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</si>
  <si>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</si>
  <si>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</si>
  <si>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</si>
  <si>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</si>
  <si>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</si>
  <si>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</si>
  <si>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</si>
  <si>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</si>
  <si>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</si>
  <si>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</si>
  <si>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</si>
  <si>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</si>
  <si>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</si>
  <si>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</si>
  <si>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</si>
  <si>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</si>
  <si>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</si>
  <si>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</si>
  <si>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</si>
  <si>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</si>
  <si>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</si>
  <si>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</si>
  <si>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</si>
  <si>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</si>
  <si>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</si>
  <si>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</si>
  <si>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</si>
  <si>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</si>
  <si>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</si>
  <si>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</si>
  <si>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</si>
  <si>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</si>
  <si>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</si>
  <si>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</si>
  <si>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</si>
  <si>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</si>
  <si>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</si>
  <si>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</si>
  <si>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</si>
  <si>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</si>
  <si>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</si>
  <si>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</si>
  <si>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</si>
  <si>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</si>
  <si>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</si>
  <si>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</si>
  <si>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</si>
  <si>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</si>
  <si>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</si>
  <si>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</si>
  <si>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</si>
  <si>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</si>
  <si>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</si>
  <si>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</si>
  <si>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</si>
  <si>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</si>
  <si>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</si>
  <si>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</si>
  <si>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</si>
  <si>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</si>
  <si>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</si>
  <si>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</si>
  <si>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</si>
  <si>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</si>
  <si>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</si>
  <si>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</si>
  <si>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</si>
  <si>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</si>
  <si>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</si>
  <si>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</si>
  <si>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</si>
  <si>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</si>
  <si>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</si>
  <si>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</si>
  <si>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</si>
  <si>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</si>
  <si>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</si>
  <si>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</si>
  <si>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</si>
  <si>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</si>
  <si>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</si>
  <si>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</si>
  <si>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</si>
  <si>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</si>
  <si>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</si>
  <si>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</si>
  <si>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</si>
  <si>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</si>
  <si>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</si>
  <si>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</si>
  <si>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</si>
  <si>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</si>
  <si>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</si>
  <si>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</si>
  <si>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</si>
  <si>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</si>
  <si>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</si>
  <si>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</si>
  <si>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</si>
  <si>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</si>
  <si>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</si>
  <si>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</si>
  <si>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</si>
  <si>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</si>
  <si>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</si>
  <si>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</si>
  <si>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</si>
  <si>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</si>
  <si>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</si>
  <si>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</si>
  <si>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</si>
  <si>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</si>
  <si>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</si>
  <si>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</si>
  <si>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</si>
  <si>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</si>
  <si>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</si>
  <si>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</si>
  <si>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</si>
  <si>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</si>
  <si>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</si>
  <si>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</si>
  <si>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</si>
  <si>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</si>
  <si>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</si>
  <si>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</si>
  <si>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</si>
  <si>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</si>
  <si>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</si>
  <si>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</si>
  <si>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</si>
  <si>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</si>
  <si>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</si>
  <si>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</si>
  <si>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</si>
  <si>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</si>
  <si>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</si>
  <si>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</si>
  <si>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</si>
  <si>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</si>
  <si>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</si>
  <si>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</si>
  <si>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</si>
  <si>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</si>
  <si>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</si>
  <si>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</si>
  <si>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</si>
  <si>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</si>
  <si>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</si>
  <si>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</si>
  <si>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</si>
  <si>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</si>
  <si>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</si>
  <si>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</si>
  <si>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</si>
  <si>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</si>
  <si>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</si>
  <si>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</si>
  <si>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</si>
  <si>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</si>
  <si>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</si>
  <si>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</si>
  <si>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</si>
  <si>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</si>
  <si>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</si>
  <si>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</si>
  <si>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</si>
  <si>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</si>
  <si>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</si>
  <si>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</si>
  <si>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</si>
  <si>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</si>
  <si>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</si>
  <si>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</si>
  <si>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</si>
  <si>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</si>
  <si>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</si>
  <si>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</si>
  <si>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</si>
  <si>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</si>
  <si>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</si>
  <si>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</si>
  <si>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</si>
  <si>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</si>
  <si>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</si>
  <si>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</si>
  <si>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</si>
  <si>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</si>
  <si>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</si>
  <si>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</si>
  <si>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</si>
  <si>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</si>
  <si>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</si>
  <si>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</si>
  <si>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</si>
  <si>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</si>
  <si>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</si>
  <si>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</si>
  <si>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</si>
  <si>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</si>
  <si>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</si>
  <si>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</si>
  <si>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</si>
  <si>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</si>
  <si>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</si>
  <si>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</si>
  <si>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</si>
  <si>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</si>
  <si>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</si>
  <si>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</si>
  <si>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</si>
  <si>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</si>
  <si>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</si>
  <si>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</si>
  <si>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</si>
  <si>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</si>
  <si>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</si>
  <si>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</si>
  <si>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</si>
  <si>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</si>
  <si>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</si>
  <si>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</si>
  <si>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</si>
  <si>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</si>
  <si>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</si>
  <si>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</si>
  <si>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</si>
  <si>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</si>
  <si>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</si>
  <si>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</si>
  <si>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</si>
  <si>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</si>
  <si>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</si>
  <si>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</si>
  <si>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</si>
  <si>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</si>
  <si>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</si>
  <si>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</si>
  <si>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</si>
  <si>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</si>
  <si>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</si>
  <si>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</si>
  <si>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</si>
  <si>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</si>
  <si>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</si>
  <si>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</si>
  <si>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</si>
  <si>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</si>
  <si>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</si>
  <si>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</si>
  <si>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</si>
  <si>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</si>
  <si>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</si>
  <si>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</si>
  <si>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</si>
  <si>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</si>
  <si>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</si>
  <si>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</si>
  <si>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</si>
  <si>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</si>
  <si>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</si>
  <si>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</si>
  <si>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</si>
  <si>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</si>
  <si>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</si>
  <si>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</si>
  <si>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</si>
  <si>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</si>
  <si>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</si>
  <si>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</si>
  <si>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</si>
  <si>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</si>
  <si>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</si>
  <si>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</si>
  <si>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</si>
  <si>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</si>
  <si>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</si>
  <si>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</si>
  <si>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</si>
  <si>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</si>
  <si>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</si>
  <si>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</si>
  <si>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</si>
  <si>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</si>
  <si>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</si>
  <si>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</si>
  <si>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</si>
  <si>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</si>
  <si>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</si>
  <si>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</si>
  <si>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</si>
  <si>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</si>
  <si>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</si>
  <si>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</si>
  <si>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</si>
  <si>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</si>
  <si>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</si>
  <si>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</si>
  <si>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</si>
  <si>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</si>
  <si>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</si>
  <si>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</si>
  <si>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</si>
  <si>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</si>
  <si>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</si>
  <si>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</si>
  <si>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</si>
  <si>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</si>
  <si>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</si>
  <si>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</si>
  <si>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</si>
  <si>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</si>
  <si>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</si>
  <si>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</si>
  <si>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</si>
  <si>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</si>
  <si>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</si>
  <si>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</si>
  <si>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</si>
  <si>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</si>
  <si>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</si>
  <si>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</si>
  <si>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</si>
  <si>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</si>
  <si>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</si>
  <si>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</si>
  <si>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</si>
  <si>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</si>
  <si>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</si>
  <si>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</si>
  <si>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</si>
  <si>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</si>
  <si>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</si>
  <si>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</si>
  <si>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</si>
  <si>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</si>
  <si>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</si>
  <si>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</si>
  <si>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</si>
  <si>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</si>
  <si>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</si>
  <si>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</si>
  <si>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</si>
  <si>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</si>
  <si>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</si>
  <si>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</si>
  <si>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</si>
  <si>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</si>
  <si>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</si>
  <si>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</si>
  <si>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</si>
  <si>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</si>
  <si>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</si>
  <si>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</si>
  <si>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</si>
  <si>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</si>
  <si>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</si>
  <si>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</si>
  <si>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</si>
  <si>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</si>
  <si>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</si>
  <si>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</si>
  <si>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</si>
  <si>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</si>
  <si>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</si>
  <si>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</si>
  <si>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</si>
  <si>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</si>
  <si>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</si>
  <si>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</si>
  <si>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</si>
  <si>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</si>
  <si>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</si>
  <si>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</si>
  <si>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</si>
  <si>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</si>
  <si>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</si>
  <si>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</si>
  <si>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</si>
  <si>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</si>
  <si>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</si>
  <si>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</si>
  <si>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</si>
  <si>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</si>
  <si>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</si>
  <si>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</si>
  <si>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</si>
  <si>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</si>
  <si>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</si>
  <si>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</si>
  <si>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</si>
  <si>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</si>
  <si>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</si>
  <si>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</si>
  <si>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</si>
  <si>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</si>
  <si>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</si>
  <si>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</si>
  <si>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</si>
  <si>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</si>
  <si>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</si>
  <si>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</si>
  <si>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</si>
  <si>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</si>
  <si>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</si>
  <si>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</si>
  <si>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</si>
  <si>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</si>
  <si>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</si>
  <si>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</si>
  <si>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</si>
  <si>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</si>
  <si>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</si>
  <si>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</si>
  <si>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</si>
  <si>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</si>
  <si>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</si>
  <si>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</si>
  <si>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</si>
  <si>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</si>
  <si>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</si>
  <si>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</si>
  <si>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</si>
  <si>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</si>
  <si>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</si>
  <si>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</si>
  <si>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</si>
  <si>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</si>
  <si>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</si>
  <si>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</si>
  <si>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</si>
  <si>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</si>
  <si>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</si>
  <si>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</si>
  <si>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</si>
  <si>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</si>
  <si>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</si>
  <si>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</si>
  <si>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</si>
  <si>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</si>
  <si>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</si>
  <si>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</si>
  <si>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</si>
  <si>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</si>
  <si>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</si>
  <si>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</si>
  <si>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</si>
  <si>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</si>
  <si>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</si>
  <si>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</si>
  <si>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</si>
  <si>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</si>
  <si>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</si>
  <si>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</si>
  <si>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</si>
  <si>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</si>
  <si>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</si>
  <si>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</si>
  <si>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</si>
  <si>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</si>
  <si>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</si>
  <si>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</si>
  <si>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</si>
  <si>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</si>
  <si>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</si>
  <si>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</si>
  <si>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</si>
  <si>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</si>
  <si>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</si>
  <si>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</si>
  <si>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</si>
  <si>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</si>
  <si>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</si>
  <si>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</si>
  <si>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</si>
  <si>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</si>
  <si>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</si>
  <si>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</si>
  <si>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</si>
  <si>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</si>
  <si>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</si>
  <si>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</si>
  <si>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</si>
  <si>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</si>
  <si>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</si>
  <si>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</si>
  <si>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</si>
  <si>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</si>
  <si>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</si>
  <si>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</si>
  <si>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</si>
  <si>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</si>
  <si>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</si>
  <si>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</si>
  <si>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</si>
  <si>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</si>
  <si>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</si>
  <si>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</si>
  <si>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</si>
  <si>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</si>
  <si>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</si>
  <si>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</si>
  <si>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</si>
  <si>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</si>
  <si>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</si>
  <si>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</si>
  <si>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</si>
  <si>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</si>
  <si>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</si>
  <si>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</si>
  <si>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</si>
  <si>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</si>
  <si>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</si>
  <si>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</si>
  <si>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</si>
  <si>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</si>
  <si>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</si>
  <si>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</si>
  <si>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</si>
  <si>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</si>
  <si>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</si>
  <si>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</si>
  <si>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</si>
  <si>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</si>
  <si>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</si>
  <si>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</si>
  <si>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</si>
  <si>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</si>
  <si>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</si>
  <si>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</si>
  <si>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</si>
  <si>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</si>
  <si>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</si>
  <si>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</si>
  <si>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</si>
  <si>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</si>
  <si>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</si>
  <si>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</si>
  <si>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</si>
  <si>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</si>
  <si>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</si>
  <si>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</si>
  <si>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</si>
  <si>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</si>
  <si>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</si>
  <si>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</si>
  <si>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</si>
  <si>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</si>
  <si>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</si>
  <si>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</si>
  <si>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</si>
  <si>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</si>
  <si>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</si>
  <si>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</si>
  <si>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</si>
  <si>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</si>
  <si>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</si>
  <si>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</si>
  <si>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</si>
  <si>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</si>
  <si>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</si>
  <si>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</si>
  <si>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</si>
  <si>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</si>
  <si>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</si>
  <si>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</si>
  <si>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</si>
  <si>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</si>
  <si>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</si>
  <si>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</si>
  <si>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</si>
  <si>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</si>
  <si>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</si>
  <si>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</si>
  <si>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</si>
  <si>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</si>
  <si>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</si>
  <si>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</si>
  <si>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</si>
  <si>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</si>
  <si>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</si>
  <si>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</si>
  <si>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</si>
  <si>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</si>
  <si>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</si>
  <si>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</si>
  <si>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</si>
  <si>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</si>
  <si>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</si>
  <si>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</si>
  <si>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</si>
  <si>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</si>
  <si>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</si>
  <si>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</si>
  <si>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</si>
  <si>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</si>
  <si>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</si>
  <si>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</si>
  <si>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</si>
  <si>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</si>
  <si>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</si>
  <si>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</si>
  <si>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</si>
  <si>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</si>
  <si>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</si>
  <si>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</si>
  <si>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</si>
  <si>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</si>
  <si>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</si>
  <si>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</si>
  <si>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</si>
  <si>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</si>
  <si>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</si>
  <si>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</si>
  <si>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</si>
  <si>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</si>
  <si>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</si>
  <si>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</si>
  <si>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</si>
  <si>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</si>
  <si>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</si>
  <si>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</si>
  <si>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</si>
  <si>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</si>
  <si>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</si>
  <si>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</si>
  <si>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</si>
  <si>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</si>
  <si>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</si>
  <si>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</si>
  <si>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</si>
  <si>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</si>
  <si>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</si>
  <si>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</si>
  <si>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</si>
  <si>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</si>
  <si>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</si>
  <si>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</si>
  <si>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</si>
  <si>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</si>
  <si>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</si>
  <si>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</si>
  <si>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</si>
  <si>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</si>
  <si>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</si>
  <si>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</si>
  <si>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</si>
  <si>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</si>
  <si>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</si>
  <si>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</si>
  <si>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</si>
  <si>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</si>
  <si>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</si>
  <si>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</si>
  <si>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</si>
  <si>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</si>
  <si>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</si>
  <si>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</si>
  <si>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</si>
  <si>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</si>
  <si>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</si>
  <si>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</si>
  <si>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</si>
  <si>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</si>
  <si>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</si>
  <si>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</si>
  <si>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</si>
  <si>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</si>
  <si>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</si>
  <si>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</si>
  <si>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</si>
  <si>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</si>
  <si>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</si>
  <si>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</si>
  <si>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</si>
  <si>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</si>
  <si>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</si>
  <si>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</si>
  <si>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</si>
  <si>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</si>
  <si>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</si>
  <si>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</si>
  <si>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</si>
  <si>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</si>
  <si>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</si>
  <si>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</si>
  <si>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</si>
  <si>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</si>
  <si>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</si>
  <si>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</si>
  <si>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</si>
  <si>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</si>
  <si>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</si>
  <si>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</si>
  <si>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</si>
  <si>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</si>
  <si>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</si>
  <si>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</si>
  <si>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</si>
  <si>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</si>
  <si>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</si>
  <si>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</si>
  <si>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</si>
  <si>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</si>
  <si>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</si>
  <si>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</si>
  <si>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</si>
  <si>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</si>
  <si>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</si>
  <si>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</si>
  <si>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</si>
  <si>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</si>
  <si>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</si>
  <si>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</si>
  <si>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</si>
  <si>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</si>
  <si>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</si>
  <si>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</si>
  <si>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</si>
  <si>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</si>
  <si>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</si>
  <si>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</si>
  <si>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</si>
  <si>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</si>
  <si>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</si>
  <si>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</si>
  <si>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</si>
  <si>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</si>
  <si>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</si>
  <si>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</si>
  <si>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</si>
  <si>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</si>
  <si>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</si>
  <si>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</si>
  <si>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</si>
  <si>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</si>
  <si>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</si>
  <si>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</si>
  <si>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</si>
  <si>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</si>
  <si>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</si>
  <si>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</si>
  <si>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</si>
  <si>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</si>
  <si>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</si>
  <si>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</si>
  <si>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</si>
  <si>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</si>
  <si>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</si>
  <si>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</si>
  <si>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</si>
  <si>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</si>
  <si>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</si>
  <si>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</si>
  <si>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</si>
  <si>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</si>
  <si>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</si>
  <si>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</si>
  <si>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</si>
  <si>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</si>
  <si>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</si>
  <si>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</si>
  <si>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</si>
  <si>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</si>
  <si>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</si>
  <si>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</si>
  <si>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</si>
  <si>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</si>
  <si>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</si>
  <si>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</si>
  <si>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</si>
  <si>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</si>
  <si>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</si>
  <si>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</si>
  <si>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</si>
  <si>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</si>
  <si>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</si>
  <si>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</si>
  <si>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</si>
  <si>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</si>
  <si>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</si>
  <si>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</si>
  <si>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</si>
  <si>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</si>
  <si>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</si>
  <si>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</si>
  <si>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</si>
  <si>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</si>
  <si>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</si>
  <si>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</si>
  <si>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</si>
  <si>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</si>
  <si>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</si>
  <si>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</si>
  <si>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</si>
  <si>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</si>
  <si>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</si>
  <si>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</si>
  <si>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</si>
  <si>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</si>
  <si>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</si>
  <si>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</si>
  <si>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</si>
  <si>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</si>
  <si>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</si>
  <si>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</si>
  <si>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</si>
  <si>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</si>
  <si>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</si>
  <si>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</si>
  <si>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</si>
  <si>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</si>
  <si>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</si>
  <si>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</si>
  <si>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</si>
  <si>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</si>
  <si>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</si>
  <si>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</si>
  <si>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</si>
  <si>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</si>
  <si>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</si>
  <si>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</si>
  <si>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</si>
  <si>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</si>
  <si>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</si>
  <si>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</si>
  <si>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</si>
  <si>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</si>
  <si>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</si>
  <si>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</si>
  <si>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</si>
  <si>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</si>
  <si>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</si>
  <si>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</si>
  <si>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</si>
  <si>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</si>
  <si>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</si>
  <si>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</si>
  <si>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</si>
  <si>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</si>
  <si>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</si>
  <si>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</si>
  <si>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</si>
  <si>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</si>
  <si>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</si>
  <si>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</si>
  <si>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</si>
  <si>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</si>
  <si>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</si>
  <si>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</si>
  <si>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</si>
  <si>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</si>
  <si>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</si>
  <si>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</si>
  <si>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</si>
  <si>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</si>
  <si>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</si>
  <si>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</si>
  <si>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</si>
  <si>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</si>
  <si>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</si>
  <si>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</si>
  <si>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</si>
  <si>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</si>
  <si>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</si>
  <si>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</si>
  <si>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</si>
  <si>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</si>
  <si>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</si>
  <si>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</si>
  <si>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</si>
  <si>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</si>
  <si>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</si>
  <si>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</si>
  <si>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</si>
  <si>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</si>
  <si>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</si>
  <si>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</si>
  <si>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</si>
  <si>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</si>
  <si>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</si>
  <si>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</si>
  <si>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</si>
  <si>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</si>
  <si>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</si>
  <si>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</si>
  <si>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</si>
  <si>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</si>
  <si>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</si>
  <si>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</si>
  <si>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</si>
  <si>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</si>
  <si>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</si>
  <si>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</si>
  <si>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</si>
  <si>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</si>
  <si>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</si>
  <si>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</si>
  <si>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</si>
  <si>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</si>
  <si>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</si>
  <si>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</si>
  <si>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</si>
  <si>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</si>
  <si>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</si>
  <si>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</si>
  <si>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</si>
  <si>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</si>
  <si>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</si>
  <si>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</si>
  <si>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</si>
  <si>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</si>
  <si>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</si>
  <si>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</si>
  <si>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</si>
  <si>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</si>
  <si>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</si>
  <si>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</si>
  <si>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</si>
  <si>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</si>
  <si>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</si>
  <si>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</si>
  <si>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</si>
  <si>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</si>
  <si>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</si>
  <si>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</si>
  <si>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</si>
  <si>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</si>
  <si>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</si>
  <si>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</si>
  <si>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</si>
  <si>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</si>
  <si>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</si>
  <si>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</si>
  <si>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</si>
  <si>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</si>
  <si>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</si>
  <si>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</si>
  <si>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</si>
  <si>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</si>
  <si>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</si>
  <si>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</si>
  <si>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</si>
  <si>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</si>
  <si>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</si>
  <si>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</si>
  <si>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</si>
  <si>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</si>
  <si>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</si>
  <si>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</si>
  <si>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</si>
  <si>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</si>
  <si>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</si>
  <si>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</si>
  <si>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</si>
  <si>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</si>
  <si>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</si>
  <si>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</si>
  <si>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</si>
  <si>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</si>
  <si>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</si>
  <si>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</si>
  <si>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</si>
  <si>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</si>
  <si>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</si>
  <si>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</si>
  <si>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</si>
  <si>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</si>
  <si>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</si>
  <si>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</si>
  <si>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</si>
  <si>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</si>
  <si>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</si>
  <si>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</si>
  <si>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</si>
  <si>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</si>
  <si>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</si>
  <si>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</si>
  <si>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</si>
  <si>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</si>
  <si>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</si>
  <si>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</si>
  <si>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</si>
  <si>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</si>
  <si>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</si>
  <si>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</si>
  <si>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</si>
  <si>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</si>
  <si>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</si>
  <si>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</si>
  <si>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</si>
  <si>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</si>
  <si>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</si>
  <si>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</si>
  <si>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</si>
  <si>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</si>
  <si>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</si>
  <si>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</si>
  <si>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</si>
  <si>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</si>
  <si>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</si>
  <si>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</si>
  <si>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</si>
  <si>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</si>
  <si>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</si>
  <si>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</si>
  <si>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</si>
  <si>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</si>
  <si>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</si>
  <si>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</si>
  <si>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</si>
  <si>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</si>
  <si>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</si>
  <si>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</si>
  <si>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</si>
  <si>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</si>
  <si>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</si>
  <si>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</si>
  <si>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</si>
  <si>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</si>
  <si>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</si>
  <si>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</si>
  <si>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</si>
  <si>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</si>
  <si>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</si>
  <si>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</si>
  <si>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</si>
  <si>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</si>
  <si>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</si>
  <si>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</si>
  <si>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</si>
  <si>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</si>
  <si>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</si>
  <si>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</si>
  <si>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</si>
  <si>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</si>
  <si>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</si>
  <si>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</si>
  <si>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</si>
  <si>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</si>
  <si>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</si>
  <si>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</si>
  <si>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</si>
  <si>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</si>
  <si>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</si>
  <si>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</si>
  <si>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</si>
  <si>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</si>
  <si>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</si>
  <si>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</si>
  <si>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</si>
  <si>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</si>
  <si>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</si>
  <si>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</si>
  <si>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</si>
  <si>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</si>
  <si>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</si>
  <si>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</si>
  <si>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</si>
  <si>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</si>
  <si>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</si>
  <si>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</si>
  <si>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</si>
  <si>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</si>
  <si>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</si>
  <si>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</si>
  <si>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</si>
  <si>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</si>
  <si>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</si>
  <si>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</si>
  <si>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</si>
  <si>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</si>
  <si>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</si>
  <si>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</si>
  <si>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</si>
  <si>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</si>
  <si>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</si>
  <si>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</si>
  <si>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</si>
  <si>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</si>
  <si>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</si>
  <si>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</si>
  <si>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</si>
  <si>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</si>
  <si>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</si>
  <si>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</si>
  <si>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</si>
  <si>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</si>
  <si>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</si>
  <si>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</si>
  <si>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</si>
  <si>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</si>
  <si>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</si>
  <si>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</si>
  <si>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</si>
  <si>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</si>
  <si>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</si>
  <si>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</si>
  <si>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</si>
  <si>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</si>
  <si>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</si>
  <si>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</si>
  <si>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</si>
  <si>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</si>
  <si>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</si>
  <si>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</si>
  <si>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</si>
  <si>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</si>
  <si>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</si>
  <si>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</si>
  <si>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</si>
  <si>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</si>
  <si>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</si>
  <si>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</si>
  <si>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</si>
  <si>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</si>
  <si>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</si>
  <si>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</si>
  <si>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</si>
  <si>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</si>
  <si>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</si>
  <si>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</si>
  <si>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正评</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</si>
</sst>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96" fontId="159" fillId="0" borderId="0" xfId="12" applyNumberFormat="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2024年11月29日</v>
      </c>
    </row>
    <row r="13" spans="1:2" s="1203" customFormat="1">
      <c r="A13" s="1201" t="s">
        <v>529</v>
      </c>
      <c r="B13" s="1202" t="str">
        <f>'预评函-1'!A18</f>
        <v>本次估价的“房地产价值”是指在正常市场情况下，在价值时点2024年11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1" t="s">
        <v>2582</v>
      </c>
      <c r="J2" s="3491"/>
      <c r="K2" s="3491"/>
      <c r="L2" s="3491"/>
      <c r="M2" s="3491"/>
      <c r="N2" s="3491"/>
      <c r="O2" s="3491"/>
      <c r="P2" s="3491"/>
      <c r="Q2" s="3491"/>
      <c r="R2" s="3491"/>
    </row>
    <row r="3" spans="1:18">
      <c r="A3" s="3020" t="s">
        <v>2503</v>
      </c>
      <c r="B3" s="3021">
        <f>项目基本情况!D3</f>
        <v>45625</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2.0499999999999998</v>
      </c>
      <c r="D5" s="3025">
        <f>IF(ISERROR(ROUND(POWER(1+E5,A5-C5)*(POWER(1+E5,C5)-1)/(POWER(1+E5,A5)-1),3)),0,ROUND(POWER(1+E5,A5-C5)*(POWER(1+E5,C5)-1)/(POWER(1+E5,A5)-1),4))</f>
        <v>9.7600000000000006E-2</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12.06</v>
      </c>
      <c r="D6" s="3025">
        <f>IF(ISERROR(ROUND(POWER(1+E6,A6-C6)*(POWER(1+E6,C6)-1)/(POWER(1+E6,A6)-1),3)),0,ROUND(POWER(1+E6,A6-C6)*(POWER(1+E6,C6)-1)/(POWER(1+E6,A6)-1),4))</f>
        <v>0.43859999999999999</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32.07</v>
      </c>
      <c r="D7" s="3025">
        <f>IF(ISERROR(ROUND(POWER(1+E7,A7-C7)*(POWER(1+E7,C7)-1)/(POWER(1+E7,A7)-1),3)),0,ROUND(POWER(1+E7,A7-C7)*(POWER(1+E7,C7)-1)/(POWER(1+E7,A7)-1),4))</f>
        <v>0.76480000000000004</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45625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495" t="s">
        <v>2177</v>
      </c>
      <c r="E8" s="2391"/>
      <c r="F8" s="2392"/>
      <c r="G8" s="2663"/>
      <c r="H8" s="2663"/>
      <c r="I8" s="2663"/>
      <c r="J8" s="2439"/>
      <c r="K8" s="2614"/>
      <c r="L8" s="2613"/>
      <c r="M8" s="2613"/>
      <c r="N8" s="2439"/>
      <c r="O8" s="2450"/>
      <c r="P8" s="2439"/>
      <c r="Q8" s="2439"/>
      <c r="R8" s="2439"/>
    </row>
    <row r="9" spans="1:30" ht="13.5" thickBot="1">
      <c r="A9" s="2393" t="s">
        <v>2178</v>
      </c>
      <c r="B9" s="2394"/>
      <c r="C9" s="2395"/>
      <c r="D9" s="3496"/>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0</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45625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3379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80" zoomScaleNormal="80" zoomScaleSheetLayoutView="80" workbookViewId="0">
      <selection activeCell="D29" sqref="D2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162.22999999999999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45625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503</v>
      </c>
      <c r="C5" s="2512">
        <f>E14</f>
        <v>31000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162.22999999999999</v>
      </c>
      <c r="C14" s="2518"/>
      <c r="D14" s="2518">
        <f>ROUND(E14*B14/10000,0)</f>
        <v>503</v>
      </c>
      <c r="E14" s="2518">
        <v>31000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row r="29" spans="1:11">
      <c r="D29" s="3449">
        <f>D14*10000</f>
        <v>5030000</v>
      </c>
      <c r="E29" s="2513" t="s">
        <v>3390</v>
      </c>
      <c r="F29" s="2513">
        <v>33040</v>
      </c>
      <c r="G29" s="2513">
        <v>536</v>
      </c>
    </row>
    <row r="30" spans="1:11">
      <c r="F30" s="2513">
        <f>ROUND(F29*0.9,0)</f>
        <v>29736</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c r="D4" s="1756"/>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c r="D14" s="3600"/>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31" t="s">
        <v>2131</v>
      </c>
      <c r="F18" s="3632"/>
      <c r="G18" s="3632"/>
      <c r="H18" s="3632"/>
      <c r="I18" s="363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t="e">
        <f ca="1">ROUND(H101*F45,0)</f>
        <v>#REF!</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45625</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42" t="s">
        <v>1340</v>
      </c>
      <c r="L48" s="3542"/>
      <c r="M48" s="3545" t="e">
        <f ca="1">H101</f>
        <v>#REF!</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抵押担保权已注销时的房地产抵押价值</v>
      </c>
      <c r="L49" s="3542"/>
      <c r="M49" s="3545" t="str">
        <f>IF(项目基本情况!E8="房地产抵押价值",H107,H109)</f>
        <v>——</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t="e">
        <f ca="1">ROUND(D45*'数据-取费表'!B41/(1+'数据-取费表'!C42),0)</f>
        <v>#REF!</v>
      </c>
      <c r="E52" s="2334" t="s">
        <v>1354</v>
      </c>
      <c r="F52" s="2554">
        <f>'数据-取费表'!B41</f>
        <v>0</v>
      </c>
      <c r="G52" s="2555"/>
      <c r="H52" s="2544"/>
      <c r="I52" s="1807"/>
      <c r="J52" s="2523">
        <v>1</v>
      </c>
      <c r="K52" s="3567" t="s">
        <v>1355</v>
      </c>
      <c r="L52" s="3567"/>
      <c r="M52" s="2525" t="b">
        <f>D48</f>
        <v>0</v>
      </c>
      <c r="N52" s="2523" t="str">
        <f>E48</f>
        <v>销售额×税（费）率</v>
      </c>
      <c r="O52" s="2526">
        <f>F48</f>
        <v>0</v>
      </c>
    </row>
    <row r="53" spans="1:35" ht="12" customHeight="1">
      <c r="A53" s="2335" t="s">
        <v>1356</v>
      </c>
      <c r="B53" s="3591" t="s">
        <v>2291</v>
      </c>
      <c r="C53" s="3592"/>
      <c r="D53" s="1087" t="e">
        <f ca="1">ROUND(D45*'数据-取费表'!B41/(1+'数据-取费表'!C42),0)</f>
        <v>#REF!</v>
      </c>
      <c r="E53" s="2334" t="s">
        <v>1354</v>
      </c>
      <c r="F53" s="2554">
        <f>'数据-取费表'!B41</f>
        <v>0</v>
      </c>
      <c r="G53" s="2555"/>
      <c r="H53" s="2544"/>
      <c r="I53" s="1807"/>
      <c r="J53" s="2523">
        <v>2</v>
      </c>
      <c r="K53" s="3567" t="s">
        <v>1357</v>
      </c>
      <c r="L53" s="3567"/>
      <c r="M53" s="2525" t="e">
        <f t="shared" ref="M53:O54" ca="1" si="0">D55</f>
        <v>#REF!</v>
      </c>
      <c r="N53" s="2523" t="str">
        <f t="shared" si="0"/>
        <v>销售额×税（费）率</v>
      </c>
      <c r="O53" s="2526" t="str">
        <f t="shared" si="0"/>
        <v>免征</v>
      </c>
    </row>
    <row r="54" spans="1:35" ht="12" customHeight="1">
      <c r="A54" s="2335" t="s">
        <v>1358</v>
      </c>
      <c r="B54" s="3591" t="s">
        <v>2292</v>
      </c>
      <c r="C54" s="3592"/>
      <c r="D54" s="1087" t="e">
        <f ca="1">C68</f>
        <v>#REF!</v>
      </c>
      <c r="E54" s="327" t="s">
        <v>1359</v>
      </c>
      <c r="F54" s="2554">
        <f>'数据-取费表'!B41</f>
        <v>0</v>
      </c>
      <c r="G54" s="2555"/>
      <c r="H54" s="2556"/>
      <c r="I54" s="1807"/>
      <c r="J54" s="2523">
        <v>3</v>
      </c>
      <c r="K54" s="3567" t="s">
        <v>1360</v>
      </c>
      <c r="L54" s="3567"/>
      <c r="M54" s="2525" t="e">
        <f t="shared" ca="1" si="0"/>
        <v>#REF!</v>
      </c>
      <c r="N54" s="2523" t="str">
        <f t="shared" si="0"/>
        <v>增值额×税（费）率</v>
      </c>
      <c r="O54" s="2527" t="str">
        <f t="shared" si="0"/>
        <v>免征</v>
      </c>
    </row>
    <row r="55" spans="1:35" ht="24" customHeight="1">
      <c r="A55" s="3627" t="s">
        <v>1361</v>
      </c>
      <c r="B55" s="3605"/>
      <c r="C55" s="3605"/>
      <c r="D55" s="2324" t="e">
        <f ca="1">IF(H55="个人住宅",0,ROUND(D45*I55,0))</f>
        <v>#REF!</v>
      </c>
      <c r="E55" s="2334" t="s">
        <v>1362</v>
      </c>
      <c r="F55" s="2554" t="str">
        <f>IF(H55="正常",I55,"免征")</f>
        <v>免征</v>
      </c>
      <c r="G55" s="2555"/>
      <c r="H55" s="2550"/>
      <c r="I55" s="165">
        <f>'数据-取费表'!B49</f>
        <v>0</v>
      </c>
      <c r="J55" s="2523">
        <f>IF(H59="非个人房产","",4)</f>
        <v>4</v>
      </c>
      <c r="K55" s="3567" t="str">
        <f>IF(H59="非个人房产","——","个人所得税")</f>
        <v>个人所得税</v>
      </c>
      <c r="L55" s="3567"/>
      <c r="M55" s="2528" t="e">
        <f ca="1">D59</f>
        <v>#REF!</v>
      </c>
      <c r="N55" s="2040" t="str">
        <f>E59</f>
        <v>差额计税</v>
      </c>
      <c r="O55" s="2529">
        <f>F59</f>
        <v>0.01</v>
      </c>
    </row>
    <row r="56" spans="1:35" ht="24.75">
      <c r="A56" s="3627" t="s">
        <v>1363</v>
      </c>
      <c r="B56" s="3605"/>
      <c r="C56" s="3605"/>
      <c r="D56" s="2324" t="e">
        <f ca="1">IF(H56="个人住宅",D57,D58)</f>
        <v>#REF!</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0</v>
      </c>
      <c r="O57" s="2533"/>
      <c r="P57" s="2690" t="e">
        <f ca="1">N57/M49</f>
        <v>#VALUE!</v>
      </c>
    </row>
    <row r="58" spans="1:35" ht="24.75">
      <c r="A58" s="2335" t="s">
        <v>1352</v>
      </c>
      <c r="B58" s="3591" t="s">
        <v>1369</v>
      </c>
      <c r="C58" s="3590"/>
      <c r="D58" s="2324" t="e">
        <f ca="1">IF(H58="转让取得",C81,C97)</f>
        <v>#REF!</v>
      </c>
      <c r="E58" s="2334" t="s">
        <v>1364</v>
      </c>
      <c r="F58" s="302" t="s">
        <v>28</v>
      </c>
      <c r="G58" s="2555"/>
      <c r="H58" s="2558"/>
      <c r="I58" s="1808"/>
      <c r="J58" s="3567"/>
      <c r="K58" s="3567"/>
      <c r="L58" s="2530" t="s">
        <v>1370</v>
      </c>
      <c r="M58" s="2534"/>
      <c r="N58" s="2535" t="str">
        <f ca="1">NUMBERSTRING(INT(N57*10000),2)&amp;"元整"</f>
        <v>零元整</v>
      </c>
      <c r="O58" s="2536"/>
    </row>
    <row r="59" spans="1:35" ht="24.75" thickBot="1">
      <c r="A59" s="3571" t="s">
        <v>1371</v>
      </c>
      <c r="B59" s="3572"/>
      <c r="C59" s="357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t="e">
        <f ca="1">M49-N57</f>
        <v>#VALUE!</v>
      </c>
      <c r="O59" s="2539"/>
    </row>
    <row r="60" spans="1:35" ht="12" customHeight="1">
      <c r="A60" s="1809"/>
      <c r="B60" s="1747"/>
      <c r="C60" s="1747"/>
      <c r="D60" s="1747"/>
      <c r="E60" s="1578"/>
      <c r="F60" s="1808"/>
      <c r="G60" s="1808"/>
      <c r="H60" s="1810"/>
      <c r="I60" s="129"/>
      <c r="J60" s="3570"/>
      <c r="K60" s="3567"/>
      <c r="L60" s="2530" t="s">
        <v>1370</v>
      </c>
      <c r="M60" s="2534"/>
      <c r="N60" s="2535" t="e">
        <f ca="1">NUMBERSTRING(INT(N59*10000),2)&amp;"元整"</f>
        <v>#VALUE!</v>
      </c>
      <c r="O60" s="2536"/>
    </row>
    <row r="61" spans="1:35" ht="13.5" thickBot="1">
      <c r="A61" s="3626" t="s">
        <v>1373</v>
      </c>
      <c r="B61" s="3626"/>
      <c r="C61" s="3626"/>
      <c r="D61" s="3626"/>
      <c r="E61" s="3626"/>
      <c r="F61" s="1808"/>
      <c r="G61" s="1808"/>
      <c r="H61" s="1810"/>
      <c r="I61" s="129"/>
      <c r="J61" s="2523">
        <f>J59+1</f>
        <v>7</v>
      </c>
      <c r="K61" s="3567" t="s">
        <v>1374</v>
      </c>
      <c r="L61" s="3567"/>
      <c r="M61" s="2540"/>
      <c r="N61" s="2541" t="e">
        <f ca="1">ROUND(N59*10000/'数据-汇总表'!E3,0)</f>
        <v>#VALUE!</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5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f>C4</f>
        <v>0</v>
      </c>
      <c r="D101" s="2586">
        <f>D4</f>
        <v>0</v>
      </c>
      <c r="E101" s="3546" t="s">
        <v>1431</v>
      </c>
      <c r="F101" s="3547"/>
      <c r="G101" s="1827" t="s">
        <v>1432</v>
      </c>
      <c r="H101" s="2595" t="e">
        <f ca="1">H118</f>
        <v>#REF!</v>
      </c>
      <c r="I101" s="129"/>
    </row>
    <row r="102" spans="1:35" ht="18.75" customHeight="1">
      <c r="A102" s="3578" t="s">
        <v>1433</v>
      </c>
      <c r="B102" s="2584" t="s">
        <v>1432</v>
      </c>
      <c r="C102" s="2585" t="e">
        <f ca="1">IF(D32="楼面单价",ROUND(C19,0),C19)</f>
        <v>#REF!</v>
      </c>
      <c r="D102" s="2586" t="e">
        <f ca="1">IF(D32="楼面单价",ROUND(D19,0),D19)</f>
        <v>#REF!</v>
      </c>
      <c r="E102" s="3546"/>
      <c r="F102" s="3547"/>
      <c r="G102" s="1827" t="s">
        <v>1434</v>
      </c>
      <c r="H102" s="2555" t="e">
        <f ca="1">I118</f>
        <v>#REF!</v>
      </c>
      <c r="I102" s="129"/>
    </row>
    <row r="103" spans="1:35" ht="42.75" customHeight="1">
      <c r="A103" s="3578"/>
      <c r="B103" s="2584" t="s">
        <v>1434</v>
      </c>
      <c r="C103" s="2587" t="e">
        <f ca="1">C20</f>
        <v>#REF!</v>
      </c>
      <c r="D103" s="2588" t="e">
        <f ca="1">D20</f>
        <v>#REF!</v>
      </c>
      <c r="E103" s="3539" t="s">
        <v>1435</v>
      </c>
      <c r="F103" s="3540"/>
      <c r="G103" s="1828" t="s">
        <v>1436</v>
      </c>
      <c r="H103" s="2595">
        <f>IF(D36="正常操作",H104+H105+H106,H105+H106)</f>
        <v>0</v>
      </c>
      <c r="I103" s="129"/>
    </row>
    <row r="104" spans="1:35" ht="18.75" customHeight="1">
      <c r="A104" s="357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t="e">
        <f ca="1">IF(E107="——","——",H101-H103)</f>
        <v>#REF!</v>
      </c>
      <c r="I107" s="129"/>
    </row>
    <row r="108" spans="1:35" ht="18.75" customHeight="1">
      <c r="A108" s="129"/>
      <c r="B108" s="129"/>
      <c r="C108" s="129"/>
      <c r="D108" s="129"/>
      <c r="E108" s="3579"/>
      <c r="F108" s="3547"/>
      <c r="G108" s="1827" t="s">
        <v>1434</v>
      </c>
      <c r="H108" s="2555">
        <f ca="1">IF(H107=H101,H102,ROUND(H107*10000/'数据-汇总表'!E3,0))</f>
        <v>0</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4" t="s">
        <v>1452</v>
      </c>
      <c r="B119" s="3554"/>
      <c r="C119" s="3554"/>
      <c r="D119" s="3560" t="e">
        <f ca="1">NUMBERSTRING(INT(D118*10000),2)&amp;"元整"</f>
        <v>#REF!</v>
      </c>
      <c r="E119" s="3561"/>
      <c r="F119" s="3560" t="e">
        <f ca="1">NUMBERSTRING(INT(F118*10000),2)&amp;"元整"</f>
        <v>#REF!</v>
      </c>
      <c r="G119" s="3561"/>
      <c r="H119" s="3560" t="e">
        <f ca="1">NUMBERSTRING(INT(H118*10000),2)&amp;"元整"</f>
        <v>#REF!</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t="e">
        <f ca="1">H107</f>
        <v>#REF!</v>
      </c>
      <c r="E122" s="3556"/>
      <c r="F122" s="3556"/>
      <c r="G122" s="3556"/>
      <c r="H122" s="3556"/>
      <c r="I122" s="3557"/>
      <c r="AA122" s="725"/>
    </row>
    <row r="123" spans="1:27" ht="18.75" customHeight="1">
      <c r="A123" s="3554" t="s">
        <v>1452</v>
      </c>
      <c r="B123" s="3554"/>
      <c r="C123" s="3554"/>
      <c r="D123" s="3560" t="e">
        <f ca="1">NUMBERSTRING(INT(D122*10000),2)&amp;"元整"</f>
        <v>#REF!</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33" t="s">
        <v>1544</v>
      </c>
    </row>
    <row r="43" spans="1:7" ht="13.5" customHeight="1">
      <c r="A43" s="780" t="s">
        <v>347</v>
      </c>
      <c r="B43" s="215" t="s">
        <v>1545</v>
      </c>
      <c r="C43" s="238" t="e">
        <f ca="1">ROUND(IF('数据-取费表'!B22&lt;=1,C39*F22*'数据-取费表'!B21/2,C39*(POWER((1+F22),'数据-取费表'!B21/2)-1)),0)</f>
        <v>#VALUE!</v>
      </c>
      <c r="D43" s="238"/>
      <c r="E43" s="238"/>
      <c r="F43" s="239"/>
      <c r="G43" s="3634"/>
    </row>
    <row r="44" spans="1:7" ht="13.5" customHeight="1">
      <c r="A44" s="780" t="s">
        <v>348</v>
      </c>
      <c r="B44" s="215" t="s">
        <v>1546</v>
      </c>
      <c r="C44" s="238" t="e">
        <f ca="1">ROUND(IF('数据-取费表'!B22&lt;=1,C40*F22*'数据-取费表'!B21/2,C40*(POWER((1+F22),'数据-取费表'!B21/2)-1)),4)</f>
        <v>#VALUE!</v>
      </c>
      <c r="D44" s="238"/>
      <c r="E44" s="238"/>
      <c r="F44" s="239"/>
      <c r="G44" s="363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33" t="s">
        <v>1591</v>
      </c>
    </row>
    <row r="43" spans="1:7" ht="13.5" customHeight="1">
      <c r="A43" s="780" t="s">
        <v>347</v>
      </c>
      <c r="B43" s="215" t="s">
        <v>1545</v>
      </c>
      <c r="C43" s="238" t="e">
        <f ca="1">ROUND(IF('数据-取费表'!B22&lt;=1,C39*F22*'数据-取费表'!B20/2,C39*(POWER((1+F22),'数据-取费表'!B20/2)-1)),0)</f>
        <v>#VALUE!</v>
      </c>
      <c r="D43" s="238"/>
      <c r="E43" s="238"/>
      <c r="F43" s="239"/>
      <c r="G43" s="3634"/>
    </row>
    <row r="44" spans="1:7" ht="13.5" customHeight="1">
      <c r="A44" s="780" t="s">
        <v>348</v>
      </c>
      <c r="B44" s="215" t="s">
        <v>1546</v>
      </c>
      <c r="C44" s="238" t="e">
        <f ca="1">ROUND(IF('数据-取费表'!B22&lt;=1,C40*F22*'数据-取费表'!B20/2,C40*(POWER((1+F22),'数据-取费表'!B20/2)-1)),4)</f>
        <v>#VALUE!</v>
      </c>
      <c r="D44" s="238"/>
      <c r="E44" s="238"/>
      <c r="F44" s="239"/>
      <c r="G44" s="363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#VALUE!</v>
      </c>
      <c r="D45" s="3432" t="s">
        <v>3355</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41" t="s">
        <v>2319</v>
      </c>
      <c r="K2" s="3642"/>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43" t="s">
        <v>2329</v>
      </c>
      <c r="K3" s="3644"/>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43" t="s">
        <v>2331</v>
      </c>
      <c r="K4" s="3644"/>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45" t="s">
        <v>2335</v>
      </c>
      <c r="B6" s="3646"/>
      <c r="C6" s="3647"/>
      <c r="D6" s="2870"/>
      <c r="E6" s="2871"/>
      <c r="F6" s="2872"/>
      <c r="G6" s="2873"/>
      <c r="H6" s="2848"/>
      <c r="I6" s="2849"/>
      <c r="J6" s="3648">
        <v>1</v>
      </c>
      <c r="K6" s="3649"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48"/>
      <c r="K7" s="3650"/>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52" t="s">
        <v>2349</v>
      </c>
      <c r="C8" s="3653"/>
      <c r="D8" s="2889" t="s">
        <v>2350</v>
      </c>
      <c r="E8" s="2890" t="s">
        <v>2351</v>
      </c>
      <c r="F8" s="2891" t="s">
        <v>2352</v>
      </c>
      <c r="G8" s="2892"/>
      <c r="H8" s="2848"/>
      <c r="I8" s="2849"/>
      <c r="J8" s="3648"/>
      <c r="K8" s="3650"/>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52" t="s">
        <v>2355</v>
      </c>
      <c r="C9" s="3653"/>
      <c r="D9" s="2889">
        <f>ROUND(D6*E9,0)</f>
        <v>0</v>
      </c>
      <c r="E9" s="2893"/>
      <c r="F9" s="2894" t="s">
        <v>2356</v>
      </c>
      <c r="G9" s="2873"/>
      <c r="H9" s="2848"/>
      <c r="I9" s="2849"/>
      <c r="J9" s="3648"/>
      <c r="K9" s="3650"/>
      <c r="L9" s="2883" t="s">
        <v>2357</v>
      </c>
      <c r="M9" s="2884"/>
      <c r="N9" s="2860"/>
      <c r="O9" s="2885"/>
      <c r="P9" s="2885"/>
      <c r="Q9" s="2886">
        <v>365</v>
      </c>
      <c r="R9" s="2887">
        <f t="shared" si="0"/>
        <v>0</v>
      </c>
      <c r="S9" s="2841"/>
      <c r="T9" s="2841"/>
      <c r="U9" s="2841"/>
      <c r="V9" s="2849"/>
    </row>
    <row r="10" spans="1:22" s="2853" customFormat="1" ht="13.15" customHeight="1">
      <c r="A10" s="2888">
        <v>2</v>
      </c>
      <c r="B10" s="3652" t="s">
        <v>2358</v>
      </c>
      <c r="C10" s="3653"/>
      <c r="D10" s="2889">
        <f>ROUND(D6*E10,0)</f>
        <v>0</v>
      </c>
      <c r="E10" s="2893"/>
      <c r="F10" s="2894" t="s">
        <v>2359</v>
      </c>
      <c r="G10" s="2873"/>
      <c r="H10" s="2848"/>
      <c r="I10" s="2849"/>
      <c r="J10" s="3648"/>
      <c r="K10" s="3650"/>
      <c r="L10" s="2883" t="s">
        <v>2360</v>
      </c>
      <c r="M10" s="2884"/>
      <c r="N10" s="2860"/>
      <c r="O10" s="2885"/>
      <c r="P10" s="2885"/>
      <c r="Q10" s="2886">
        <v>365</v>
      </c>
      <c r="R10" s="2887">
        <f t="shared" si="0"/>
        <v>0</v>
      </c>
      <c r="S10" s="2841"/>
      <c r="T10" s="2841"/>
      <c r="U10" s="2841"/>
      <c r="V10" s="2849"/>
    </row>
    <row r="11" spans="1:22" s="2853" customFormat="1" ht="13.15" customHeight="1">
      <c r="A11" s="2888">
        <v>3</v>
      </c>
      <c r="B11" s="3652" t="s">
        <v>2361</v>
      </c>
      <c r="C11" s="3653"/>
      <c r="D11" s="2889">
        <f>D12+D14+D15+D16</f>
        <v>0</v>
      </c>
      <c r="E11" s="2895" t="e">
        <f>D11/D6</f>
        <v>#DIV/0!</v>
      </c>
      <c r="F11" s="2891"/>
      <c r="G11" s="2892"/>
      <c r="H11" s="2848"/>
      <c r="I11" s="2849"/>
      <c r="J11" s="3648"/>
      <c r="K11" s="3650"/>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4" t="s">
        <v>2364</v>
      </c>
      <c r="C12" s="3655"/>
      <c r="D12" s="2897">
        <f>ROUND(D13*1.2%*(1-30%),0)</f>
        <v>0</v>
      </c>
      <c r="E12" s="2898">
        <v>1.2E-2</v>
      </c>
      <c r="F12" s="2891" t="s">
        <v>2365</v>
      </c>
      <c r="G12" s="2892"/>
      <c r="H12" s="2848"/>
      <c r="I12" s="2849"/>
      <c r="J12" s="3648"/>
      <c r="K12" s="3650"/>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48"/>
      <c r="K13" s="3650"/>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4" t="s">
        <v>2370</v>
      </c>
      <c r="C14" s="3655"/>
      <c r="D14" s="2897">
        <f>ROUND(E14*B5/10000,0)</f>
        <v>0</v>
      </c>
      <c r="E14" s="2886"/>
      <c r="F14" s="2891" t="s">
        <v>2371</v>
      </c>
      <c r="G14" s="2892"/>
      <c r="H14" s="2848"/>
      <c r="I14" s="2849"/>
      <c r="J14" s="3648"/>
      <c r="K14" s="3651"/>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4" t="s">
        <v>2374</v>
      </c>
      <c r="C15" s="3655"/>
      <c r="D15" s="2897">
        <f>ROUND(D6*E15,0)</f>
        <v>0</v>
      </c>
      <c r="E15" s="2898">
        <v>5.5E-2</v>
      </c>
      <c r="F15" s="2891" t="s">
        <v>2375</v>
      </c>
      <c r="G15" s="2873"/>
      <c r="H15" s="2848"/>
      <c r="I15" s="2849"/>
      <c r="J15" s="3648">
        <v>2</v>
      </c>
      <c r="K15" s="3649"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4" t="s">
        <v>2383</v>
      </c>
      <c r="C16" s="3655"/>
      <c r="D16" s="2908">
        <f>D6*E16</f>
        <v>0</v>
      </c>
      <c r="E16" s="2909"/>
      <c r="F16" s="2894" t="s">
        <v>2384</v>
      </c>
      <c r="G16" s="2873"/>
      <c r="H16" s="2848"/>
      <c r="I16" s="2849"/>
      <c r="J16" s="3648"/>
      <c r="K16" s="3650"/>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2386</v>
      </c>
      <c r="C17" s="3657"/>
      <c r="D17" s="2911">
        <f>ROUND(D6*E17,0)</f>
        <v>0</v>
      </c>
      <c r="E17" s="2912"/>
      <c r="F17" s="2913" t="s">
        <v>2387</v>
      </c>
      <c r="G17" s="2873"/>
      <c r="H17" s="2848"/>
      <c r="I17" s="2849"/>
      <c r="J17" s="3648"/>
      <c r="K17" s="3650"/>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48"/>
      <c r="K18" s="3650"/>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48"/>
      <c r="K19" s="3651"/>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48"/>
      <c r="K21" s="3650"/>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48"/>
      <c r="K22" s="3650"/>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48"/>
      <c r="K23" s="3650"/>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48"/>
      <c r="K24" s="3651"/>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58">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1" t="s">
        <v>2319</v>
      </c>
      <c r="K32" s="3642"/>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43" t="s">
        <v>2329</v>
      </c>
      <c r="K33" s="3644"/>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43" t="s">
        <v>2331</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48">
        <v>1</v>
      </c>
      <c r="K36" s="3649"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48"/>
      <c r="K40" s="3651"/>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45625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2024-11</v>
      </c>
      <c r="D58" s="1185">
        <f>EDATE(C58,-1)</f>
        <v>45566</v>
      </c>
      <c r="E58" s="1185">
        <f>EDATE(D58,-1)</f>
        <v>45536</v>
      </c>
      <c r="F58" s="1185">
        <f t="shared" ref="F58:O58" si="19">EDATE(E58,-1)</f>
        <v>45505</v>
      </c>
      <c r="G58" s="1185">
        <f t="shared" si="19"/>
        <v>45474</v>
      </c>
      <c r="H58" s="1185">
        <f t="shared" si="19"/>
        <v>45444</v>
      </c>
      <c r="I58" s="1185">
        <f t="shared" si="19"/>
        <v>45413</v>
      </c>
      <c r="J58" s="1185">
        <f t="shared" si="19"/>
        <v>45383</v>
      </c>
      <c r="K58" s="1185">
        <f t="shared" si="19"/>
        <v>45352</v>
      </c>
      <c r="L58" s="1185">
        <f t="shared" si="19"/>
        <v>45323</v>
      </c>
      <c r="M58" s="1185">
        <f t="shared" si="19"/>
        <v>45292</v>
      </c>
      <c r="N58" s="1185">
        <f t="shared" si="19"/>
        <v>45261</v>
      </c>
      <c r="O58" s="1185">
        <f t="shared" si="19"/>
        <v>45231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45625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2024-11</v>
      </c>
      <c r="D58" s="1185">
        <f>EDATE(C58,-1)</f>
        <v>45566</v>
      </c>
      <c r="E58" s="1185">
        <f t="shared" ref="E58:N58" si="16">EDATE(D58,-1)</f>
        <v>45536</v>
      </c>
      <c r="F58" s="1185">
        <f t="shared" si="16"/>
        <v>45505</v>
      </c>
      <c r="G58" s="1185">
        <f t="shared" si="16"/>
        <v>45474</v>
      </c>
      <c r="H58" s="1185">
        <f t="shared" si="16"/>
        <v>45444</v>
      </c>
      <c r="I58" s="1185">
        <f t="shared" si="16"/>
        <v>45413</v>
      </c>
      <c r="J58" s="1185">
        <f t="shared" si="16"/>
        <v>45383</v>
      </c>
      <c r="K58" s="1185">
        <f t="shared" si="16"/>
        <v>45352</v>
      </c>
      <c r="L58" s="1185">
        <f t="shared" si="16"/>
        <v>45323</v>
      </c>
      <c r="M58" s="1185">
        <f t="shared" si="16"/>
        <v>45292</v>
      </c>
      <c r="N58" s="1185">
        <f t="shared" si="16"/>
        <v>45261</v>
      </c>
      <c r="O58" s="1185">
        <f>EDATE(N58,-1)</f>
        <v>45231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45625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2024-11</v>
      </c>
      <c r="D59" s="1185">
        <f>EDATE(C59,-1)</f>
        <v>45566</v>
      </c>
      <c r="E59" s="1185">
        <f>EDATE(D59,-1)</f>
        <v>45536</v>
      </c>
      <c r="F59" s="1185">
        <f t="shared" ref="F59:O59" si="16">EDATE(E59,-1)</f>
        <v>45505</v>
      </c>
      <c r="G59" s="1185">
        <f t="shared" si="16"/>
        <v>45474</v>
      </c>
      <c r="H59" s="1185">
        <f t="shared" si="16"/>
        <v>45444</v>
      </c>
      <c r="I59" s="1185">
        <f t="shared" si="16"/>
        <v>45413</v>
      </c>
      <c r="J59" s="1185">
        <f t="shared" si="16"/>
        <v>45383</v>
      </c>
      <c r="K59" s="1185">
        <f t="shared" si="16"/>
        <v>45352</v>
      </c>
      <c r="L59" s="1185">
        <f t="shared" si="16"/>
        <v>45323</v>
      </c>
      <c r="M59" s="1185">
        <f t="shared" si="16"/>
        <v>45292</v>
      </c>
      <c r="N59" s="1185">
        <f t="shared" si="16"/>
        <v>45261</v>
      </c>
      <c r="O59" s="1185">
        <f t="shared" si="16"/>
        <v>45231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45625</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2024-11</v>
      </c>
      <c r="D52" s="1185">
        <f>EDATE(C52,-1)</f>
        <v>45566</v>
      </c>
      <c r="E52" s="1185">
        <f t="shared" ref="E52:O52" si="16">EDATE(D52,-1)</f>
        <v>45536</v>
      </c>
      <c r="F52" s="1185">
        <f t="shared" si="16"/>
        <v>45505</v>
      </c>
      <c r="G52" s="1185">
        <f t="shared" si="16"/>
        <v>45474</v>
      </c>
      <c r="H52" s="1185">
        <f t="shared" si="16"/>
        <v>45444</v>
      </c>
      <c r="I52" s="1185">
        <f t="shared" si="16"/>
        <v>45413</v>
      </c>
      <c r="J52" s="1185">
        <f t="shared" si="16"/>
        <v>45383</v>
      </c>
      <c r="K52" s="1185">
        <f t="shared" si="16"/>
        <v>45352</v>
      </c>
      <c r="L52" s="1185">
        <f t="shared" si="16"/>
        <v>45323</v>
      </c>
      <c r="M52" s="1185">
        <f t="shared" si="16"/>
        <v>45292</v>
      </c>
      <c r="N52" s="1185">
        <f t="shared" si="16"/>
        <v>45261</v>
      </c>
      <c r="O52" s="1185">
        <f t="shared" si="16"/>
        <v>45231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2024年11月29日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45625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2024-11</v>
      </c>
      <c r="D48" s="1185">
        <f>EDATE(C48,-1)</f>
        <v>45566</v>
      </c>
      <c r="E48" s="1185">
        <f t="shared" ref="E48:O48" si="16">EDATE(D48,-1)</f>
        <v>45536</v>
      </c>
      <c r="F48" s="1185">
        <f t="shared" si="16"/>
        <v>45505</v>
      </c>
      <c r="G48" s="1185">
        <f t="shared" si="16"/>
        <v>45474</v>
      </c>
      <c r="H48" s="1185">
        <f t="shared" si="16"/>
        <v>45444</v>
      </c>
      <c r="I48" s="1185">
        <f t="shared" si="16"/>
        <v>45413</v>
      </c>
      <c r="J48" s="1185">
        <f t="shared" si="16"/>
        <v>45383</v>
      </c>
      <c r="K48" s="1185">
        <f t="shared" si="16"/>
        <v>45352</v>
      </c>
      <c r="L48" s="1185">
        <f t="shared" si="16"/>
        <v>45323</v>
      </c>
      <c r="M48" s="1185">
        <f t="shared" si="16"/>
        <v>45292</v>
      </c>
      <c r="N48" s="1185">
        <f t="shared" si="16"/>
        <v>45261</v>
      </c>
      <c r="O48" s="1185">
        <f t="shared" si="16"/>
        <v>45231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45625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2024-11</v>
      </c>
      <c r="D46" s="1185">
        <f>EDATE(C46,-1)</f>
        <v>45566</v>
      </c>
      <c r="E46" s="1185">
        <f t="shared" ref="E46:O46" si="16">EDATE(D46,-1)</f>
        <v>45536</v>
      </c>
      <c r="F46" s="1185">
        <f t="shared" si="16"/>
        <v>45505</v>
      </c>
      <c r="G46" s="1185">
        <f t="shared" si="16"/>
        <v>45474</v>
      </c>
      <c r="H46" s="1185">
        <f t="shared" si="16"/>
        <v>45444</v>
      </c>
      <c r="I46" s="1185">
        <f t="shared" si="16"/>
        <v>45413</v>
      </c>
      <c r="J46" s="1185">
        <f t="shared" si="16"/>
        <v>45383</v>
      </c>
      <c r="K46" s="1185">
        <f t="shared" si="16"/>
        <v>45352</v>
      </c>
      <c r="L46" s="1185">
        <f t="shared" si="16"/>
        <v>45323</v>
      </c>
      <c r="M46" s="1185">
        <f t="shared" si="16"/>
        <v>45292</v>
      </c>
      <c r="N46" s="1185">
        <f t="shared" si="16"/>
        <v>45261</v>
      </c>
      <c r="O46" s="1185">
        <f t="shared" si="16"/>
        <v>45231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45625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7"/>
      <c r="Q10" s="1343" t="str">
        <f t="shared" si="6"/>
        <v>土地使用年限（年）</v>
      </c>
      <c r="R10" s="701" t="s">
        <v>14</v>
      </c>
      <c r="S10" s="702" t="e">
        <f t="shared" si="0"/>
        <v>#DIV/0!</v>
      </c>
      <c r="T10" s="701" t="s">
        <v>14</v>
      </c>
      <c r="U10" s="702" t="e">
        <f t="shared" si="1"/>
        <v>#DIV/0!</v>
      </c>
      <c r="V10" s="701" t="s">
        <v>14</v>
      </c>
      <c r="W10" s="702" t="e">
        <f t="shared" si="2"/>
        <v>#DIV/0!</v>
      </c>
      <c r="X10" s="703"/>
      <c r="Y10" s="360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2024-11-1</v>
      </c>
      <c r="D67" s="692">
        <f>EDATE(C67,-3)</f>
        <v>45505</v>
      </c>
      <c r="E67" s="692">
        <f>EDATE(D67,-3)</f>
        <v>45413</v>
      </c>
      <c r="F67" s="692">
        <f t="shared" ref="F67:O67" si="18">EDATE(E67,-3)</f>
        <v>45323</v>
      </c>
      <c r="G67" s="692">
        <f t="shared" si="18"/>
        <v>45231</v>
      </c>
      <c r="H67" s="692">
        <f t="shared" si="18"/>
        <v>45139</v>
      </c>
      <c r="I67" s="692">
        <f t="shared" si="18"/>
        <v>45047</v>
      </c>
      <c r="J67" s="692">
        <f t="shared" si="18"/>
        <v>44958</v>
      </c>
      <c r="K67" s="692">
        <f t="shared" si="18"/>
        <v>44866</v>
      </c>
      <c r="L67" s="692">
        <f t="shared" si="18"/>
        <v>44774</v>
      </c>
      <c r="M67" s="692">
        <f t="shared" si="18"/>
        <v>44682</v>
      </c>
      <c r="N67" s="692">
        <f t="shared" si="18"/>
        <v>44593</v>
      </c>
      <c r="O67" s="692">
        <f t="shared" si="18"/>
        <v>44501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45625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7"/>
      <c r="Q10" s="1343" t="str">
        <f t="shared" si="6"/>
        <v>土地使用年限（年）</v>
      </c>
      <c r="R10" s="701" t="s">
        <v>14</v>
      </c>
      <c r="S10" s="702" t="e">
        <f t="shared" si="0"/>
        <v>#DIV/0!</v>
      </c>
      <c r="T10" s="701" t="s">
        <v>14</v>
      </c>
      <c r="U10" s="702" t="e">
        <f t="shared" si="1"/>
        <v>#DIV/0!</v>
      </c>
      <c r="V10" s="701" t="s">
        <v>14</v>
      </c>
      <c r="W10" s="702" t="e">
        <f t="shared" si="2"/>
        <v>#DIV/0!</v>
      </c>
      <c r="X10" s="703"/>
      <c r="Y10" s="360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2024-11-1</v>
      </c>
      <c r="D63" s="692">
        <f>EDATE(C63,-3)</f>
        <v>45505</v>
      </c>
      <c r="E63" s="692">
        <f>EDATE(D63,-3)</f>
        <v>45413</v>
      </c>
      <c r="F63" s="692">
        <f t="shared" ref="F63:O63" si="18">EDATE(E63,-3)</f>
        <v>45323</v>
      </c>
      <c r="G63" s="692">
        <f t="shared" si="18"/>
        <v>45231</v>
      </c>
      <c r="H63" s="692">
        <f t="shared" si="18"/>
        <v>45139</v>
      </c>
      <c r="I63" s="692">
        <f t="shared" si="18"/>
        <v>45047</v>
      </c>
      <c r="J63" s="692">
        <f t="shared" si="18"/>
        <v>44958</v>
      </c>
      <c r="K63" s="692">
        <f t="shared" si="18"/>
        <v>44866</v>
      </c>
      <c r="L63" s="692">
        <f t="shared" si="18"/>
        <v>44774</v>
      </c>
      <c r="M63" s="692">
        <f t="shared" si="18"/>
        <v>44682</v>
      </c>
      <c r="N63" s="692">
        <f t="shared" si="18"/>
        <v>44593</v>
      </c>
      <c r="O63" s="692">
        <f t="shared" si="18"/>
        <v>44501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t="e">
        <f>ROUND(G18/I18,2)</f>
        <v>#DIV/0!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3256</v>
      </c>
      <c r="B20" s="167" t="s">
        <v>1994</v>
      </c>
      <c r="C20" s="3325" t="e">
        <f>ROUND(IF(F21="与级别开发程度一致",0,(G21-E21)/C21),0)</f>
        <v>#DIV/0!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45625</v>
      </c>
      <c r="H23" s="3343" t="s">
        <v>3258</v>
      </c>
      <c r="I23" s="3344" t="str">
        <f>IF(H23="季度增幅（自定义）",SUMIF(N25:N28,E2,O25:O28),"")</f>
        <v/>
      </c>
      <c r="J23" s="3446" t="s">
        <v>3257</v>
      </c>
      <c r="K23" s="1125"/>
      <c r="L23" s="2055" t="s">
        <v>2004</v>
      </c>
      <c r="M23" s="1328">
        <f>ROUND(SUMIF(地价!B2:G2,E2,地价!B16:G16),0)</f>
        <v>0</v>
      </c>
      <c r="N23" s="2056" t="s">
        <v>2005</v>
      </c>
      <c r="O23" s="763">
        <f>ROUNDDOWN(DATEDIF(E23,G23,"M")/3,0)</f>
        <v>15</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3268</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3296</v>
      </c>
      <c r="B103" s="3751"/>
      <c r="C103" s="3751"/>
      <c r="D103" s="3751"/>
      <c r="E103" s="3751"/>
      <c r="F103" s="3751"/>
      <c r="G103" s="3751"/>
      <c r="H103" s="3751"/>
      <c r="I103" s="3751"/>
      <c r="J103" s="3751"/>
      <c r="K103" s="3390"/>
      <c r="L103" s="3390"/>
      <c r="M103" s="3390"/>
      <c r="N103" s="3390"/>
    </row>
    <row r="104" spans="1:14">
      <c r="A104" s="3752" t="s">
        <v>3297</v>
      </c>
      <c r="B104" s="3752" t="s">
        <v>3298</v>
      </c>
      <c r="C104" s="3391" t="s">
        <v>3299</v>
      </c>
      <c r="D104" s="3392"/>
      <c r="E104" s="3392"/>
      <c r="F104" s="3392"/>
      <c r="G104" s="3392"/>
      <c r="H104" s="3392"/>
      <c r="I104" s="3392"/>
      <c r="J104" s="3393"/>
      <c r="K104" s="3394"/>
      <c r="L104" s="3394"/>
      <c r="M104" s="3394"/>
      <c r="N104" s="3394"/>
    </row>
    <row r="105" spans="1:14">
      <c r="A105" s="3752"/>
      <c r="B105" s="3752"/>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38"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3313</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0</v>
      </c>
      <c r="C116" s="3400" t="s">
        <v>3315</v>
      </c>
      <c r="D116" s="3401">
        <f>SUMPRODUCT((A118:A122=F116)*(B117:M117=H116)*B118:M122)</f>
        <v>0</v>
      </c>
      <c r="E116" s="2000" t="s">
        <v>3316</v>
      </c>
      <c r="F116" s="3402">
        <f>E2</f>
        <v>0</v>
      </c>
      <c r="G116" s="2000" t="s">
        <v>3317</v>
      </c>
      <c r="H116" s="3402">
        <f>G2</f>
        <v>0</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3331</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3332</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3333</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4" t="s">
        <v>2609</v>
      </c>
      <c r="B20" s="3757" t="s">
        <v>2630</v>
      </c>
      <c r="C20" s="3103" t="s">
        <v>2441</v>
      </c>
      <c r="D20" s="3104"/>
      <c r="E20" s="3105">
        <v>1</v>
      </c>
      <c r="F20" s="3106" t="s">
        <v>2442</v>
      </c>
      <c r="G20" s="3106"/>
    </row>
    <row r="21" spans="1:13" ht="19.5" customHeight="1">
      <c r="A21" s="3765"/>
      <c r="B21" s="3758"/>
      <c r="C21" s="3107" t="s">
        <v>2443</v>
      </c>
      <c r="D21" s="3108"/>
      <c r="E21" s="3109">
        <v>1</v>
      </c>
      <c r="F21" s="3106" t="s">
        <v>2444</v>
      </c>
      <c r="G21" s="3106"/>
    </row>
    <row r="22" spans="1:13" ht="19.5" customHeight="1">
      <c r="A22" s="3765"/>
      <c r="B22" s="3758"/>
      <c r="C22" s="3107" t="s">
        <v>2445</v>
      </c>
      <c r="D22" s="3108"/>
      <c r="E22" s="3109">
        <v>0.9</v>
      </c>
      <c r="F22" s="3106" t="s">
        <v>2446</v>
      </c>
      <c r="G22" s="3106"/>
    </row>
    <row r="23" spans="1:13" ht="19.5" customHeight="1">
      <c r="A23" s="3765"/>
      <c r="B23" s="3758"/>
      <c r="C23" s="3107" t="s">
        <v>2447</v>
      </c>
      <c r="D23" s="3108"/>
      <c r="E23" s="3109">
        <v>0.9</v>
      </c>
      <c r="F23" s="3106" t="s">
        <v>2448</v>
      </c>
      <c r="G23" s="3106"/>
    </row>
    <row r="24" spans="1:13" ht="19.5" customHeight="1">
      <c r="A24" s="3765"/>
      <c r="B24" s="3758"/>
      <c r="C24" s="3107" t="s">
        <v>2449</v>
      </c>
      <c r="D24" s="3108"/>
      <c r="E24" s="3109">
        <v>0.8</v>
      </c>
      <c r="F24" s="3106" t="s">
        <v>2450</v>
      </c>
      <c r="G24" s="3106"/>
    </row>
    <row r="25" spans="1:13" ht="19.5" customHeight="1" thickBot="1">
      <c r="A25" s="3766"/>
      <c r="B25" s="3759"/>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0" t="s">
        <v>2633</v>
      </c>
      <c r="B27" s="3757" t="s">
        <v>2614</v>
      </c>
      <c r="C27" s="3103" t="s">
        <v>2454</v>
      </c>
      <c r="D27" s="3104"/>
      <c r="E27" s="3105">
        <v>1</v>
      </c>
      <c r="F27" s="3106" t="s">
        <v>2455</v>
      </c>
      <c r="G27" s="3106"/>
    </row>
    <row r="28" spans="1:13" ht="19.5" customHeight="1">
      <c r="A28" s="3761"/>
      <c r="B28" s="3758"/>
      <c r="C28" s="3107" t="s">
        <v>2456</v>
      </c>
      <c r="D28" s="3108"/>
      <c r="E28" s="3109">
        <v>1</v>
      </c>
      <c r="F28" s="3106" t="s">
        <v>2457</v>
      </c>
      <c r="G28" s="3106"/>
    </row>
    <row r="29" spans="1:13" ht="19.5" customHeight="1">
      <c r="A29" s="3761"/>
      <c r="B29" s="3758"/>
      <c r="C29" s="3107" t="s">
        <v>2458</v>
      </c>
      <c r="D29" s="3108"/>
      <c r="E29" s="3109">
        <v>0.8</v>
      </c>
      <c r="F29" s="3106" t="s">
        <v>2459</v>
      </c>
      <c r="G29" s="3106"/>
    </row>
    <row r="30" spans="1:13" ht="19.5" customHeight="1">
      <c r="A30" s="3761"/>
      <c r="B30" s="3758"/>
      <c r="C30" s="3107" t="s">
        <v>2460</v>
      </c>
      <c r="D30" s="3108"/>
      <c r="E30" s="3109">
        <v>0.8</v>
      </c>
      <c r="F30" s="3106" t="s">
        <v>2461</v>
      </c>
      <c r="G30" s="3106"/>
    </row>
    <row r="31" spans="1:13" ht="19.5" customHeight="1">
      <c r="A31" s="3761"/>
      <c r="B31" s="3758"/>
      <c r="C31" s="3107" t="s">
        <v>2462</v>
      </c>
      <c r="D31" s="3108"/>
      <c r="E31" s="3109">
        <v>0.8</v>
      </c>
      <c r="F31" s="3106" t="s">
        <v>2463</v>
      </c>
      <c r="G31" s="3106"/>
    </row>
    <row r="32" spans="1:13" ht="19.5" customHeight="1">
      <c r="A32" s="3761"/>
      <c r="B32" s="3758"/>
      <c r="C32" s="3107" t="s">
        <v>2464</v>
      </c>
      <c r="D32" s="3108"/>
      <c r="E32" s="3109">
        <v>0.7</v>
      </c>
      <c r="F32" s="3106" t="s">
        <v>2465</v>
      </c>
      <c r="G32" s="3106"/>
    </row>
    <row r="33" spans="1:7" ht="19.5" customHeight="1">
      <c r="A33" s="3761"/>
      <c r="B33" s="3758"/>
      <c r="C33" s="3107" t="s">
        <v>2466</v>
      </c>
      <c r="D33" s="3108"/>
      <c r="E33" s="3109">
        <v>0.8</v>
      </c>
      <c r="F33" s="3106" t="s">
        <v>2467</v>
      </c>
      <c r="G33" s="3106"/>
    </row>
    <row r="34" spans="1:7" ht="19.5" customHeight="1">
      <c r="A34" s="3761"/>
      <c r="B34" s="3758"/>
      <c r="C34" s="3107" t="s">
        <v>2468</v>
      </c>
      <c r="D34" s="3108"/>
      <c r="E34" s="3109">
        <v>0.6</v>
      </c>
      <c r="F34" s="3106" t="s">
        <v>2469</v>
      </c>
      <c r="G34" s="3106"/>
    </row>
    <row r="35" spans="1:7" ht="19.5" customHeight="1">
      <c r="A35" s="3761"/>
      <c r="B35" s="3758"/>
      <c r="C35" s="3107" t="s">
        <v>2470</v>
      </c>
      <c r="D35" s="3108"/>
      <c r="E35" s="3109">
        <v>0.2</v>
      </c>
      <c r="F35" s="3106" t="s">
        <v>2471</v>
      </c>
      <c r="G35" s="3106"/>
    </row>
    <row r="36" spans="1:7" ht="19.5" customHeight="1">
      <c r="A36" s="3761"/>
      <c r="B36" s="3758"/>
      <c r="C36" s="3107" t="s">
        <v>2472</v>
      </c>
      <c r="D36" s="3108"/>
      <c r="E36" s="3109">
        <v>0.2</v>
      </c>
      <c r="F36" s="3106" t="s">
        <v>2473</v>
      </c>
      <c r="G36" s="3106"/>
    </row>
    <row r="37" spans="1:7" ht="19.5" customHeight="1">
      <c r="A37" s="3761"/>
      <c r="B37" s="3763" t="s">
        <v>2634</v>
      </c>
      <c r="C37" s="3107" t="s">
        <v>2474</v>
      </c>
      <c r="D37" s="3108"/>
      <c r="E37" s="3109">
        <v>0.6</v>
      </c>
      <c r="F37" s="3106" t="s">
        <v>2475</v>
      </c>
      <c r="G37" s="3106"/>
    </row>
    <row r="38" spans="1:7" ht="19.5" customHeight="1">
      <c r="A38" s="3761"/>
      <c r="B38" s="3758"/>
      <c r="C38" s="3107" t="s">
        <v>2476</v>
      </c>
      <c r="D38" s="3108"/>
      <c r="E38" s="3109">
        <v>0.6</v>
      </c>
      <c r="F38" s="3106" t="s">
        <v>2477</v>
      </c>
      <c r="G38" s="3106"/>
    </row>
    <row r="39" spans="1:7" ht="19.5" customHeight="1" thickBot="1">
      <c r="A39" s="3762"/>
      <c r="B39" s="3759"/>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4" t="s">
        <v>2612</v>
      </c>
      <c r="B41" s="3757" t="s">
        <v>2636</v>
      </c>
      <c r="C41" s="3103" t="s">
        <v>2481</v>
      </c>
      <c r="D41" s="3104"/>
      <c r="E41" s="3105">
        <v>1</v>
      </c>
      <c r="F41" s="3106" t="s">
        <v>2482</v>
      </c>
      <c r="G41" s="3106"/>
    </row>
    <row r="42" spans="1:7" ht="19.5" customHeight="1">
      <c r="A42" s="3765"/>
      <c r="B42" s="3758"/>
      <c r="C42" s="3107" t="s">
        <v>2483</v>
      </c>
      <c r="D42" s="3108"/>
      <c r="E42" s="3109">
        <v>1</v>
      </c>
      <c r="F42" s="3106" t="s">
        <v>2484</v>
      </c>
      <c r="G42" s="3106"/>
    </row>
    <row r="43" spans="1:7" ht="19.5" customHeight="1">
      <c r="A43" s="3765"/>
      <c r="B43" s="3767"/>
      <c r="C43" s="3107" t="s">
        <v>2485</v>
      </c>
      <c r="D43" s="3108"/>
      <c r="E43" s="3109">
        <v>1.5</v>
      </c>
      <c r="F43" s="3106" t="s">
        <v>2486</v>
      </c>
      <c r="G43" s="3106"/>
    </row>
    <row r="44" spans="1:7" ht="19.5" customHeight="1">
      <c r="A44" s="3765"/>
      <c r="B44" s="3118" t="s">
        <v>2637</v>
      </c>
      <c r="C44" s="3107" t="s">
        <v>2638</v>
      </c>
      <c r="D44" s="3108"/>
      <c r="E44" s="3109">
        <v>2</v>
      </c>
      <c r="F44" s="3106" t="s">
        <v>2487</v>
      </c>
      <c r="G44" s="3106"/>
    </row>
    <row r="45" spans="1:7" ht="19.5" customHeight="1">
      <c r="A45" s="3765"/>
      <c r="B45" s="3763" t="s">
        <v>2639</v>
      </c>
      <c r="C45" s="3107" t="s">
        <v>2488</v>
      </c>
      <c r="D45" s="3108"/>
      <c r="E45" s="3109">
        <v>1</v>
      </c>
      <c r="F45" s="3106" t="s">
        <v>2489</v>
      </c>
      <c r="G45" s="3106"/>
    </row>
    <row r="46" spans="1:7" ht="19.5" customHeight="1">
      <c r="A46" s="3765"/>
      <c r="B46" s="3758"/>
      <c r="C46" s="3107" t="s">
        <v>2490</v>
      </c>
      <c r="D46" s="3108"/>
      <c r="E46" s="3109">
        <v>1</v>
      </c>
      <c r="F46" s="3106" t="s">
        <v>2491</v>
      </c>
      <c r="G46" s="3106"/>
    </row>
    <row r="47" spans="1:7" ht="19.5" customHeight="1">
      <c r="A47" s="3765"/>
      <c r="B47" s="3758"/>
      <c r="C47" s="3107" t="s">
        <v>2492</v>
      </c>
      <c r="D47" s="3108"/>
      <c r="E47" s="3109">
        <v>1</v>
      </c>
      <c r="F47" s="3106" t="s">
        <v>2493</v>
      </c>
      <c r="G47" s="3106"/>
    </row>
    <row r="48" spans="1:7" ht="19.5" customHeight="1">
      <c r="A48" s="3765"/>
      <c r="B48" s="3758"/>
      <c r="C48" s="3107" t="s">
        <v>2494</v>
      </c>
      <c r="D48" s="3108"/>
      <c r="E48" s="3109">
        <v>1</v>
      </c>
      <c r="F48" s="3106" t="s">
        <v>2495</v>
      </c>
      <c r="G48" s="3106"/>
    </row>
    <row r="49" spans="1:7" ht="19.5" customHeight="1">
      <c r="A49" s="3765"/>
      <c r="B49" s="3758"/>
      <c r="C49" s="3107" t="s">
        <v>2496</v>
      </c>
      <c r="D49" s="3108"/>
      <c r="E49" s="3109">
        <v>1</v>
      </c>
      <c r="F49" s="3106" t="s">
        <v>2497</v>
      </c>
      <c r="G49" s="3106"/>
    </row>
    <row r="50" spans="1:7" ht="19.5" customHeight="1">
      <c r="A50" s="3765"/>
      <c r="B50" s="3758"/>
      <c r="C50" s="3107" t="s">
        <v>2498</v>
      </c>
      <c r="D50" s="3108"/>
      <c r="E50" s="3109">
        <v>1</v>
      </c>
      <c r="F50" s="3106" t="s">
        <v>2499</v>
      </c>
      <c r="G50" s="3106"/>
    </row>
    <row r="51" spans="1:7" ht="19.5" customHeight="1" thickBot="1">
      <c r="A51" s="3766"/>
      <c r="B51" s="3759"/>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3" t="s">
        <v>2653</v>
      </c>
      <c r="C73" s="3092" t="s">
        <v>2654</v>
      </c>
      <c r="D73" s="3092" t="s">
        <v>2655</v>
      </c>
      <c r="E73" s="3118">
        <v>0.2</v>
      </c>
      <c r="F73" s="3118">
        <v>25</v>
      </c>
    </row>
    <row r="74" spans="1:7" ht="24">
      <c r="A74" s="3118">
        <v>2</v>
      </c>
      <c r="B74" s="3758"/>
      <c r="C74" s="3092" t="s">
        <v>2656</v>
      </c>
      <c r="D74" s="3092" t="s">
        <v>2657</v>
      </c>
      <c r="E74" s="3118">
        <v>0.2</v>
      </c>
      <c r="F74" s="3118">
        <v>25</v>
      </c>
    </row>
    <row r="75" spans="1:7" ht="24">
      <c r="A75" s="3118">
        <v>3</v>
      </c>
      <c r="B75" s="3758"/>
      <c r="C75" s="3092" t="s">
        <v>2658</v>
      </c>
      <c r="D75" s="3092" t="s">
        <v>2659</v>
      </c>
      <c r="E75" s="3118">
        <v>0.2</v>
      </c>
      <c r="F75" s="3118">
        <v>25</v>
      </c>
    </row>
    <row r="76" spans="1:7" ht="13.5">
      <c r="A76" s="3118">
        <v>4</v>
      </c>
      <c r="B76" s="3758"/>
      <c r="C76" s="3092" t="s">
        <v>2660</v>
      </c>
      <c r="D76" s="3092" t="s">
        <v>2661</v>
      </c>
      <c r="E76" s="3118">
        <v>0.15</v>
      </c>
      <c r="F76" s="3118">
        <v>20</v>
      </c>
    </row>
    <row r="77" spans="1:7" ht="24">
      <c r="A77" s="3118">
        <v>5</v>
      </c>
      <c r="B77" s="3758"/>
      <c r="C77" s="3092" t="s">
        <v>2662</v>
      </c>
      <c r="D77" s="3092" t="s">
        <v>2663</v>
      </c>
      <c r="E77" s="3118">
        <v>0.15</v>
      </c>
      <c r="F77" s="3118">
        <v>20</v>
      </c>
    </row>
    <row r="78" spans="1:7" ht="24">
      <c r="A78" s="3118">
        <v>6</v>
      </c>
      <c r="B78" s="3758"/>
      <c r="C78" s="3092" t="s">
        <v>2664</v>
      </c>
      <c r="D78" s="3092" t="s">
        <v>2665</v>
      </c>
      <c r="E78" s="3118">
        <v>0.15</v>
      </c>
      <c r="F78" s="3118">
        <v>20</v>
      </c>
    </row>
    <row r="79" spans="1:7" ht="24">
      <c r="A79" s="3118">
        <v>7</v>
      </c>
      <c r="B79" s="3758"/>
      <c r="C79" s="3092" t="s">
        <v>2666</v>
      </c>
      <c r="D79" s="3092" t="s">
        <v>2667</v>
      </c>
      <c r="E79" s="3118">
        <v>0.15</v>
      </c>
      <c r="F79" s="3118">
        <v>20</v>
      </c>
    </row>
    <row r="80" spans="1:7" ht="24">
      <c r="A80" s="3118">
        <v>8</v>
      </c>
      <c r="B80" s="3758"/>
      <c r="C80" s="3092" t="s">
        <v>2668</v>
      </c>
      <c r="D80" s="3092" t="s">
        <v>2669</v>
      </c>
      <c r="E80" s="3118">
        <v>0.1</v>
      </c>
      <c r="F80" s="3118">
        <v>15</v>
      </c>
    </row>
    <row r="81" spans="1:6" ht="24">
      <c r="A81" s="3118">
        <v>9</v>
      </c>
      <c r="B81" s="3758"/>
      <c r="C81" s="3092" t="s">
        <v>2670</v>
      </c>
      <c r="D81" s="3092" t="s">
        <v>2671</v>
      </c>
      <c r="E81" s="3118">
        <v>0.1</v>
      </c>
      <c r="F81" s="3118">
        <v>15</v>
      </c>
    </row>
    <row r="82" spans="1:6" ht="24">
      <c r="A82" s="3118">
        <v>10</v>
      </c>
      <c r="B82" s="3758"/>
      <c r="C82" s="3092" t="s">
        <v>2672</v>
      </c>
      <c r="D82" s="3092" t="s">
        <v>2673</v>
      </c>
      <c r="E82" s="3118">
        <v>0.1</v>
      </c>
      <c r="F82" s="3118">
        <v>15</v>
      </c>
    </row>
    <row r="83" spans="1:6" ht="24">
      <c r="A83" s="3118">
        <v>11</v>
      </c>
      <c r="B83" s="3758"/>
      <c r="C83" s="3092" t="s">
        <v>2674</v>
      </c>
      <c r="D83" s="3092" t="s">
        <v>2675</v>
      </c>
      <c r="E83" s="3118">
        <v>0.1</v>
      </c>
      <c r="F83" s="3118">
        <v>15</v>
      </c>
    </row>
    <row r="84" spans="1:6" ht="24">
      <c r="A84" s="3118">
        <v>12</v>
      </c>
      <c r="B84" s="3758"/>
      <c r="C84" s="3092" t="s">
        <v>2676</v>
      </c>
      <c r="D84" s="3092" t="s">
        <v>2677</v>
      </c>
      <c r="E84" s="3118">
        <v>0.1</v>
      </c>
      <c r="F84" s="3118">
        <v>15</v>
      </c>
    </row>
    <row r="85" spans="1:6" ht="13.5">
      <c r="A85" s="3118">
        <v>13</v>
      </c>
      <c r="B85" s="3758"/>
      <c r="C85" s="3092" t="s">
        <v>2678</v>
      </c>
      <c r="D85" s="3092" t="s">
        <v>2679</v>
      </c>
      <c r="E85" s="3118">
        <v>0.1</v>
      </c>
      <c r="F85" s="3118">
        <v>15</v>
      </c>
    </row>
    <row r="86" spans="1:6" ht="13.5">
      <c r="A86" s="3118">
        <v>14</v>
      </c>
      <c r="B86" s="3758"/>
      <c r="C86" s="3092" t="s">
        <v>2680</v>
      </c>
      <c r="D86" s="3092" t="s">
        <v>2681</v>
      </c>
      <c r="E86" s="3118">
        <v>0.1</v>
      </c>
      <c r="F86" s="3118">
        <v>15</v>
      </c>
    </row>
    <row r="87" spans="1:6" ht="13.5">
      <c r="A87" s="3118">
        <v>15</v>
      </c>
      <c r="B87" s="3758"/>
      <c r="C87" s="3092" t="s">
        <v>2682</v>
      </c>
      <c r="D87" s="3092" t="s">
        <v>2683</v>
      </c>
      <c r="E87" s="3118">
        <v>0.1</v>
      </c>
      <c r="F87" s="3118">
        <v>15</v>
      </c>
    </row>
    <row r="88" spans="1:6" ht="24">
      <c r="A88" s="3118">
        <v>16</v>
      </c>
      <c r="B88" s="3758"/>
      <c r="C88" s="3092" t="s">
        <v>2684</v>
      </c>
      <c r="D88" s="3092" t="s">
        <v>2685</v>
      </c>
      <c r="E88" s="3118">
        <v>0.1</v>
      </c>
      <c r="F88" s="3118">
        <v>15</v>
      </c>
    </row>
    <row r="89" spans="1:6" ht="24">
      <c r="A89" s="3118">
        <v>17</v>
      </c>
      <c r="B89" s="3767"/>
      <c r="C89" s="3092" t="s">
        <v>2686</v>
      </c>
      <c r="D89" s="3092" t="s">
        <v>2687</v>
      </c>
      <c r="E89" s="3118">
        <v>0.1</v>
      </c>
      <c r="F89" s="3118">
        <v>15</v>
      </c>
    </row>
    <row r="90" spans="1:6" ht="13.5">
      <c r="A90" s="3118">
        <v>18</v>
      </c>
      <c r="B90" s="3763" t="s">
        <v>2688</v>
      </c>
      <c r="C90" s="3092" t="s">
        <v>2689</v>
      </c>
      <c r="D90" s="3092" t="s">
        <v>2690</v>
      </c>
      <c r="E90" s="3118">
        <v>0.2</v>
      </c>
      <c r="F90" s="3118">
        <v>25</v>
      </c>
    </row>
    <row r="91" spans="1:6" ht="24">
      <c r="A91" s="3118">
        <v>19</v>
      </c>
      <c r="B91" s="3758"/>
      <c r="C91" s="3092" t="s">
        <v>2691</v>
      </c>
      <c r="D91" s="3092" t="s">
        <v>2692</v>
      </c>
      <c r="E91" s="3118">
        <v>0.2</v>
      </c>
      <c r="F91" s="3118">
        <v>25</v>
      </c>
    </row>
    <row r="92" spans="1:6" ht="13.5">
      <c r="A92" s="3118">
        <v>20</v>
      </c>
      <c r="B92" s="3758"/>
      <c r="C92" s="3092" t="s">
        <v>2693</v>
      </c>
      <c r="D92" s="3092" t="s">
        <v>2694</v>
      </c>
      <c r="E92" s="3118">
        <v>0.15</v>
      </c>
      <c r="F92" s="3118">
        <v>20</v>
      </c>
    </row>
    <row r="93" spans="1:6" ht="13.5">
      <c r="A93" s="3118">
        <v>21</v>
      </c>
      <c r="B93" s="3758"/>
      <c r="C93" s="3092" t="s">
        <v>2695</v>
      </c>
      <c r="D93" s="3092" t="s">
        <v>2696</v>
      </c>
      <c r="E93" s="3118">
        <v>0.15</v>
      </c>
      <c r="F93" s="3118">
        <v>20</v>
      </c>
    </row>
    <row r="94" spans="1:6" ht="13.5">
      <c r="A94" s="3118">
        <v>22</v>
      </c>
      <c r="B94" s="3758"/>
      <c r="C94" s="3092" t="s">
        <v>2697</v>
      </c>
      <c r="D94" s="3092" t="s">
        <v>2698</v>
      </c>
      <c r="E94" s="3118">
        <v>0.15</v>
      </c>
      <c r="F94" s="3118">
        <v>20</v>
      </c>
    </row>
    <row r="95" spans="1:6" ht="36">
      <c r="A95" s="3118">
        <v>23</v>
      </c>
      <c r="B95" s="3758"/>
      <c r="C95" s="3092" t="s">
        <v>2699</v>
      </c>
      <c r="D95" s="3092" t="s">
        <v>2700</v>
      </c>
      <c r="E95" s="3118">
        <v>0.15</v>
      </c>
      <c r="F95" s="3118">
        <v>20</v>
      </c>
    </row>
    <row r="96" spans="1:6" ht="13.5">
      <c r="A96" s="3118">
        <v>24</v>
      </c>
      <c r="B96" s="3758"/>
      <c r="C96" s="3092" t="s">
        <v>2701</v>
      </c>
      <c r="D96" s="3092" t="s">
        <v>2702</v>
      </c>
      <c r="E96" s="3118">
        <v>0.1</v>
      </c>
      <c r="F96" s="3118">
        <v>15</v>
      </c>
    </row>
    <row r="97" spans="1:6" ht="13.5">
      <c r="A97" s="3118">
        <v>25</v>
      </c>
      <c r="B97" s="3758"/>
      <c r="C97" s="3092" t="s">
        <v>2703</v>
      </c>
      <c r="D97" s="3092" t="s">
        <v>2704</v>
      </c>
      <c r="E97" s="3118">
        <v>0.1</v>
      </c>
      <c r="F97" s="3118">
        <v>15</v>
      </c>
    </row>
    <row r="98" spans="1:6" ht="24">
      <c r="A98" s="3118">
        <v>26</v>
      </c>
      <c r="B98" s="3758"/>
      <c r="C98" s="3092" t="s">
        <v>2705</v>
      </c>
      <c r="D98" s="3092" t="s">
        <v>2706</v>
      </c>
      <c r="E98" s="3118">
        <v>0.1</v>
      </c>
      <c r="F98" s="3118">
        <v>15</v>
      </c>
    </row>
    <row r="99" spans="1:6" ht="24">
      <c r="A99" s="3118">
        <v>27</v>
      </c>
      <c r="B99" s="3758"/>
      <c r="C99" s="3092" t="s">
        <v>2707</v>
      </c>
      <c r="D99" s="3092" t="s">
        <v>2708</v>
      </c>
      <c r="E99" s="3118">
        <v>0.1</v>
      </c>
      <c r="F99" s="3118">
        <v>15</v>
      </c>
    </row>
    <row r="100" spans="1:6" ht="13.5">
      <c r="A100" s="3118">
        <v>28</v>
      </c>
      <c r="B100" s="3758"/>
      <c r="C100" s="3092" t="s">
        <v>2709</v>
      </c>
      <c r="D100" s="3092" t="s">
        <v>2710</v>
      </c>
      <c r="E100" s="3118">
        <v>0.1</v>
      </c>
      <c r="F100" s="3118">
        <v>15</v>
      </c>
    </row>
    <row r="101" spans="1:6" ht="13.5">
      <c r="A101" s="3118">
        <v>29</v>
      </c>
      <c r="B101" s="3758"/>
      <c r="C101" s="3092" t="s">
        <v>2711</v>
      </c>
      <c r="D101" s="3092" t="s">
        <v>2712</v>
      </c>
      <c r="E101" s="3118">
        <v>0.1</v>
      </c>
      <c r="F101" s="3118">
        <v>15</v>
      </c>
    </row>
    <row r="102" spans="1:6" ht="13.5">
      <c r="A102" s="3118">
        <v>30</v>
      </c>
      <c r="B102" s="3758"/>
      <c r="C102" s="3092" t="s">
        <v>2713</v>
      </c>
      <c r="D102" s="3092" t="s">
        <v>2714</v>
      </c>
      <c r="E102" s="3118">
        <v>0.1</v>
      </c>
      <c r="F102" s="3118">
        <v>15</v>
      </c>
    </row>
    <row r="103" spans="1:6" ht="24">
      <c r="A103" s="3118">
        <v>31</v>
      </c>
      <c r="B103" s="3758"/>
      <c r="C103" s="3092" t="s">
        <v>2715</v>
      </c>
      <c r="D103" s="3092" t="s">
        <v>2716</v>
      </c>
      <c r="E103" s="3118">
        <v>0.1</v>
      </c>
      <c r="F103" s="3118">
        <v>15</v>
      </c>
    </row>
    <row r="104" spans="1:6" ht="24">
      <c r="A104" s="3118">
        <v>32</v>
      </c>
      <c r="B104" s="3758"/>
      <c r="C104" s="3092" t="s">
        <v>2717</v>
      </c>
      <c r="D104" s="3092" t="s">
        <v>2718</v>
      </c>
      <c r="E104" s="3118">
        <v>0.1</v>
      </c>
      <c r="F104" s="3118">
        <v>15</v>
      </c>
    </row>
    <row r="105" spans="1:6" ht="24">
      <c r="A105" s="3118">
        <v>33</v>
      </c>
      <c r="B105" s="3758"/>
      <c r="C105" s="3092" t="s">
        <v>2719</v>
      </c>
      <c r="D105" s="3092" t="s">
        <v>2720</v>
      </c>
      <c r="E105" s="3118">
        <v>0.1</v>
      </c>
      <c r="F105" s="3118">
        <v>15</v>
      </c>
    </row>
    <row r="106" spans="1:6" ht="24">
      <c r="A106" s="3118">
        <v>34</v>
      </c>
      <c r="B106" s="3767"/>
      <c r="C106" s="3092" t="s">
        <v>2721</v>
      </c>
      <c r="D106" s="3092" t="s">
        <v>2722</v>
      </c>
      <c r="E106" s="3118">
        <v>0.1</v>
      </c>
      <c r="F106" s="3118">
        <v>15</v>
      </c>
    </row>
    <row r="107" spans="1:6" ht="24">
      <c r="A107" s="3118">
        <v>35</v>
      </c>
      <c r="B107" s="3763" t="s">
        <v>2723</v>
      </c>
      <c r="C107" s="3118" t="s">
        <v>2724</v>
      </c>
      <c r="D107" s="3092" t="s">
        <v>2725</v>
      </c>
      <c r="E107" s="3118">
        <v>0.15</v>
      </c>
      <c r="F107" s="3118">
        <v>20</v>
      </c>
    </row>
    <row r="108" spans="1:6" ht="13.5">
      <c r="A108" s="3118">
        <v>36</v>
      </c>
      <c r="B108" s="3758"/>
      <c r="C108" s="3118" t="s">
        <v>2726</v>
      </c>
      <c r="D108" s="3092" t="s">
        <v>2727</v>
      </c>
      <c r="E108" s="3118">
        <v>0.15</v>
      </c>
      <c r="F108" s="3118">
        <v>20</v>
      </c>
    </row>
    <row r="109" spans="1:6" ht="13.5">
      <c r="A109" s="3118">
        <v>37</v>
      </c>
      <c r="B109" s="3758"/>
      <c r="C109" s="3118" t="s">
        <v>2728</v>
      </c>
      <c r="D109" s="3092" t="s">
        <v>2729</v>
      </c>
      <c r="E109" s="3118">
        <v>0.15</v>
      </c>
      <c r="F109" s="3118">
        <v>20</v>
      </c>
    </row>
    <row r="110" spans="1:6" ht="13.5">
      <c r="A110" s="3118">
        <v>38</v>
      </c>
      <c r="B110" s="3758"/>
      <c r="C110" s="3118" t="s">
        <v>2730</v>
      </c>
      <c r="D110" s="3092" t="s">
        <v>2731</v>
      </c>
      <c r="E110" s="3118">
        <v>0.1</v>
      </c>
      <c r="F110" s="3118">
        <v>15</v>
      </c>
    </row>
    <row r="111" spans="1:6" ht="24">
      <c r="A111" s="3118">
        <v>39</v>
      </c>
      <c r="B111" s="3758"/>
      <c r="C111" s="3118" t="s">
        <v>2732</v>
      </c>
      <c r="D111" s="3092" t="s">
        <v>2733</v>
      </c>
      <c r="E111" s="3118">
        <v>0.1</v>
      </c>
      <c r="F111" s="3118">
        <v>15</v>
      </c>
    </row>
    <row r="112" spans="1:6" ht="24">
      <c r="A112" s="3118">
        <v>40</v>
      </c>
      <c r="B112" s="3767"/>
      <c r="C112" s="3118" t="s">
        <v>2734</v>
      </c>
      <c r="D112" s="3092" t="s">
        <v>2735</v>
      </c>
      <c r="E112" s="3118">
        <v>0.1</v>
      </c>
      <c r="F112" s="3118">
        <v>15</v>
      </c>
    </row>
    <row r="113" spans="1:6" ht="13.5">
      <c r="A113" s="3118">
        <v>41</v>
      </c>
      <c r="B113" s="3768" t="s">
        <v>2736</v>
      </c>
      <c r="C113" s="3118" t="s">
        <v>2737</v>
      </c>
      <c r="D113" s="3092" t="s">
        <v>2738</v>
      </c>
      <c r="E113" s="3118">
        <v>0.1</v>
      </c>
      <c r="F113" s="3118">
        <v>15</v>
      </c>
    </row>
    <row r="114" spans="1:6" ht="13.5">
      <c r="A114" s="3118">
        <v>42</v>
      </c>
      <c r="B114" s="3768"/>
      <c r="C114" s="3118" t="s">
        <v>2739</v>
      </c>
      <c r="D114" s="3092" t="s">
        <v>2740</v>
      </c>
      <c r="E114" s="3118">
        <v>0.1</v>
      </c>
      <c r="F114" s="3118">
        <v>15</v>
      </c>
    </row>
    <row r="115" spans="1:6" ht="24">
      <c r="A115" s="3118">
        <v>43</v>
      </c>
      <c r="B115" s="3768"/>
      <c r="C115" s="3118" t="s">
        <v>2741</v>
      </c>
      <c r="D115" s="3092" t="s">
        <v>2742</v>
      </c>
      <c r="E115" s="3118">
        <v>0.1</v>
      </c>
      <c r="F115" s="3118">
        <v>15</v>
      </c>
    </row>
    <row r="116" spans="1:6" ht="13.5">
      <c r="A116" s="3118">
        <v>44</v>
      </c>
      <c r="B116" s="3763" t="s">
        <v>2743</v>
      </c>
      <c r="C116" s="3118" t="s">
        <v>2744</v>
      </c>
      <c r="D116" s="3092" t="s">
        <v>2745</v>
      </c>
      <c r="E116" s="3118">
        <v>0.1</v>
      </c>
      <c r="F116" s="3118">
        <v>15</v>
      </c>
    </row>
    <row r="117" spans="1:6" ht="24">
      <c r="A117" s="3118">
        <v>45</v>
      </c>
      <c r="B117" s="3767"/>
      <c r="C117" s="3092" t="s">
        <v>2746</v>
      </c>
      <c r="D117" s="3092" t="s">
        <v>2747</v>
      </c>
      <c r="E117" s="3118">
        <v>0.1</v>
      </c>
      <c r="F117" s="3118">
        <v>15</v>
      </c>
    </row>
    <row r="118" spans="1:6" ht="24">
      <c r="A118" s="3118">
        <v>46</v>
      </c>
      <c r="B118" s="3763" t="s">
        <v>2748</v>
      </c>
      <c r="C118" s="3118" t="s">
        <v>2749</v>
      </c>
      <c r="D118" s="3092" t="s">
        <v>2750</v>
      </c>
      <c r="E118" s="3118">
        <v>0.1</v>
      </c>
      <c r="F118" s="3118">
        <v>15</v>
      </c>
    </row>
    <row r="119" spans="1:6" ht="24">
      <c r="A119" s="3118">
        <v>47</v>
      </c>
      <c r="B119" s="3767"/>
      <c r="C119" s="3118" t="s">
        <v>2751</v>
      </c>
      <c r="D119" s="3092" t="s">
        <v>2752</v>
      </c>
      <c r="E119" s="3118">
        <v>0.1</v>
      </c>
      <c r="F119" s="3118">
        <v>15</v>
      </c>
    </row>
    <row r="120" spans="1:6" ht="13.5">
      <c r="A120" s="3118">
        <v>48</v>
      </c>
      <c r="B120" s="3763" t="s">
        <v>2753</v>
      </c>
      <c r="C120" s="3118" t="s">
        <v>2754</v>
      </c>
      <c r="D120" s="3092" t="s">
        <v>2755</v>
      </c>
      <c r="E120" s="3118">
        <v>0.1</v>
      </c>
      <c r="F120" s="3118">
        <v>15</v>
      </c>
    </row>
    <row r="121" spans="1:6" ht="13.5">
      <c r="A121" s="3118">
        <v>49</v>
      </c>
      <c r="B121" s="3767"/>
      <c r="C121" s="3118" t="s">
        <v>2756</v>
      </c>
      <c r="D121" s="3092" t="s">
        <v>2757</v>
      </c>
      <c r="E121" s="3118">
        <v>0.1</v>
      </c>
      <c r="F121" s="3118">
        <v>15</v>
      </c>
    </row>
    <row r="122" spans="1:6" ht="24">
      <c r="A122" s="3118">
        <v>50</v>
      </c>
      <c r="B122" s="3768" t="s">
        <v>2758</v>
      </c>
      <c r="C122" s="3118" t="s">
        <v>2759</v>
      </c>
      <c r="D122" s="3092" t="s">
        <v>2760</v>
      </c>
      <c r="E122" s="3118">
        <v>0.1</v>
      </c>
      <c r="F122" s="3118">
        <v>15</v>
      </c>
    </row>
    <row r="123" spans="1:6" ht="24">
      <c r="A123" s="3118">
        <v>51</v>
      </c>
      <c r="B123" s="3768"/>
      <c r="C123" s="3118" t="s">
        <v>2761</v>
      </c>
      <c r="D123" s="3092" t="s">
        <v>2762</v>
      </c>
      <c r="E123" s="3118">
        <v>0.1</v>
      </c>
      <c r="F123" s="3118">
        <v>15</v>
      </c>
    </row>
    <row r="124" spans="1:6" ht="24">
      <c r="A124" s="3118">
        <v>52</v>
      </c>
      <c r="B124" s="3768" t="s">
        <v>2763</v>
      </c>
      <c r="C124" s="3118" t="s">
        <v>2764</v>
      </c>
      <c r="D124" s="3092" t="s">
        <v>2765</v>
      </c>
      <c r="E124" s="3118">
        <v>0.1</v>
      </c>
      <c r="F124" s="3118">
        <v>15</v>
      </c>
    </row>
    <row r="125" spans="1:6" ht="24">
      <c r="A125" s="3118">
        <v>53</v>
      </c>
      <c r="B125" s="3768"/>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8" t="s">
        <v>2771</v>
      </c>
      <c r="C127" s="3118" t="s">
        <v>2772</v>
      </c>
      <c r="D127" s="3092" t="s">
        <v>2773</v>
      </c>
      <c r="E127" s="3118">
        <v>0.1</v>
      </c>
      <c r="F127" s="3118">
        <v>15</v>
      </c>
    </row>
    <row r="128" spans="1:6" ht="13.5">
      <c r="A128" s="3118">
        <v>56</v>
      </c>
      <c r="B128" s="3768"/>
      <c r="C128" s="3118" t="s">
        <v>2774</v>
      </c>
      <c r="D128" s="3092" t="s">
        <v>2775</v>
      </c>
      <c r="E128" s="3118">
        <v>0.1</v>
      </c>
      <c r="F128" s="3118">
        <v>15</v>
      </c>
    </row>
    <row r="129" spans="1:6" ht="24">
      <c r="A129" s="3118">
        <v>57</v>
      </c>
      <c r="B129" s="3768"/>
      <c r="C129" s="3118" t="s">
        <v>2776</v>
      </c>
      <c r="D129" s="3092" t="s">
        <v>2777</v>
      </c>
      <c r="E129" s="3118">
        <v>0.1</v>
      </c>
      <c r="F129" s="3118">
        <v>15</v>
      </c>
    </row>
    <row r="130" spans="1:6" ht="24">
      <c r="A130" s="3118">
        <v>58</v>
      </c>
      <c r="B130" s="3768" t="s">
        <v>2778</v>
      </c>
      <c r="C130" s="3118" t="s">
        <v>2779</v>
      </c>
      <c r="D130" s="3092" t="s">
        <v>2780</v>
      </c>
      <c r="E130" s="3118">
        <v>0.1</v>
      </c>
      <c r="F130" s="3118">
        <v>15</v>
      </c>
    </row>
    <row r="131" spans="1:6" ht="13.5">
      <c r="A131" s="3118">
        <v>59</v>
      </c>
      <c r="B131" s="3768"/>
      <c r="C131" s="3118" t="s">
        <v>2781</v>
      </c>
      <c r="D131" s="3092" t="s">
        <v>2782</v>
      </c>
      <c r="E131" s="3118">
        <v>0.1</v>
      </c>
      <c r="F131" s="3118">
        <v>15</v>
      </c>
    </row>
    <row r="132" spans="1:6" ht="13.5">
      <c r="A132" s="3118">
        <v>60</v>
      </c>
      <c r="B132" s="3763" t="s">
        <v>2783</v>
      </c>
      <c r="C132" s="3118" t="s">
        <v>2784</v>
      </c>
      <c r="D132" s="3092" t="s">
        <v>2785</v>
      </c>
      <c r="E132" s="3118">
        <v>0.1</v>
      </c>
      <c r="F132" s="3118">
        <v>15</v>
      </c>
    </row>
    <row r="133" spans="1:6" ht="13.5">
      <c r="A133" s="3118">
        <v>61</v>
      </c>
      <c r="B133" s="3767"/>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8" t="s">
        <v>2791</v>
      </c>
      <c r="C135" s="3118" t="s">
        <v>2792</v>
      </c>
      <c r="D135" s="3092" t="s">
        <v>2793</v>
      </c>
      <c r="E135" s="3118">
        <v>0.1</v>
      </c>
      <c r="F135" s="3118">
        <v>15</v>
      </c>
    </row>
    <row r="136" spans="1:6" ht="13.5">
      <c r="A136" s="3118">
        <v>64</v>
      </c>
      <c r="B136" s="3768"/>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33" t="s">
        <v>94</v>
      </c>
    </row>
    <row r="43" spans="1:7" ht="13.5" customHeight="1">
      <c r="A43" s="780" t="s">
        <v>347</v>
      </c>
      <c r="B43" s="215" t="s">
        <v>426</v>
      </c>
      <c r="C43" s="238" t="e">
        <f ca="1">ROUND(IF('数据-取费表'!B22&lt;=1,C39*F22*'数据-取费表'!B21/2,C39*(POWER((1+F22),'数据-取费表'!B21/2)-1)),0)</f>
        <v>#VALUE!</v>
      </c>
      <c r="D43" s="238"/>
      <c r="E43" s="238"/>
      <c r="F43" s="239"/>
      <c r="G43" s="3634"/>
    </row>
    <row r="44" spans="1:7" ht="13.5" customHeight="1">
      <c r="A44" s="780" t="s">
        <v>348</v>
      </c>
      <c r="B44" s="215" t="s">
        <v>428</v>
      </c>
      <c r="C44" s="238" t="e">
        <f ca="1">ROUND(IF('数据-取费表'!B22&lt;=1,C40*F22*'数据-取费表'!B21/2,C40*(POWER((1+F22),'数据-取费表'!B21/2)-1)),4)</f>
        <v>#VALUE!</v>
      </c>
      <c r="D44" s="238"/>
      <c r="E44" s="238"/>
      <c r="F44" s="239"/>
      <c r="G44" s="363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t="e">
        <f ca="1">结果表!H101</f>
        <v>#REF!</v>
      </c>
      <c r="E5" s="1491"/>
    </row>
    <row r="6" spans="1:5" ht="15.75">
      <c r="A6" s="1491"/>
      <c r="B6" s="3452"/>
      <c r="C6" s="1494" t="s">
        <v>911</v>
      </c>
      <c r="D6" s="850" t="e">
        <f ca="1">NUMBERSTRING(INT(D5*10000),2)&amp;"元整"</f>
        <v>#REF!</v>
      </c>
      <c r="E6" s="1491"/>
    </row>
    <row r="7" spans="1:5" ht="15.75">
      <c r="A7" s="1491"/>
      <c r="B7" s="3457"/>
      <c r="C7" s="1495" t="s">
        <v>912</v>
      </c>
      <c r="D7" s="851" t="e">
        <f ca="1">结果表!H102</f>
        <v>#REF!</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t="e">
        <f ca="1">结果表!H107</f>
        <v>#REF!</v>
      </c>
      <c r="E13" s="1491"/>
    </row>
    <row r="14" spans="1:5" ht="15.75">
      <c r="A14" s="1491"/>
      <c r="B14" s="3452"/>
      <c r="C14" s="1494" t="s">
        <v>911</v>
      </c>
      <c r="D14" s="850" t="e">
        <f ca="1">NUMBERSTRING(INT(D13*10000),2)&amp;"元整"</f>
        <v>#REF!</v>
      </c>
      <c r="E14" s="1491"/>
    </row>
    <row r="15" spans="1:5" ht="15">
      <c r="A15" s="1491"/>
      <c r="B15" s="3457"/>
      <c r="C15" s="1495" t="s">
        <v>921</v>
      </c>
      <c r="D15" s="859" t="e">
        <f ca="1">结果表!H108</f>
        <v>#REF!</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2841</v>
      </c>
      <c r="B1" s="3771"/>
      <c r="C1" s="3771"/>
      <c r="D1" s="3771"/>
      <c r="E1" s="3771"/>
      <c r="F1" s="3771"/>
      <c r="G1" s="3772"/>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69"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0"/>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3183</v>
      </c>
      <c r="B1" s="3773"/>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3234</v>
      </c>
      <c r="B1" s="3774"/>
      <c r="C1" s="3774"/>
      <c r="D1" s="3774"/>
      <c r="E1" s="3774"/>
      <c r="F1" s="3775"/>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1">
        <f>基准地价修正!G23</f>
        <v>45625</v>
      </c>
      <c r="B1" s="3210" t="s">
        <v>3384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3389</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3388</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3381</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3377</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3373</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3372</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3370</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3369</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3368</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3387</v>
      </c>
    </row>
    <row r="24" spans="1:30" s="3009" customFormat="1">
      <c r="I24" s="3208" t="s">
        <v>2827</v>
      </c>
    </row>
    <row r="25" spans="1:30" s="3009" customFormat="1"/>
    <row r="26" spans="1:30" s="3209" customFormat="1" ht="12.75">
      <c r="B26" s="3210" t="s">
        <v>3385</v>
      </c>
      <c r="C26" s="3211"/>
      <c r="D26" s="3211"/>
      <c r="E26" s="3211"/>
      <c r="F26" s="3211"/>
      <c r="G26" s="3211"/>
      <c r="H26" s="3211"/>
      <c r="I26" s="3211"/>
      <c r="J26" s="3165"/>
      <c r="K26" s="3211" t="s">
        <v>2828</v>
      </c>
      <c r="L26" s="3211"/>
      <c r="M26" s="3211"/>
      <c r="N26" s="3211"/>
      <c r="O26" s="3211"/>
      <c r="P26" s="3211"/>
      <c r="Q26" s="3165"/>
      <c r="R26" s="3776" t="s">
        <v>2829</v>
      </c>
      <c r="S26" s="3777"/>
      <c r="T26" s="3777"/>
      <c r="U26" s="3777"/>
      <c r="V26" s="3777"/>
      <c r="W26" s="3777"/>
      <c r="X26" s="3165"/>
      <c r="Y26" s="3776" t="s">
        <v>2830</v>
      </c>
      <c r="Z26" s="3777"/>
      <c r="AA26" s="3777"/>
      <c r="AB26" s="3777"/>
      <c r="AC26" s="3777"/>
      <c r="AD26" s="3777"/>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3380</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3382</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3375</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3383</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3376</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3374</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3372</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3371</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3369</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3368</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45625</v>
      </c>
      <c r="D1" s="1302" t="s">
        <v>603</v>
      </c>
      <c r="E1" s="1297">
        <f>'数据-取费表'!B22</f>
        <v>0</v>
      </c>
      <c r="F1" s="1302" t="s">
        <v>604</v>
      </c>
      <c r="G1" s="1298" t="e">
        <f ca="1">INDIRECT("d"&amp;$K$1)/100</f>
        <v>#VALUE!</v>
      </c>
      <c r="H1" s="1302" t="s">
        <v>634</v>
      </c>
      <c r="I1" s="1298">
        <f ca="1">F4/100</f>
        <v>1.4999999999999999E-2</v>
      </c>
      <c r="J1" s="1303">
        <f>IF(C1&gt;C13,0,MATCH(C1,C$13:C$114,-1))+IF(SUMIF(C13:C114,C1,D13:D114)=0,13,12)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3" t="s">
        <v>927</v>
      </c>
      <c r="B5" s="3463"/>
      <c r="C5" s="3463"/>
      <c r="D5" s="3463" t="e">
        <f ca="1">结果表!D119</f>
        <v>#REF!</v>
      </c>
      <c r="E5" s="3463"/>
      <c r="F5" s="3463" t="e">
        <f ca="1">结果表!F119</f>
        <v>#REF!</v>
      </c>
      <c r="G5" s="3463"/>
      <c r="H5" s="3463" t="e">
        <f ca="1">结果表!H119</f>
        <v>#REF!</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t="e">
        <f ca="1">结果表!D122</f>
        <v>#REF!</v>
      </c>
      <c r="E8" s="3464"/>
      <c r="F8" s="3464"/>
      <c r="G8" s="3464"/>
      <c r="H8" s="3464"/>
      <c r="I8" s="3464"/>
    </row>
    <row r="9" spans="1:9" ht="15">
      <c r="A9" s="3463" t="s">
        <v>927</v>
      </c>
      <c r="B9" s="3463"/>
      <c r="C9" s="3463"/>
      <c r="D9" s="3463" t="e">
        <f ca="1">结果表!D123</f>
        <v>#REF!</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4"/>
      <c r="C12" s="3474"/>
      <c r="D12" s="3474"/>
    </row>
    <row r="13" spans="1:4" ht="30" customHeight="1">
      <c r="A13" s="3473" t="str">
        <f>IF(项目基本情况!B8="抵押","3.抵押双方在办理抵押登记手续时，应使用本公司出具的正式《房地产评估报告》，特提醒报告使用者注意。","——")</f>
        <v>——</v>
      </c>
      <c r="B13" s="3474"/>
      <c r="C13" s="3474"/>
      <c r="D13" s="3474"/>
    </row>
    <row r="14" spans="1:4" ht="15.75" customHeight="1">
      <c r="A14" s="3473" t="str">
        <f>IF(项目基本情况!B8="抵押","4.本次评估估价师所知悉的法定优先受偿款情况说明如下：","——")</f>
        <v>——</v>
      </c>
      <c r="B14" s="3474"/>
      <c r="C14" s="3474"/>
      <c r="D14" s="3474"/>
    </row>
    <row r="15" spans="1:4" ht="42" customHeight="1">
      <c r="A15" s="3473" t="str">
        <f>IF(项目基本情况!B8="抵押","（1）"&amp;CONCATENATE(项目基本情况!L20,项目基本情况!L21,项目基本情况!L22),"——")</f>
        <v>——</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45673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2025-01-16T07:59:02Z</dcterms:modified>
</cp:coreProperties>
</file>