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审核\王玉聪\"/>
    </mc:Choice>
  </mc:AlternateContent>
  <xr:revisionPtr revIDLastSave="0" documentId="13_ncr:1_{DC35841B-24AF-49F6-9747-ED0414476213}" xr6:coauthVersionLast="47" xr6:coauthVersionMax="47" xr10:uidLastSave="{00000000-0000-0000-0000-000000000000}"/>
  <bookViews>
    <workbookView xWindow="-108" yWindow="-108" windowWidth="23256" windowHeight="12576" tabRatio="899" firstSheet="15"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001" sheetId="9" r:id="rId18"/>
    <sheet name="成本法" sheetId="68" state="hidden" r:id="rId19"/>
    <sheet name="假设开发法" sheetId="12" state="hidden" r:id="rId20"/>
    <sheet name="收益法" sheetId="15" state="hidden" r:id="rId21"/>
    <sheet name="结果表1002" sheetId="82" r:id="rId22"/>
    <sheet name="结果表1004" sheetId="83" r:id="rId23"/>
    <sheet name="结果表1005" sheetId="84" r:id="rId24"/>
    <sheet name="结果表1006" sheetId="85" r:id="rId25"/>
    <sheet name="结果表1007" sheetId="86" r:id="rId26"/>
    <sheet name="结果表1010" sheetId="87" r:id="rId27"/>
    <sheet name="结果表1011" sheetId="88" r:id="rId28"/>
    <sheet name="结果表1012" sheetId="89" r:id="rId29"/>
    <sheet name="面积信息" sheetId="80" r:id="rId30"/>
    <sheet name="售价案例" sheetId="81" r:id="rId31"/>
    <sheet name="比较法-办公" sheetId="34" r:id="rId32"/>
    <sheet name="收益法 (元)" sheetId="67" r:id="rId33"/>
    <sheet name="收益法-酒店模型" sheetId="77" state="hidden" r:id="rId34"/>
    <sheet name="收益法（汇总）" sheetId="70" state="hidden" r:id="rId35"/>
    <sheet name="比较法-住宅" sheetId="21" state="hidden" r:id="rId36"/>
    <sheet name="比较法-商业" sheetId="33" state="hidden" r:id="rId37"/>
    <sheet name="典型户型修正" sheetId="31"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基准地价（汇总）" sheetId="76" state="hidden" r:id="rId44"/>
    <sheet name="成本法 (元)" sheetId="69" r:id="rId45"/>
    <sheet name="基准地价修正" sheetId="43"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r:id="rId52"/>
    <sheet name="地价" sheetId="71" r:id="rId53"/>
    <sheet name="区片价" sheetId="44" r:id="rId54"/>
    <sheet name="存贷款利率" sheetId="73" r:id="rId55"/>
  </sheets>
  <externalReferences>
    <externalReference r:id="rId56"/>
  </externalReferences>
  <definedNames>
    <definedName name="_xlnm._FilterDatabase" localSheetId="31"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35" hidden="1">'比较法-住宅'!$A$1:$L$49</definedName>
    <definedName name="_xlnm._FilterDatabase" localSheetId="12"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18">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5">基准地价修正!$A$1:$J$44,基准地价修正!$A$47:$H$101,基准地价修正!$R$1:$V$16</definedName>
    <definedName name="_xlnm.Print_Area" localSheetId="19">假设开发法!$A$1:$K$32</definedName>
    <definedName name="_xlnm.Print_Area" localSheetId="17">结果表1001!$A$1:$I$127</definedName>
    <definedName name="_xlnm.Print_Area" localSheetId="21">结果表1002!$A$1:$I$127</definedName>
    <definedName name="_xlnm.Print_Area" localSheetId="22">结果表1004!$A$1:$I$127</definedName>
    <definedName name="_xlnm.Print_Area" localSheetId="23">结果表1005!$A$1:$I$127</definedName>
    <definedName name="_xlnm.Print_Area" localSheetId="24">结果表1006!$A$1:$I$127</definedName>
    <definedName name="_xlnm.Print_Area" localSheetId="25">结果表1007!$A$1:$I$127</definedName>
    <definedName name="_xlnm.Print_Area" localSheetId="26">结果表1010!$A$1:$I$127</definedName>
    <definedName name="_xlnm.Print_Area" localSheetId="27">结果表1011!$A$1:$I$127</definedName>
    <definedName name="_xlnm.Print_Area" localSheetId="28">结果表1012!$A$1:$I$127</definedName>
    <definedName name="_xlnm.Print_Area" localSheetId="20">收益法!$A$1:$F$43,收益法!$H$3:$M$29,收益法!$A$46:$F$71,收益法!$I$46:$N$65</definedName>
    <definedName name="_xlnm.Print_Area" localSheetId="32">'收益法 (元)'!$A$1:$F$43,'收益法 (元)'!$H$3:$M$29,'收益法 (元)'!$A$45:$F$71,'收益法 (元)'!$I$46:$N$65</definedName>
    <definedName name="_xlnm.Print_Area" localSheetId="34">'收益法（汇总）'!$A$1:$F$13</definedName>
    <definedName name="_xlnm.Print_Area" localSheetId="13">'数据-汇总表'!$A$1:$P$32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66" i="82" l="1"/>
  <c r="B14" i="74" l="1"/>
  <c r="C75" i="89"/>
  <c r="A120" i="89"/>
  <c r="E111" i="89"/>
  <c r="E109" i="89"/>
  <c r="A124" i="89" s="1"/>
  <c r="E107" i="89"/>
  <c r="A122" i="89" s="1"/>
  <c r="H106" i="89"/>
  <c r="H105" i="89"/>
  <c r="H104" i="89"/>
  <c r="H103" i="89"/>
  <c r="D120" i="89" s="1"/>
  <c r="D101" i="89"/>
  <c r="C101" i="89"/>
  <c r="D93" i="89"/>
  <c r="C91" i="89"/>
  <c r="E90" i="89"/>
  <c r="D89" i="89"/>
  <c r="C89" i="89" s="1"/>
  <c r="C87" i="89" s="1"/>
  <c r="D78" i="89"/>
  <c r="H77" i="89"/>
  <c r="D77" i="89"/>
  <c r="H75" i="89"/>
  <c r="C77" i="89"/>
  <c r="D68" i="89"/>
  <c r="C66" i="89"/>
  <c r="F59" i="89"/>
  <c r="E59" i="89"/>
  <c r="D59" i="89"/>
  <c r="M55" i="89" s="1"/>
  <c r="N56" i="89"/>
  <c r="M56" i="89"/>
  <c r="K56" i="89"/>
  <c r="J56" i="89"/>
  <c r="F56" i="89"/>
  <c r="O55" i="89"/>
  <c r="N55" i="89"/>
  <c r="K55" i="89"/>
  <c r="J55" i="89"/>
  <c r="J57" i="89" s="1"/>
  <c r="J59" i="89" s="1"/>
  <c r="J61" i="89" s="1"/>
  <c r="I55" i="89"/>
  <c r="F55" i="89" s="1"/>
  <c r="O53" i="89" s="1"/>
  <c r="O54" i="89"/>
  <c r="N54" i="89"/>
  <c r="F54" i="89"/>
  <c r="N53" i="89"/>
  <c r="F53" i="89"/>
  <c r="F52" i="89"/>
  <c r="K49" i="89"/>
  <c r="F48" i="89"/>
  <c r="O52" i="89" s="1"/>
  <c r="E48" i="89"/>
  <c r="N52" i="89" s="1"/>
  <c r="M47" i="89"/>
  <c r="C35" i="89"/>
  <c r="G118" i="89" s="1"/>
  <c r="C34" i="89"/>
  <c r="E118" i="89" s="1"/>
  <c r="F33" i="89"/>
  <c r="D27" i="89"/>
  <c r="C25" i="89"/>
  <c r="C24" i="89"/>
  <c r="M19" i="89"/>
  <c r="C118" i="89" s="1"/>
  <c r="L19" i="89"/>
  <c r="M18" i="89"/>
  <c r="B118" i="89" s="1"/>
  <c r="L18" i="89"/>
  <c r="D17" i="89"/>
  <c r="C17" i="89"/>
  <c r="C18" i="89" s="1"/>
  <c r="D18" i="89" s="1"/>
  <c r="L4" i="89"/>
  <c r="K4" i="89"/>
  <c r="H1" i="89"/>
  <c r="C75" i="88"/>
  <c r="A120" i="88"/>
  <c r="E111" i="88"/>
  <c r="E109" i="88"/>
  <c r="A124" i="88" s="1"/>
  <c r="E107" i="88"/>
  <c r="A122" i="88" s="1"/>
  <c r="H106" i="88"/>
  <c r="H105" i="88"/>
  <c r="H104" i="88"/>
  <c r="H103" i="88"/>
  <c r="D120" i="88" s="1"/>
  <c r="D101" i="88"/>
  <c r="C101" i="88"/>
  <c r="D93" i="88"/>
  <c r="C91" i="88"/>
  <c r="E90" i="88"/>
  <c r="D89" i="88"/>
  <c r="C89" i="88"/>
  <c r="C87" i="88" s="1"/>
  <c r="D78" i="88"/>
  <c r="H77" i="88"/>
  <c r="D77" i="88"/>
  <c r="H75" i="88"/>
  <c r="C77" i="88"/>
  <c r="D68" i="88"/>
  <c r="F59" i="88"/>
  <c r="E59" i="88"/>
  <c r="D59" i="88"/>
  <c r="N56" i="88"/>
  <c r="M56" i="88"/>
  <c r="K56" i="88"/>
  <c r="J56" i="88"/>
  <c r="F56" i="88"/>
  <c r="O55" i="88"/>
  <c r="N55" i="88"/>
  <c r="M55" i="88"/>
  <c r="K55" i="88"/>
  <c r="J55" i="88"/>
  <c r="J57" i="88" s="1"/>
  <c r="J59" i="88" s="1"/>
  <c r="J61" i="88" s="1"/>
  <c r="I55" i="88"/>
  <c r="F55" i="88" s="1"/>
  <c r="O53" i="88" s="1"/>
  <c r="O54" i="88"/>
  <c r="N54" i="88"/>
  <c r="F54" i="88"/>
  <c r="N53" i="88"/>
  <c r="F53" i="88"/>
  <c r="F52" i="88"/>
  <c r="K49" i="88"/>
  <c r="F48" i="88"/>
  <c r="O52" i="88" s="1"/>
  <c r="E48" i="88"/>
  <c r="N52" i="88" s="1"/>
  <c r="M47" i="88"/>
  <c r="C35" i="88"/>
  <c r="G118" i="88" s="1"/>
  <c r="C34" i="88"/>
  <c r="E118" i="88" s="1"/>
  <c r="F33" i="88"/>
  <c r="D27" i="88"/>
  <c r="C25" i="88"/>
  <c r="C24" i="88"/>
  <c r="M19" i="88"/>
  <c r="C118" i="88" s="1"/>
  <c r="L19" i="88"/>
  <c r="M18" i="88"/>
  <c r="B118" i="88" s="1"/>
  <c r="L18" i="88"/>
  <c r="D17" i="88"/>
  <c r="C17" i="88"/>
  <c r="C18" i="88" s="1"/>
  <c r="D18" i="88" s="1"/>
  <c r="L4" i="88"/>
  <c r="K4" i="88"/>
  <c r="H1" i="88"/>
  <c r="C75" i="87"/>
  <c r="A120" i="87"/>
  <c r="E111" i="87"/>
  <c r="A126" i="87" s="1"/>
  <c r="E109" i="87"/>
  <c r="A124" i="87" s="1"/>
  <c r="E107" i="87"/>
  <c r="A122" i="87" s="1"/>
  <c r="H106" i="87"/>
  <c r="H105" i="87"/>
  <c r="H104" i="87"/>
  <c r="H103" i="87"/>
  <c r="D120" i="87" s="1"/>
  <c r="D101" i="87"/>
  <c r="C101" i="87"/>
  <c r="D93" i="87"/>
  <c r="C91" i="87"/>
  <c r="E90" i="87"/>
  <c r="D89" i="87"/>
  <c r="C89" i="87" s="1"/>
  <c r="C87" i="87" s="1"/>
  <c r="D78" i="87"/>
  <c r="H77" i="87"/>
  <c r="D77" i="87"/>
  <c r="H75" i="87"/>
  <c r="C76" i="87" s="1"/>
  <c r="C77" i="87"/>
  <c r="D68" i="87"/>
  <c r="C66" i="87"/>
  <c r="F59" i="87"/>
  <c r="E59" i="87"/>
  <c r="N55" i="87" s="1"/>
  <c r="D59" i="87"/>
  <c r="M55" i="87" s="1"/>
  <c r="N56" i="87"/>
  <c r="M56" i="87"/>
  <c r="K56" i="87"/>
  <c r="J56" i="87"/>
  <c r="F56" i="87"/>
  <c r="O55" i="87"/>
  <c r="K55" i="87"/>
  <c r="J55" i="87"/>
  <c r="J57" i="87" s="1"/>
  <c r="J59" i="87" s="1"/>
  <c r="J61" i="87" s="1"/>
  <c r="I55" i="87"/>
  <c r="F55" i="87"/>
  <c r="O53" i="87" s="1"/>
  <c r="O54" i="87"/>
  <c r="N54" i="87"/>
  <c r="F54" i="87"/>
  <c r="N53" i="87"/>
  <c r="F53" i="87"/>
  <c r="F52" i="87"/>
  <c r="K49" i="87"/>
  <c r="F48" i="87"/>
  <c r="O52" i="87" s="1"/>
  <c r="E48" i="87"/>
  <c r="N52" i="87" s="1"/>
  <c r="M47" i="87"/>
  <c r="C35" i="87"/>
  <c r="G118" i="87" s="1"/>
  <c r="C34" i="87"/>
  <c r="E118" i="87" s="1"/>
  <c r="F33" i="87"/>
  <c r="D27" i="87"/>
  <c r="C25" i="87"/>
  <c r="C24" i="87"/>
  <c r="M19" i="87"/>
  <c r="C118" i="87" s="1"/>
  <c r="L19" i="87"/>
  <c r="M18" i="87"/>
  <c r="B118" i="87" s="1"/>
  <c r="L18" i="87"/>
  <c r="D17" i="87"/>
  <c r="C18" i="87" s="1"/>
  <c r="D18" i="87" s="1"/>
  <c r="C17" i="87"/>
  <c r="L4" i="87"/>
  <c r="K4" i="87"/>
  <c r="H1" i="87"/>
  <c r="C75" i="86"/>
  <c r="A120" i="86"/>
  <c r="E111" i="86"/>
  <c r="E109" i="86"/>
  <c r="A124" i="86" s="1"/>
  <c r="E107" i="86"/>
  <c r="A122" i="86" s="1"/>
  <c r="H106" i="86"/>
  <c r="H105" i="86"/>
  <c r="H104" i="86"/>
  <c r="H103" i="86"/>
  <c r="D120" i="86" s="1"/>
  <c r="D101" i="86"/>
  <c r="C101" i="86"/>
  <c r="D93" i="86"/>
  <c r="C91" i="86"/>
  <c r="E90" i="86"/>
  <c r="D89" i="86"/>
  <c r="C89" i="86" s="1"/>
  <c r="C87" i="86" s="1"/>
  <c r="D78" i="86"/>
  <c r="H77" i="86"/>
  <c r="D77" i="86"/>
  <c r="H75" i="86"/>
  <c r="C77" i="86"/>
  <c r="D68" i="86"/>
  <c r="C66" i="86"/>
  <c r="F59" i="86"/>
  <c r="E59" i="86"/>
  <c r="D59" i="86"/>
  <c r="M55" i="86" s="1"/>
  <c r="N56" i="86"/>
  <c r="M56" i="86"/>
  <c r="K56" i="86"/>
  <c r="J56" i="86"/>
  <c r="F56" i="86"/>
  <c r="O55" i="86"/>
  <c r="N55" i="86"/>
  <c r="K55" i="86"/>
  <c r="J55" i="86"/>
  <c r="J57" i="86" s="1"/>
  <c r="J59" i="86" s="1"/>
  <c r="J61" i="86" s="1"/>
  <c r="I55" i="86"/>
  <c r="F55" i="86"/>
  <c r="O53" i="86" s="1"/>
  <c r="O54" i="86"/>
  <c r="N54" i="86"/>
  <c r="F54" i="86"/>
  <c r="N53" i="86"/>
  <c r="F53" i="86"/>
  <c r="F52" i="86"/>
  <c r="K49" i="86"/>
  <c r="F48" i="86"/>
  <c r="O52" i="86" s="1"/>
  <c r="E48" i="86"/>
  <c r="N52" i="86" s="1"/>
  <c r="M47" i="86"/>
  <c r="C35" i="86"/>
  <c r="G118" i="86" s="1"/>
  <c r="C34" i="86"/>
  <c r="E118" i="86" s="1"/>
  <c r="F33" i="86"/>
  <c r="D27" i="86"/>
  <c r="C25" i="86"/>
  <c r="C24" i="86"/>
  <c r="M19" i="86"/>
  <c r="C118" i="86" s="1"/>
  <c r="L19" i="86"/>
  <c r="M18" i="86"/>
  <c r="B118" i="86" s="1"/>
  <c r="L18" i="86"/>
  <c r="D17" i="86"/>
  <c r="C17" i="86"/>
  <c r="C18" i="86" s="1"/>
  <c r="D18" i="86" s="1"/>
  <c r="L4" i="86"/>
  <c r="K4" i="86"/>
  <c r="H1" i="86"/>
  <c r="L3" i="80"/>
  <c r="L4" i="80"/>
  <c r="L5" i="80"/>
  <c r="L6" i="80"/>
  <c r="L7" i="80"/>
  <c r="L8" i="80"/>
  <c r="L9" i="80"/>
  <c r="L10" i="80"/>
  <c r="L2" i="80"/>
  <c r="C75" i="85"/>
  <c r="C66" i="85" s="1"/>
  <c r="A120" i="85"/>
  <c r="E111" i="85"/>
  <c r="E109" i="85"/>
  <c r="A124" i="85" s="1"/>
  <c r="E107" i="85"/>
  <c r="A122" i="85" s="1"/>
  <c r="H106" i="85"/>
  <c r="H105" i="85"/>
  <c r="H103" i="85" s="1"/>
  <c r="D120" i="85" s="1"/>
  <c r="H104" i="85"/>
  <c r="D101" i="85"/>
  <c r="C101" i="85"/>
  <c r="D93" i="85"/>
  <c r="C91" i="85"/>
  <c r="E90" i="85"/>
  <c r="D89" i="85"/>
  <c r="C89" i="85" s="1"/>
  <c r="C87" i="85" s="1"/>
  <c r="D78" i="85"/>
  <c r="H77" i="85"/>
  <c r="D77" i="85"/>
  <c r="H75" i="85"/>
  <c r="C77" i="85"/>
  <c r="D68" i="85"/>
  <c r="F59" i="85"/>
  <c r="E59" i="85"/>
  <c r="D59" i="85"/>
  <c r="M55" i="85" s="1"/>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M47" i="85"/>
  <c r="C35" i="85"/>
  <c r="G118" i="85" s="1"/>
  <c r="C34" i="85"/>
  <c r="E118" i="85" s="1"/>
  <c r="F33" i="85"/>
  <c r="D27" i="85"/>
  <c r="C25" i="85"/>
  <c r="C24" i="85"/>
  <c r="M19" i="85"/>
  <c r="C118" i="85" s="1"/>
  <c r="L19" i="85"/>
  <c r="M18" i="85"/>
  <c r="B118" i="85" s="1"/>
  <c r="L18" i="85"/>
  <c r="D17" i="85"/>
  <c r="C17" i="85"/>
  <c r="C18" i="85" s="1"/>
  <c r="D18" i="85" s="1"/>
  <c r="L4" i="85"/>
  <c r="K4" i="85"/>
  <c r="H1" i="85"/>
  <c r="C75" i="84"/>
  <c r="A120" i="84"/>
  <c r="E111" i="84"/>
  <c r="E109" i="84"/>
  <c r="A124" i="84" s="1"/>
  <c r="E107" i="84"/>
  <c r="A122" i="84" s="1"/>
  <c r="H106" i="84"/>
  <c r="H105" i="84"/>
  <c r="H104" i="84"/>
  <c r="H103" i="84"/>
  <c r="D120" i="84" s="1"/>
  <c r="D101" i="84"/>
  <c r="C101" i="84"/>
  <c r="D93" i="84"/>
  <c r="C91" i="84"/>
  <c r="E90" i="84"/>
  <c r="D89" i="84"/>
  <c r="C89" i="84" s="1"/>
  <c r="C87" i="84" s="1"/>
  <c r="D78" i="84"/>
  <c r="H77" i="84"/>
  <c r="D77" i="84"/>
  <c r="H75" i="84"/>
  <c r="C76" i="84" s="1"/>
  <c r="C77" i="84"/>
  <c r="D68" i="84"/>
  <c r="C66" i="84"/>
  <c r="F59" i="84"/>
  <c r="E59" i="84"/>
  <c r="N55" i="84" s="1"/>
  <c r="D59" i="84"/>
  <c r="M55" i="84" s="1"/>
  <c r="N56" i="84"/>
  <c r="M56" i="84"/>
  <c r="K56" i="84"/>
  <c r="J56" i="84"/>
  <c r="F56" i="84"/>
  <c r="O55" i="84"/>
  <c r="K55" i="84"/>
  <c r="J55" i="84"/>
  <c r="J57" i="84" s="1"/>
  <c r="J59" i="84" s="1"/>
  <c r="J61" i="84" s="1"/>
  <c r="I55" i="84"/>
  <c r="F55" i="84"/>
  <c r="O53" i="84" s="1"/>
  <c r="O54" i="84"/>
  <c r="N54" i="84"/>
  <c r="F54" i="84"/>
  <c r="N53" i="84"/>
  <c r="F53" i="84"/>
  <c r="F52" i="84"/>
  <c r="K49" i="84"/>
  <c r="F48" i="84"/>
  <c r="O52" i="84" s="1"/>
  <c r="E48" i="84"/>
  <c r="N52" i="84" s="1"/>
  <c r="M47" i="84"/>
  <c r="C35" i="84"/>
  <c r="G118" i="84" s="1"/>
  <c r="C34" i="84"/>
  <c r="E118" i="84" s="1"/>
  <c r="F33" i="84"/>
  <c r="D27" i="84"/>
  <c r="C25" i="84"/>
  <c r="C24" i="84"/>
  <c r="M19" i="84"/>
  <c r="C118" i="84" s="1"/>
  <c r="L19" i="84"/>
  <c r="M18" i="84"/>
  <c r="B118" i="84" s="1"/>
  <c r="L18" i="84"/>
  <c r="D17" i="84"/>
  <c r="C17" i="84"/>
  <c r="C18" i="84" s="1"/>
  <c r="D18" i="84" s="1"/>
  <c r="L4" i="84"/>
  <c r="K4" i="84"/>
  <c r="H1" i="84"/>
  <c r="C66" i="9"/>
  <c r="C66" i="83"/>
  <c r="C75" i="83"/>
  <c r="A120" i="83"/>
  <c r="E111" i="83"/>
  <c r="E109" i="83"/>
  <c r="A124" i="83" s="1"/>
  <c r="E107" i="83"/>
  <c r="A122" i="83" s="1"/>
  <c r="H106" i="83"/>
  <c r="H105" i="83"/>
  <c r="H104" i="83"/>
  <c r="H103" i="83"/>
  <c r="D120" i="83" s="1"/>
  <c r="D101" i="83"/>
  <c r="C101" i="83"/>
  <c r="D93" i="83"/>
  <c r="C91" i="83"/>
  <c r="E90" i="83"/>
  <c r="D89" i="83"/>
  <c r="C89" i="83" s="1"/>
  <c r="C87" i="83" s="1"/>
  <c r="D78" i="83"/>
  <c r="H77" i="83"/>
  <c r="D77" i="83"/>
  <c r="H75" i="83"/>
  <c r="C76" i="83" s="1"/>
  <c r="C77" i="83"/>
  <c r="D68" i="83"/>
  <c r="F59" i="83"/>
  <c r="E59" i="83"/>
  <c r="N55" i="83" s="1"/>
  <c r="D59" i="83"/>
  <c r="M55" i="83" s="1"/>
  <c r="N56" i="83"/>
  <c r="M56" i="83"/>
  <c r="K56" i="83"/>
  <c r="J56" i="83"/>
  <c r="F56" i="83"/>
  <c r="O55" i="83"/>
  <c r="K55" i="83"/>
  <c r="J55" i="83"/>
  <c r="J57" i="83" s="1"/>
  <c r="J59" i="83" s="1"/>
  <c r="J61" i="83" s="1"/>
  <c r="I55" i="83"/>
  <c r="F55" i="83"/>
  <c r="O53" i="83" s="1"/>
  <c r="O54" i="83"/>
  <c r="N54" i="83"/>
  <c r="F54" i="83"/>
  <c r="N53" i="83"/>
  <c r="F53" i="83"/>
  <c r="F52" i="83"/>
  <c r="K49" i="83"/>
  <c r="F48" i="83"/>
  <c r="O52" i="83" s="1"/>
  <c r="E48" i="83"/>
  <c r="N52" i="83" s="1"/>
  <c r="M47" i="83"/>
  <c r="C35" i="83"/>
  <c r="G118" i="83" s="1"/>
  <c r="C34" i="83"/>
  <c r="E118" i="83" s="1"/>
  <c r="F33" i="83"/>
  <c r="D27" i="83"/>
  <c r="C25" i="83"/>
  <c r="C24" i="83"/>
  <c r="M19" i="83"/>
  <c r="C118" i="83" s="1"/>
  <c r="L19" i="83"/>
  <c r="M18" i="83"/>
  <c r="B118" i="83" s="1"/>
  <c r="L18" i="83"/>
  <c r="D17" i="83"/>
  <c r="C18" i="83" s="1"/>
  <c r="D18" i="83" s="1"/>
  <c r="C17" i="83"/>
  <c r="L4" i="83"/>
  <c r="K4" i="83"/>
  <c r="H1" i="83"/>
  <c r="C75" i="82"/>
  <c r="A120" i="82"/>
  <c r="E111" i="82"/>
  <c r="E109" i="82"/>
  <c r="A124" i="82" s="1"/>
  <c r="E107" i="82"/>
  <c r="A122" i="82" s="1"/>
  <c r="H106" i="82"/>
  <c r="H105" i="82"/>
  <c r="H104" i="82"/>
  <c r="H103" i="82"/>
  <c r="D120" i="82" s="1"/>
  <c r="D101" i="82"/>
  <c r="C101" i="82"/>
  <c r="D93" i="82"/>
  <c r="C91" i="82"/>
  <c r="E90" i="82"/>
  <c r="D89" i="82"/>
  <c r="C89" i="82" s="1"/>
  <c r="C87" i="82" s="1"/>
  <c r="D78" i="82"/>
  <c r="H77" i="82"/>
  <c r="D77" i="82"/>
  <c r="H75" i="82"/>
  <c r="C76" i="82" s="1"/>
  <c r="C77" i="82"/>
  <c r="D68" i="82"/>
  <c r="F59" i="82"/>
  <c r="E59" i="82"/>
  <c r="D59" i="82"/>
  <c r="M55" i="82" s="1"/>
  <c r="N56" i="82"/>
  <c r="M56" i="82"/>
  <c r="K56" i="82"/>
  <c r="J56" i="82"/>
  <c r="F56" i="82"/>
  <c r="O55" i="82"/>
  <c r="N55" i="82"/>
  <c r="K55" i="82"/>
  <c r="J55" i="82"/>
  <c r="J57" i="82" s="1"/>
  <c r="J59" i="82" s="1"/>
  <c r="J61" i="82" s="1"/>
  <c r="I55" i="82"/>
  <c r="F55" i="82" s="1"/>
  <c r="O53" i="82" s="1"/>
  <c r="O54" i="82"/>
  <c r="N54" i="82"/>
  <c r="F54" i="82"/>
  <c r="N53" i="82"/>
  <c r="F53" i="82"/>
  <c r="F52" i="82"/>
  <c r="K49" i="82"/>
  <c r="F48" i="82"/>
  <c r="O52" i="82" s="1"/>
  <c r="E48" i="82"/>
  <c r="N52" i="82" s="1"/>
  <c r="M47" i="82"/>
  <c r="C35" i="82"/>
  <c r="G118" i="82" s="1"/>
  <c r="C34" i="82"/>
  <c r="E118" i="82" s="1"/>
  <c r="F33" i="82"/>
  <c r="D27" i="82"/>
  <c r="C25" i="82"/>
  <c r="C24" i="82"/>
  <c r="M19" i="82"/>
  <c r="C118" i="82" s="1"/>
  <c r="L19" i="82"/>
  <c r="M18" i="82"/>
  <c r="B118" i="82" s="1"/>
  <c r="L18" i="82"/>
  <c r="D17" i="82"/>
  <c r="C17" i="82"/>
  <c r="C18" i="82" s="1"/>
  <c r="D18" i="82" s="1"/>
  <c r="L4" i="82"/>
  <c r="K4" i="82"/>
  <c r="H1" i="82"/>
  <c r="C74" i="9"/>
  <c r="C77" i="9"/>
  <c r="C76" i="9"/>
  <c r="H75" i="9"/>
  <c r="C75" i="9"/>
  <c r="K3" i="80"/>
  <c r="K4" i="80"/>
  <c r="K5" i="80"/>
  <c r="K6" i="80"/>
  <c r="K7" i="80"/>
  <c r="K8" i="80"/>
  <c r="K9" i="80"/>
  <c r="K10" i="80"/>
  <c r="K2" i="80"/>
  <c r="D33" i="43"/>
  <c r="T5" i="31"/>
  <c r="D5" i="31"/>
  <c r="E5" i="31"/>
  <c r="F5" i="31"/>
  <c r="C5" i="31"/>
  <c r="D3" i="31"/>
  <c r="E3" i="31"/>
  <c r="F3" i="31"/>
  <c r="D4" i="31"/>
  <c r="E4" i="31"/>
  <c r="F4" i="31"/>
  <c r="C4" i="31"/>
  <c r="C3" i="31"/>
  <c r="A32" i="31"/>
  <c r="B26" i="31"/>
  <c r="B27" i="31"/>
  <c r="B28" i="31"/>
  <c r="B29" i="31"/>
  <c r="B30" i="31"/>
  <c r="B31" i="31"/>
  <c r="B32" i="31"/>
  <c r="A26" i="31"/>
  <c r="A27" i="31"/>
  <c r="A28" i="31"/>
  <c r="A29" i="31"/>
  <c r="A30" i="31"/>
  <c r="A31" i="31"/>
  <c r="B25" i="31"/>
  <c r="A25" i="31"/>
  <c r="B24" i="31"/>
  <c r="I48" i="34"/>
  <c r="G48" i="34"/>
  <c r="E48" i="34"/>
  <c r="I34" i="34"/>
  <c r="G34" i="34"/>
  <c r="E34" i="34"/>
  <c r="I37" i="34"/>
  <c r="G37" i="34"/>
  <c r="E37" i="34"/>
  <c r="C37" i="34"/>
  <c r="C34" i="34"/>
  <c r="E105" i="34"/>
  <c r="F105" i="34" s="1"/>
  <c r="D105" i="34"/>
  <c r="C67" i="34"/>
  <c r="E67" i="34"/>
  <c r="D67" i="34" s="1"/>
  <c r="F67" i="34"/>
  <c r="I7" i="34"/>
  <c r="G7" i="34"/>
  <c r="E7" i="34"/>
  <c r="J49" i="67"/>
  <c r="K18" i="1"/>
  <c r="B59" i="1"/>
  <c r="B21" i="1"/>
  <c r="Y6" i="1"/>
  <c r="N6" i="1"/>
  <c r="N18" i="1"/>
  <c r="F19" i="6"/>
  <c r="I21" i="3"/>
  <c r="I20" i="3"/>
  <c r="I19" i="3"/>
  <c r="I18" i="3"/>
  <c r="I17" i="3"/>
  <c r="I16" i="3"/>
  <c r="I15" i="3"/>
  <c r="C21" i="3"/>
  <c r="C20" i="3"/>
  <c r="C19" i="3"/>
  <c r="C18" i="3"/>
  <c r="C17" i="3"/>
  <c r="C16" i="3"/>
  <c r="C15" i="3"/>
  <c r="I14" i="3"/>
  <c r="C14" i="3"/>
  <c r="C13" i="3"/>
  <c r="I13" i="3"/>
  <c r="D3" i="4"/>
  <c r="G14" i="73"/>
  <c r="F14" i="73"/>
  <c r="E14" i="73"/>
  <c r="D118" i="89" l="1"/>
  <c r="D119" i="89" s="1"/>
  <c r="C92" i="89"/>
  <c r="C94" i="89"/>
  <c r="F118" i="89"/>
  <c r="F119" i="89" s="1"/>
  <c r="D121" i="89"/>
  <c r="K120" i="89"/>
  <c r="C76" i="89"/>
  <c r="C74" i="89" s="1"/>
  <c r="A126" i="89"/>
  <c r="H109" i="89"/>
  <c r="F118" i="88"/>
  <c r="F119" i="88" s="1"/>
  <c r="C92" i="88"/>
  <c r="C94" i="88"/>
  <c r="D118" i="88"/>
  <c r="D119" i="88" s="1"/>
  <c r="D121" i="88"/>
  <c r="K120" i="88"/>
  <c r="C66" i="88"/>
  <c r="C76" i="88"/>
  <c r="C74" i="88" s="1"/>
  <c r="A126" i="88"/>
  <c r="D118" i="87"/>
  <c r="D119" i="87" s="1"/>
  <c r="H109" i="88"/>
  <c r="C92" i="87"/>
  <c r="C94" i="87"/>
  <c r="F118" i="87"/>
  <c r="F119" i="87" s="1"/>
  <c r="K120" i="87"/>
  <c r="D121" i="87"/>
  <c r="D118" i="86"/>
  <c r="D119" i="86" s="1"/>
  <c r="C74" i="87"/>
  <c r="H109" i="87"/>
  <c r="F118" i="86"/>
  <c r="F119" i="86" s="1"/>
  <c r="C92" i="86"/>
  <c r="C94" i="86"/>
  <c r="D121" i="86"/>
  <c r="K120" i="86"/>
  <c r="C76" i="86"/>
  <c r="C74" i="86" s="1"/>
  <c r="A126" i="86"/>
  <c r="H109" i="86"/>
  <c r="D118" i="85"/>
  <c r="D119" i="85" s="1"/>
  <c r="D121" i="85"/>
  <c r="K120" i="85"/>
  <c r="F118" i="85"/>
  <c r="F119" i="85" s="1"/>
  <c r="C92" i="85"/>
  <c r="C94" i="85"/>
  <c r="C76" i="85"/>
  <c r="A126" i="85"/>
  <c r="C74" i="85"/>
  <c r="H109" i="85"/>
  <c r="D118" i="83"/>
  <c r="D119" i="83" s="1"/>
  <c r="D118" i="84"/>
  <c r="D119" i="84" s="1"/>
  <c r="C92" i="84"/>
  <c r="C94" i="84"/>
  <c r="F118" i="84"/>
  <c r="F119" i="84" s="1"/>
  <c r="D121" i="84"/>
  <c r="K120" i="84"/>
  <c r="A126" i="84"/>
  <c r="C74" i="84"/>
  <c r="H109" i="84"/>
  <c r="F118" i="83"/>
  <c r="F119" i="83" s="1"/>
  <c r="C74" i="83"/>
  <c r="C92" i="83"/>
  <c r="C94" i="83"/>
  <c r="D121" i="83"/>
  <c r="K120" i="83"/>
  <c r="A126" i="83"/>
  <c r="H109" i="83"/>
  <c r="D118" i="82"/>
  <c r="D119" i="82" s="1"/>
  <c r="C92" i="82"/>
  <c r="C94" i="82"/>
  <c r="F118" i="82"/>
  <c r="F119" i="82" s="1"/>
  <c r="D121" i="82"/>
  <c r="K120" i="82"/>
  <c r="A126" i="82"/>
  <c r="C74" i="82"/>
  <c r="H109" i="82"/>
  <c r="I12" i="79"/>
  <c r="D124" i="89" l="1"/>
  <c r="D125" i="89" s="1"/>
  <c r="H110" i="89"/>
  <c r="D124" i="88"/>
  <c r="D125" i="88" s="1"/>
  <c r="H110" i="88"/>
  <c r="D124" i="87"/>
  <c r="D125" i="87" s="1"/>
  <c r="H110" i="87"/>
  <c r="D124" i="86"/>
  <c r="D125" i="86" s="1"/>
  <c r="H110" i="86"/>
  <c r="D124" i="85"/>
  <c r="D125" i="85" s="1"/>
  <c r="H110" i="85"/>
  <c r="D124" i="84"/>
  <c r="D125" i="84" s="1"/>
  <c r="H110" i="84"/>
  <c r="D124" i="83"/>
  <c r="D125" i="83" s="1"/>
  <c r="H110" i="83"/>
  <c r="D124" i="82"/>
  <c r="D125" i="82" s="1"/>
  <c r="H110" i="82"/>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T33" i="79"/>
  <c r="T34" i="79"/>
  <c r="T35" i="79"/>
  <c r="AR19" i="79"/>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15" i="79"/>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W33" i="79"/>
  <c r="AK33" i="79" s="1"/>
  <c r="AH33" i="79"/>
  <c r="W11" i="79"/>
  <c r="AK11" i="79" s="1"/>
  <c r="AH11" i="79"/>
  <c r="W39" i="79"/>
  <c r="AK39" i="79" s="1"/>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c r="S18" i="36"/>
  <c r="H25" i="40"/>
  <c r="J25" i="40"/>
  <c r="H29" i="39"/>
  <c r="AB29" i="39" s="1"/>
  <c r="J29" i="39"/>
  <c r="AC29" i="39" s="1"/>
  <c r="J18" i="36"/>
  <c r="H18" i="35"/>
  <c r="AB18" i="35" s="1"/>
  <c r="J18" i="35"/>
  <c r="H21" i="37"/>
  <c r="F21" i="37"/>
  <c r="AA21" i="37" s="1"/>
  <c r="H21" i="34"/>
  <c r="H21" i="33"/>
  <c r="U21" i="33" s="1"/>
  <c r="F21" i="33"/>
  <c r="S21" i="33" s="1"/>
  <c r="E83" i="21"/>
  <c r="F83" i="21" s="1"/>
  <c r="H1" i="69"/>
  <c r="AC25" i="40"/>
  <c r="W25" i="40"/>
  <c r="U29" i="39"/>
  <c r="W29" i="39"/>
  <c r="AB21" i="37"/>
  <c r="U21" i="37"/>
  <c r="AB21" i="33"/>
  <c r="AA21" i="33"/>
  <c r="J21" i="37"/>
  <c r="J21" i="34"/>
  <c r="W21" i="34" s="1"/>
  <c r="J21" i="33"/>
  <c r="W21" i="33" s="1"/>
  <c r="H21" i="21"/>
  <c r="U21" i="21" s="1"/>
  <c r="F38" i="69"/>
  <c r="E37" i="69"/>
  <c r="F36" i="69"/>
  <c r="F35" i="69"/>
  <c r="F21" i="69"/>
  <c r="F40" i="69" s="1"/>
  <c r="F20" i="69"/>
  <c r="F39" i="69" s="1"/>
  <c r="E10" i="69"/>
  <c r="E9" i="69"/>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B6" i="1" s="1"/>
  <c r="E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R35" i="31"/>
  <c r="S35" i="31" s="1"/>
  <c r="R36" i="31"/>
  <c r="S36" i="31" s="1"/>
  <c r="R37" i="31"/>
  <c r="S37" i="31" s="1"/>
  <c r="R38" i="31"/>
  <c r="R39" i="31"/>
  <c r="S39" i="31" s="1"/>
  <c r="R40" i="31"/>
  <c r="S40" i="31" s="1"/>
  <c r="R41" i="31"/>
  <c r="S41" i="31" s="1"/>
  <c r="R42" i="31"/>
  <c r="R43" i="31"/>
  <c r="S43" i="31" s="1"/>
  <c r="R44" i="31"/>
  <c r="S44" i="31" s="1"/>
  <c r="R45" i="31"/>
  <c r="S45" i="31" s="1"/>
  <c r="R46" i="31"/>
  <c r="R47" i="31"/>
  <c r="S47" i="31" s="1"/>
  <c r="R48" i="31"/>
  <c r="S48" i="31" s="1"/>
  <c r="R49" i="31"/>
  <c r="S49" i="31" s="1"/>
  <c r="R50" i="31"/>
  <c r="R51" i="31"/>
  <c r="S51" i="31" s="1"/>
  <c r="R52" i="31"/>
  <c r="S52" i="31" s="1"/>
  <c r="R53" i="31"/>
  <c r="S53" i="31" s="1"/>
  <c r="R54" i="31"/>
  <c r="R55" i="31"/>
  <c r="S55" i="31" s="1"/>
  <c r="R56" i="31"/>
  <c r="S56" i="31" s="1"/>
  <c r="R57" i="31"/>
  <c r="S57" i="31" s="1"/>
  <c r="R58" i="31"/>
  <c r="R59" i="31"/>
  <c r="S59" i="31" s="1"/>
  <c r="R60" i="31"/>
  <c r="S60" i="31" s="1"/>
  <c r="R61" i="31"/>
  <c r="S61" i="31" s="1"/>
  <c r="R62" i="31"/>
  <c r="R63" i="31"/>
  <c r="S63" i="31" s="1"/>
  <c r="R64" i="31"/>
  <c r="S64" i="31" s="1"/>
  <c r="R65" i="31"/>
  <c r="S65" i="31" s="1"/>
  <c r="R66" i="31"/>
  <c r="R67" i="31"/>
  <c r="S67" i="31" s="1"/>
  <c r="R68" i="31"/>
  <c r="S68" i="31" s="1"/>
  <c r="R69" i="31"/>
  <c r="S69" i="31" s="1"/>
  <c r="R70" i="31"/>
  <c r="R71" i="31"/>
  <c r="S71" i="31" s="1"/>
  <c r="R72" i="31"/>
  <c r="S72" i="31" s="1"/>
  <c r="R73" i="31"/>
  <c r="S73" i="31" s="1"/>
  <c r="R74" i="31"/>
  <c r="R75" i="31"/>
  <c r="S75" i="31" s="1"/>
  <c r="R76" i="31"/>
  <c r="S76" i="31" s="1"/>
  <c r="R77" i="31"/>
  <c r="S77" i="31" s="1"/>
  <c r="R78" i="31"/>
  <c r="R79" i="31"/>
  <c r="S79" i="31" s="1"/>
  <c r="R80" i="31"/>
  <c r="S80" i="31" s="1"/>
  <c r="R81" i="31"/>
  <c r="S81" i="31" s="1"/>
  <c r="R82" i="31"/>
  <c r="R83" i="31"/>
  <c r="S83" i="31" s="1"/>
  <c r="R84" i="31"/>
  <c r="S84" i="31" s="1"/>
  <c r="R85" i="31"/>
  <c r="S85" i="31" s="1"/>
  <c r="R86" i="31"/>
  <c r="R87" i="31"/>
  <c r="S87" i="31" s="1"/>
  <c r="R88" i="31"/>
  <c r="S88" i="31" s="1"/>
  <c r="R89" i="31"/>
  <c r="S89" i="31" s="1"/>
  <c r="R90" i="31"/>
  <c r="R91" i="31"/>
  <c r="S91" i="31" s="1"/>
  <c r="R92" i="31"/>
  <c r="S92" i="31" s="1"/>
  <c r="R93" i="31"/>
  <c r="S93" i="31" s="1"/>
  <c r="R94" i="31"/>
  <c r="R95" i="31"/>
  <c r="S95" i="31" s="1"/>
  <c r="R96" i="31"/>
  <c r="S96" i="31" s="1"/>
  <c r="R97" i="31"/>
  <c r="S97" i="31" s="1"/>
  <c r="R98" i="3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R111" i="31"/>
  <c r="S111" i="31" s="1"/>
  <c r="R112" i="31"/>
  <c r="S112" i="31" s="1"/>
  <c r="R113" i="31"/>
  <c r="S113" i="31" s="1"/>
  <c r="R114" i="31"/>
  <c r="R115" i="31"/>
  <c r="S115" i="31" s="1"/>
  <c r="R116" i="31"/>
  <c r="S116" i="31" s="1"/>
  <c r="R117" i="31"/>
  <c r="S117" i="31" s="1"/>
  <c r="R118" i="31"/>
  <c r="R119" i="31"/>
  <c r="S119" i="31" s="1"/>
  <c r="R120" i="31"/>
  <c r="S120" i="31" s="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S252" i="31" s="1"/>
  <c r="R253" i="31"/>
  <c r="S253" i="31" s="1"/>
  <c r="R254" i="31"/>
  <c r="R255" i="31"/>
  <c r="S255" i="31" s="1"/>
  <c r="R256" i="31"/>
  <c r="R257" i="31"/>
  <c r="S257" i="31" s="1"/>
  <c r="R258" i="31"/>
  <c r="R259" i="31"/>
  <c r="S259" i="31" s="1"/>
  <c r="R260" i="31"/>
  <c r="S260" i="31" s="1"/>
  <c r="R261" i="31"/>
  <c r="S261" i="31" s="1"/>
  <c r="R262" i="31"/>
  <c r="R263" i="31"/>
  <c r="S263" i="31" s="1"/>
  <c r="R264" i="31"/>
  <c r="R265" i="31"/>
  <c r="S265" i="31" s="1"/>
  <c r="R266" i="31"/>
  <c r="R267" i="31"/>
  <c r="S267" i="31" s="1"/>
  <c r="R268" i="31"/>
  <c r="S268" i="31" s="1"/>
  <c r="R269" i="31"/>
  <c r="S269" i="31" s="1"/>
  <c r="R270" i="31"/>
  <c r="R271" i="31"/>
  <c r="S271" i="31" s="1"/>
  <c r="R272" i="31"/>
  <c r="R273" i="31"/>
  <c r="S273" i="31" s="1"/>
  <c r="R274" i="31"/>
  <c r="R275" i="31"/>
  <c r="S275" i="31" s="1"/>
  <c r="R276" i="31"/>
  <c r="S276" i="31" s="1"/>
  <c r="R277" i="31"/>
  <c r="S277" i="31" s="1"/>
  <c r="R278" i="31"/>
  <c r="R279" i="31"/>
  <c r="S279" i="31" s="1"/>
  <c r="R280" i="31"/>
  <c r="R281" i="31"/>
  <c r="S281" i="31" s="1"/>
  <c r="R282" i="31"/>
  <c r="R283" i="31"/>
  <c r="S283" i="31" s="1"/>
  <c r="R284" i="31"/>
  <c r="S284" i="31" s="1"/>
  <c r="R285" i="31"/>
  <c r="S285" i="31" s="1"/>
  <c r="R286" i="31"/>
  <c r="R287" i="31"/>
  <c r="S287" i="31" s="1"/>
  <c r="R288" i="31"/>
  <c r="R289" i="31"/>
  <c r="S289" i="31" s="1"/>
  <c r="R290" i="31"/>
  <c r="R291" i="31"/>
  <c r="S291" i="31" s="1"/>
  <c r="R292" i="31"/>
  <c r="S292" i="31" s="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R499" i="31"/>
  <c r="S499" i="31" s="1"/>
  <c r="R500" i="31"/>
  <c r="S500" i="31" s="1"/>
  <c r="R501" i="31"/>
  <c r="S501" i="31" s="1"/>
  <c r="R502" i="31"/>
  <c r="R503" i="31"/>
  <c r="S503" i="31" s="1"/>
  <c r="R504" i="31"/>
  <c r="S504" i="31" s="1"/>
  <c r="R505" i="31"/>
  <c r="S505" i="31" s="1"/>
  <c r="R506" i="31"/>
  <c r="R507" i="31"/>
  <c r="S507" i="31" s="1"/>
  <c r="R508" i="31"/>
  <c r="S508" i="31" s="1"/>
  <c r="R509" i="31"/>
  <c r="S509" i="31" s="1"/>
  <c r="R510" i="31"/>
  <c r="R511" i="31"/>
  <c r="S511" i="31" s="1"/>
  <c r="R512" i="31"/>
  <c r="S512" i="31" s="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3" i="31"/>
  <c r="E34" i="31"/>
  <c r="E37" i="31"/>
  <c r="E38" i="31"/>
  <c r="E41" i="31"/>
  <c r="E42" i="31"/>
  <c r="E45" i="31"/>
  <c r="E46" i="31"/>
  <c r="E49" i="31"/>
  <c r="E50" i="31"/>
  <c r="E53" i="31"/>
  <c r="E54" i="31"/>
  <c r="E57" i="31"/>
  <c r="E58" i="31"/>
  <c r="E61" i="31"/>
  <c r="E62" i="31"/>
  <c r="E65" i="31"/>
  <c r="E66" i="31"/>
  <c r="E69" i="31"/>
  <c r="E70" i="31"/>
  <c r="E73" i="31"/>
  <c r="E74" i="31"/>
  <c r="E77" i="31"/>
  <c r="E78" i="31"/>
  <c r="E81" i="31"/>
  <c r="E82" i="31"/>
  <c r="E85" i="31"/>
  <c r="E86" i="31"/>
  <c r="E89" i="31"/>
  <c r="E90" i="31"/>
  <c r="E91" i="31"/>
  <c r="E93" i="31"/>
  <c r="E94" i="31"/>
  <c r="E95" i="31"/>
  <c r="E97" i="31"/>
  <c r="E98" i="31"/>
  <c r="E99" i="31"/>
  <c r="E101" i="31"/>
  <c r="E102" i="31"/>
  <c r="E103"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8" i="31"/>
  <c r="S314" i="31"/>
  <c r="S312" i="31"/>
  <c r="S310" i="31"/>
  <c r="S306" i="31"/>
  <c r="S304" i="31"/>
  <c r="S302" i="31"/>
  <c r="S298" i="31"/>
  <c r="S296" i="31"/>
  <c r="S294" i="31"/>
  <c r="S290" i="31"/>
  <c r="S288" i="31"/>
  <c r="S286" i="31"/>
  <c r="S282" i="31"/>
  <c r="S280" i="31"/>
  <c r="S278" i="31"/>
  <c r="S274" i="31"/>
  <c r="S272" i="31"/>
  <c r="S270" i="31"/>
  <c r="S266" i="31"/>
  <c r="S264" i="31"/>
  <c r="S262" i="31"/>
  <c r="S258" i="31"/>
  <c r="S256" i="31"/>
  <c r="S254" i="31"/>
  <c r="S250" i="31"/>
  <c r="S246" i="31"/>
  <c r="S242" i="31"/>
  <c r="S238" i="31"/>
  <c r="S234" i="31"/>
  <c r="S230" i="31"/>
  <c r="S226"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4" i="31"/>
  <c r="S490" i="31"/>
  <c r="S486" i="31"/>
  <c r="S482" i="31"/>
  <c r="S478" i="31"/>
  <c r="S474" i="31"/>
  <c r="S470" i="31"/>
  <c r="S444" i="31"/>
  <c r="S442" i="31"/>
  <c r="S440" i="31"/>
  <c r="S438" i="31"/>
  <c r="S436" i="31"/>
  <c r="S434" i="31"/>
  <c r="S432" i="31"/>
  <c r="S430" i="31"/>
  <c r="S122" i="31"/>
  <c r="S118" i="31"/>
  <c r="S114" i="31"/>
  <c r="S506" i="31"/>
  <c r="S502" i="31"/>
  <c r="S498" i="31"/>
  <c r="S466" i="31"/>
  <c r="S462" i="31"/>
  <c r="S458" i="31"/>
  <c r="S454" i="31"/>
  <c r="S450" i="31"/>
  <c r="S54" i="31"/>
  <c r="S50" i="31"/>
  <c r="S46" i="31"/>
  <c r="S42" i="31"/>
  <c r="S38" i="31"/>
  <c r="S34" i="31"/>
  <c r="S74" i="31"/>
  <c r="S70" i="31"/>
  <c r="S66" i="31"/>
  <c r="S62" i="31"/>
  <c r="S58" i="31"/>
  <c r="S94" i="31"/>
  <c r="S90" i="31"/>
  <c r="S86" i="31"/>
  <c r="S82" i="31"/>
  <c r="S78" i="31"/>
  <c r="S98" i="31"/>
  <c r="S102" i="31"/>
  <c r="S106" i="31"/>
  <c r="S110" i="31"/>
  <c r="S446" i="31"/>
  <c r="S448" i="31"/>
  <c r="S510"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D113" i="33"/>
  <c r="F37" i="33"/>
  <c r="D111" i="33"/>
  <c r="E111" i="33"/>
  <c r="F111" i="33"/>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s="1"/>
  <c r="F23" i="36"/>
  <c r="AA23" i="36"/>
  <c r="Q22" i="36"/>
  <c r="Z22" i="36" s="1"/>
  <c r="J22" i="36"/>
  <c r="AC22" i="36"/>
  <c r="Q20" i="36"/>
  <c r="Z20" i="36" s="1"/>
  <c r="Q16" i="36"/>
  <c r="Z16" i="36" s="1"/>
  <c r="Q14" i="36"/>
  <c r="Z14" i="36" s="1"/>
  <c r="Q13" i="36"/>
  <c r="Z13" i="36" s="1"/>
  <c r="Q12" i="36"/>
  <c r="Z12" i="36" s="1"/>
  <c r="H12" i="36"/>
  <c r="U12" i="36"/>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U9" i="34" s="1"/>
  <c r="J8" i="34"/>
  <c r="AC8" i="34" s="1"/>
  <c r="H8" i="34"/>
  <c r="U8" i="34" s="1"/>
  <c r="F8" i="34"/>
  <c r="S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S41" i="21"/>
  <c r="AA41" i="21"/>
  <c r="F45" i="39"/>
  <c r="S45" i="39" s="1"/>
  <c r="J45" i="39"/>
  <c r="W45" i="39" s="1"/>
  <c r="J44" i="39"/>
  <c r="AC44" i="39" s="1"/>
  <c r="F36" i="39"/>
  <c r="S36" i="39" s="1"/>
  <c r="H36" i="39"/>
  <c r="AB36" i="39"/>
  <c r="J35" i="39"/>
  <c r="AC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U31" i="36"/>
  <c r="J33" i="36"/>
  <c r="AC33" i="36" s="1"/>
  <c r="H22" i="35"/>
  <c r="AB22" i="35"/>
  <c r="AC27" i="35"/>
  <c r="W28" i="35"/>
  <c r="U31" i="35"/>
  <c r="W22" i="35"/>
  <c r="S31" i="35"/>
  <c r="U34" i="35"/>
  <c r="F36" i="34"/>
  <c r="AA36" i="34" s="1"/>
  <c r="J35" i="34"/>
  <c r="AC35" i="34" s="1"/>
  <c r="H39" i="33"/>
  <c r="AB39" i="33"/>
  <c r="F26" i="33"/>
  <c r="AA26" i="33" s="1"/>
  <c r="U33" i="33"/>
  <c r="U35" i="33"/>
  <c r="S40" i="33"/>
  <c r="W33" i="33"/>
  <c r="W39" i="33"/>
  <c r="H39" i="37"/>
  <c r="AB39" i="37"/>
  <c r="S27" i="35"/>
  <c r="F11" i="40"/>
  <c r="AA11" i="40"/>
  <c r="H11" i="40"/>
  <c r="AB11" i="40" s="1"/>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J23" i="34"/>
  <c r="W23" i="34" s="1"/>
  <c r="F19" i="34"/>
  <c r="S19" i="34" s="1"/>
  <c r="H17" i="34"/>
  <c r="F15" i="34"/>
  <c r="AA15" i="34" s="1"/>
  <c r="J15" i="34"/>
  <c r="AC15" i="34" s="1"/>
  <c r="H15" i="34"/>
  <c r="AB15" i="34" s="1"/>
  <c r="J28" i="34"/>
  <c r="W28" i="34"/>
  <c r="F41" i="33"/>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c r="F15" i="40"/>
  <c r="S15" i="40" s="1"/>
  <c r="H15" i="40"/>
  <c r="AB15" i="40"/>
  <c r="AC11" i="40"/>
  <c r="AA12" i="36"/>
  <c r="AB30" i="36"/>
  <c r="F29" i="35"/>
  <c r="H29" i="35"/>
  <c r="AB29" i="35" s="1"/>
  <c r="H33" i="37"/>
  <c r="F33" i="37"/>
  <c r="AA33" i="37" s="1"/>
  <c r="U34" i="37"/>
  <c r="S34" i="37"/>
  <c r="AA34" i="37"/>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J37" i="34"/>
  <c r="AC37" i="34" s="1"/>
  <c r="J11" i="33"/>
  <c r="W11" i="33" s="1"/>
  <c r="S28" i="34"/>
  <c r="I123" i="21"/>
  <c r="J123" i="21" s="1"/>
  <c r="K123" i="21" s="1"/>
  <c r="L123" i="21" s="1"/>
  <c r="M123" i="21"/>
  <c r="J42" i="21"/>
  <c r="AC42" i="21"/>
  <c r="H42" i="21"/>
  <c r="U42" i="21"/>
  <c r="J44" i="34"/>
  <c r="AC44" i="34" s="1"/>
  <c r="F44" i="34"/>
  <c r="AA44" i="34" s="1"/>
  <c r="J10" i="35"/>
  <c r="AC10" i="35" s="1"/>
  <c r="J14" i="21"/>
  <c r="W14" i="21"/>
  <c r="F14" i="21"/>
  <c r="S14" i="21" s="1"/>
  <c r="H14" i="21"/>
  <c r="U14" i="21"/>
  <c r="H28" i="21"/>
  <c r="AB28" i="21" s="1"/>
  <c r="F28" i="21"/>
  <c r="AA28" i="21"/>
  <c r="J28" i="21"/>
  <c r="W28" i="21" s="1"/>
  <c r="H30" i="21"/>
  <c r="U30" i="21" s="1"/>
  <c r="F30" i="21"/>
  <c r="S30" i="21" s="1"/>
  <c r="J30" i="21"/>
  <c r="AC30" i="21" s="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c r="F12" i="40"/>
  <c r="S12" i="40" s="1"/>
  <c r="H12" i="40"/>
  <c r="AB12" i="40" s="1"/>
  <c r="H30" i="40"/>
  <c r="AB30" i="40" s="1"/>
  <c r="F33" i="40"/>
  <c r="AA33" i="40"/>
  <c r="H33" i="40"/>
  <c r="J35" i="40"/>
  <c r="AC35" i="40" s="1"/>
  <c r="J37" i="40"/>
  <c r="AC37" i="40" s="1"/>
  <c r="H13" i="40"/>
  <c r="U13" i="40"/>
  <c r="J13" i="40"/>
  <c r="W13" i="40" s="1"/>
  <c r="F13" i="40"/>
  <c r="AA13" i="40" s="1"/>
  <c r="F14" i="37"/>
  <c r="S14" i="37" s="1"/>
  <c r="F27" i="37"/>
  <c r="AA27" i="37"/>
  <c r="F13" i="39"/>
  <c r="J13" i="39"/>
  <c r="W13" i="39" s="1"/>
  <c r="H13" i="39"/>
  <c r="H14" i="40"/>
  <c r="AB14" i="40" s="1"/>
  <c r="J14" i="40"/>
  <c r="W14" i="40" s="1"/>
  <c r="F14" i="40"/>
  <c r="AA14" i="40"/>
  <c r="J14" i="37"/>
  <c r="J27" i="37"/>
  <c r="AC27" i="37"/>
  <c r="AA44" i="33"/>
  <c r="AA14" i="33"/>
  <c r="J36" i="37"/>
  <c r="AC36" i="37"/>
  <c r="J10" i="36"/>
  <c r="AC10" i="36" s="1"/>
  <c r="AB30" i="21"/>
  <c r="W31" i="34"/>
  <c r="AA14" i="34"/>
  <c r="S45" i="33"/>
  <c r="AC28" i="21"/>
  <c r="BA586" i="3"/>
  <c r="BA585"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c r="BA554" i="3"/>
  <c r="AZ554" i="3" s="1"/>
  <c r="BA552" i="3"/>
  <c r="AZ552" i="3" s="1"/>
  <c r="BA548" i="3"/>
  <c r="BA546" i="3"/>
  <c r="BA544" i="3"/>
  <c r="AZ544" i="3" s="1"/>
  <c r="BA542" i="3"/>
  <c r="AZ542" i="3" s="1"/>
  <c r="BA540" i="3"/>
  <c r="BA538" i="3"/>
  <c r="AZ538" i="3" s="1"/>
  <c r="BA536" i="3"/>
  <c r="AZ536" i="3"/>
  <c r="BA534" i="3"/>
  <c r="AZ534" i="3" s="1"/>
  <c r="BA532" i="3"/>
  <c r="AZ532" i="3"/>
  <c r="BA530" i="3"/>
  <c r="BA528" i="3"/>
  <c r="AZ528" i="3" s="1"/>
  <c r="BA526" i="3"/>
  <c r="BA524" i="3"/>
  <c r="AZ524" i="3" s="1"/>
  <c r="BA522" i="3"/>
  <c r="AZ522" i="3" s="1"/>
  <c r="BA520" i="3"/>
  <c r="BA518" i="3"/>
  <c r="BA516" i="3"/>
  <c r="AZ516" i="3" s="1"/>
  <c r="BA514" i="3"/>
  <c r="BA512" i="3"/>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AZ571" i="3" s="1"/>
  <c r="BA569" i="3"/>
  <c r="BA567" i="3"/>
  <c r="BA565"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AZ527" i="3"/>
  <c r="BQ525" i="3"/>
  <c r="BL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AZ499" i="3" s="1"/>
  <c r="BQ497" i="3"/>
  <c r="BL497" i="3" s="1"/>
  <c r="BQ495" i="3"/>
  <c r="BL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s="1"/>
  <c r="F32" i="40"/>
  <c r="S32" i="40" s="1"/>
  <c r="H32" i="40"/>
  <c r="AB32" i="40"/>
  <c r="J36" i="40"/>
  <c r="W36" i="40" s="1"/>
  <c r="H19" i="37"/>
  <c r="AB19" i="37" s="1"/>
  <c r="H42" i="33"/>
  <c r="AB42" i="33" s="1"/>
  <c r="J43" i="33"/>
  <c r="AC43" i="33"/>
  <c r="U14" i="40"/>
  <c r="W23" i="35"/>
  <c r="U39" i="37"/>
  <c r="U26" i="37"/>
  <c r="W47" i="34"/>
  <c r="AA13" i="33"/>
  <c r="AC45" i="33"/>
  <c r="W44" i="33"/>
  <c r="U11" i="33"/>
  <c r="U19" i="21"/>
  <c r="W44"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AC11" i="39" s="1"/>
  <c r="W11" i="39"/>
  <c r="F11" i="39"/>
  <c r="S11" i="39" s="1"/>
  <c r="AA11" i="39"/>
  <c r="G4" i="4"/>
  <c r="I4" i="4"/>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97"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AZ345" i="3" s="1"/>
  <c r="G346" i="3"/>
  <c r="BL349" i="3"/>
  <c r="AZ349" i="3" s="1"/>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69" i="3"/>
  <c r="BA379" i="3"/>
  <c r="AZ379" i="3" s="1"/>
  <c r="BL380" i="3"/>
  <c r="G381" i="3"/>
  <c r="BA383" i="3"/>
  <c r="BL384" i="3"/>
  <c r="AZ384" i="3" s="1"/>
  <c r="G385" i="3"/>
  <c r="BA387" i="3"/>
  <c r="AZ387" i="3" s="1"/>
  <c r="BL388" i="3"/>
  <c r="AZ388" i="3" s="1"/>
  <c r="G389" i="3"/>
  <c r="BA391" i="3"/>
  <c r="AZ391" i="3" s="1"/>
  <c r="BL392" i="3"/>
  <c r="AZ392" i="3" s="1"/>
  <c r="G393" i="3"/>
  <c r="BO5" i="3"/>
  <c r="BM5" i="3"/>
  <c r="BJ5" i="3"/>
  <c r="BH5" i="3"/>
  <c r="BF5" i="3"/>
  <c r="BD5" i="3"/>
  <c r="AZ325" i="3"/>
  <c r="AC5" i="3"/>
  <c r="AZ506" i="3"/>
  <c r="AZ496" i="3"/>
  <c r="G548" i="3"/>
  <c r="G538" i="3"/>
  <c r="G520" i="3"/>
  <c r="G502" i="3"/>
  <c r="BS5" i="3"/>
  <c r="BP5" i="3"/>
  <c r="BN5" i="3"/>
  <c r="BK5" i="3"/>
  <c r="BI5" i="3"/>
  <c r="BG5" i="3"/>
  <c r="BE5" i="3"/>
  <c r="BC5" i="3"/>
  <c r="G17" i="3"/>
  <c r="BA17" i="3"/>
  <c r="AZ17" i="3" s="1"/>
  <c r="BT5" i="3"/>
  <c r="BA15" i="3"/>
  <c r="AZ15" i="3" s="1"/>
  <c r="BR5" i="3"/>
  <c r="AZ380" i="3"/>
  <c r="AZ509" i="3"/>
  <c r="G509" i="3"/>
  <c r="BL493" i="3"/>
  <c r="AZ493" i="3"/>
  <c r="U36" i="40"/>
  <c r="F83" i="43"/>
  <c r="H85" i="43" s="1"/>
  <c r="F50" i="43"/>
  <c r="H54" i="43" s="1"/>
  <c r="F72" i="43"/>
  <c r="H75" i="43" s="1"/>
  <c r="U17" i="39"/>
  <c r="S14" i="35"/>
  <c r="U43" i="21"/>
  <c r="U35" i="21"/>
  <c r="AC35" i="21"/>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53" i="3"/>
  <c r="C40" i="11"/>
  <c r="AZ248" i="3"/>
  <c r="AZ259" i="3"/>
  <c r="AZ271" i="3"/>
  <c r="AZ133" i="3"/>
  <c r="F23" i="39"/>
  <c r="AA23" i="39"/>
  <c r="H27" i="36"/>
  <c r="U27" i="36" s="1"/>
  <c r="F27" i="36"/>
  <c r="AA27" i="36" s="1"/>
  <c r="H33" i="34"/>
  <c r="U33" i="34" s="1"/>
  <c r="F32" i="37"/>
  <c r="AA32" i="37"/>
  <c r="F20" i="36"/>
  <c r="AA20" i="36" s="1"/>
  <c r="J33" i="34"/>
  <c r="AC33" i="34" s="1"/>
  <c r="H23" i="39"/>
  <c r="U23" i="39" s="1"/>
  <c r="K9" i="1"/>
  <c r="M9" i="1" s="1"/>
  <c r="K6" i="1"/>
  <c r="AP6" i="1" s="1"/>
  <c r="G29" i="6"/>
  <c r="AC26" i="33"/>
  <c r="W26" i="33"/>
  <c r="AB34" i="36"/>
  <c r="U34" i="36"/>
  <c r="AB33" i="36"/>
  <c r="U33" i="36"/>
  <c r="AC12" i="39"/>
  <c r="W12" i="39"/>
  <c r="AC39" i="40"/>
  <c r="W39" i="40"/>
  <c r="W12" i="33"/>
  <c r="AC12" i="33"/>
  <c r="AA32" i="36"/>
  <c r="S32" i="36"/>
  <c r="BL14" i="3"/>
  <c r="U30" i="33"/>
  <c r="AC13" i="34"/>
  <c r="AA47" i="34"/>
  <c r="W28" i="37"/>
  <c r="S19" i="39"/>
  <c r="F12" i="33"/>
  <c r="H12" i="39"/>
  <c r="AB12" i="39" s="1"/>
  <c r="F39" i="40"/>
  <c r="BA14" i="3"/>
  <c r="AZ14" i="3" s="1"/>
  <c r="AZ224" i="3"/>
  <c r="AZ250" i="3"/>
  <c r="AZ286" i="3"/>
  <c r="AZ157"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AC42" i="34"/>
  <c r="AA45" i="34"/>
  <c r="U28" i="34"/>
  <c r="AA29"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B45" i="34"/>
  <c r="AB47" i="34"/>
  <c r="AC14" i="34"/>
  <c r="AC32" i="34"/>
  <c r="AC29" i="34"/>
  <c r="W29" i="34"/>
  <c r="W46" i="34"/>
  <c r="AC46" i="34"/>
  <c r="S32" i="34"/>
  <c r="AA32" i="34"/>
  <c r="U30" i="34"/>
  <c r="AB30" i="34"/>
  <c r="S37" i="34"/>
  <c r="S36" i="34"/>
  <c r="AB9" i="34"/>
  <c r="S46" i="34"/>
  <c r="AA46" i="34"/>
  <c r="U32" i="34"/>
  <c r="AB32" i="34"/>
  <c r="U14" i="34"/>
  <c r="AB14"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AB25" i="33"/>
  <c r="S25" i="33"/>
  <c r="AA25" i="33"/>
  <c r="J25" i="33"/>
  <c r="AC25" i="33" s="1"/>
  <c r="U23" i="33"/>
  <c r="F23" i="33"/>
  <c r="G85" i="33"/>
  <c r="H19" i="33"/>
  <c r="AB19" i="33" s="1"/>
  <c r="G81" i="33"/>
  <c r="H17" i="33"/>
  <c r="U17" i="33" s="1"/>
  <c r="F17" i="33"/>
  <c r="S17" i="33" s="1"/>
  <c r="W17" i="33"/>
  <c r="S37" i="21"/>
  <c r="AB15" i="21"/>
  <c r="J23" i="21"/>
  <c r="F85" i="21"/>
  <c r="G85" i="21" s="1"/>
  <c r="H23" i="21"/>
  <c r="S13" i="21"/>
  <c r="D6" i="52"/>
  <c r="AP7" i="1"/>
  <c r="AB45" i="21"/>
  <c r="AA32" i="21"/>
  <c r="W9" i="21"/>
  <c r="AC9" i="21"/>
  <c r="AB32" i="21"/>
  <c r="U32" i="39"/>
  <c r="AC32" i="39"/>
  <c r="J63" i="37"/>
  <c r="K63" i="37" s="1"/>
  <c r="L63" i="37" s="1"/>
  <c r="M63" i="37" s="1"/>
  <c r="J11" i="37"/>
  <c r="AC11" i="37" s="1"/>
  <c r="J11" i="34"/>
  <c r="W11" i="34" s="1"/>
  <c r="W25" i="33"/>
  <c r="AA17" i="33"/>
  <c r="U23" i="21"/>
  <c r="AB23" i="21"/>
  <c r="AC23" i="21"/>
  <c r="W23" i="21"/>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AO13" i="1"/>
  <c r="B11" i="76"/>
  <c r="E13" i="76"/>
  <c r="B12" i="76"/>
  <c r="L48" i="67"/>
  <c r="M28" i="67"/>
  <c r="F16" i="67"/>
  <c r="B10" i="76"/>
  <c r="F20" i="31"/>
  <c r="F42" i="67"/>
  <c r="F7" i="73"/>
  <c r="M6" i="67"/>
  <c r="L47" i="67"/>
  <c r="F38" i="67"/>
  <c r="B13" i="76"/>
  <c r="F5" i="73"/>
  <c r="M24" i="67"/>
  <c r="M8" i="67"/>
  <c r="F37" i="67"/>
  <c r="F3" i="73"/>
  <c r="F8" i="67"/>
  <c r="E11" i="76"/>
  <c r="E10" i="76"/>
  <c r="C76" i="67"/>
  <c r="E2" i="69"/>
  <c r="F13" i="67"/>
  <c r="M26" i="67"/>
  <c r="E7" i="76"/>
  <c r="F7" i="67"/>
  <c r="B8" i="76"/>
  <c r="F26" i="67"/>
  <c r="F9" i="67"/>
  <c r="E9" i="76"/>
  <c r="F6" i="67"/>
  <c r="B7" i="76"/>
  <c r="F43" i="67"/>
  <c r="F6" i="73"/>
  <c r="M22" i="67"/>
  <c r="E12" i="76"/>
  <c r="E8" i="76"/>
  <c r="F40" i="67"/>
  <c r="B9" i="76"/>
  <c r="F4" i="73"/>
  <c r="F36" i="67"/>
  <c r="E104" i="31" l="1"/>
  <c r="E100" i="31"/>
  <c r="E96" i="31"/>
  <c r="E92" i="31"/>
  <c r="E88" i="31"/>
  <c r="E84" i="31"/>
  <c r="E80" i="31"/>
  <c r="E76" i="31"/>
  <c r="E72" i="31"/>
  <c r="E68" i="31"/>
  <c r="E64" i="31"/>
  <c r="E60" i="31"/>
  <c r="E56" i="31"/>
  <c r="E52" i="31"/>
  <c r="E48" i="31"/>
  <c r="E44" i="31"/>
  <c r="E40" i="31"/>
  <c r="E36" i="31"/>
  <c r="E32" i="31"/>
  <c r="F43" i="34"/>
  <c r="AA43" i="34" s="1"/>
  <c r="E87" i="31"/>
  <c r="E83" i="31"/>
  <c r="E79" i="31"/>
  <c r="E75" i="31"/>
  <c r="E71" i="31"/>
  <c r="E67" i="31"/>
  <c r="E63" i="31"/>
  <c r="E59" i="31"/>
  <c r="E55" i="31"/>
  <c r="E51" i="31"/>
  <c r="E47" i="31"/>
  <c r="E43" i="31"/>
  <c r="E39" i="31"/>
  <c r="E35" i="31"/>
  <c r="E31" i="31"/>
  <c r="J43" i="34"/>
  <c r="AC43" i="34" s="1"/>
  <c r="H43" i="34"/>
  <c r="AB43" i="34" s="1"/>
  <c r="C51" i="10"/>
  <c r="A13" i="51" s="1"/>
  <c r="B11" i="72" s="1"/>
  <c r="A2" i="88"/>
  <c r="A118" i="87"/>
  <c r="A118" i="83"/>
  <c r="A118" i="84"/>
  <c r="A2" i="89"/>
  <c r="A118" i="88"/>
  <c r="A2" i="86"/>
  <c r="A2" i="84"/>
  <c r="A2" i="83"/>
  <c r="A118" i="82"/>
  <c r="A2" i="85"/>
  <c r="A2" i="87"/>
  <c r="A118" i="86"/>
  <c r="A118" i="85"/>
  <c r="A2" i="82"/>
  <c r="A118" i="89"/>
  <c r="H27" i="34"/>
  <c r="AB27" i="34" s="1"/>
  <c r="J27" i="34"/>
  <c r="W27" i="34" s="1"/>
  <c r="AA8" i="34"/>
  <c r="S44" i="34"/>
  <c r="W41" i="34"/>
  <c r="AB41" i="34"/>
  <c r="U39" i="34"/>
  <c r="AC36" i="34"/>
  <c r="AB33" i="34"/>
  <c r="AA19" i="34"/>
  <c r="W15" i="34"/>
  <c r="U15" i="34"/>
  <c r="W44" i="34"/>
  <c r="AB36" i="34"/>
  <c r="AA35" i="34"/>
  <c r="W33" i="34"/>
  <c r="AA33" i="34"/>
  <c r="S23" i="34"/>
  <c r="W19" i="34"/>
  <c r="U19" i="34"/>
  <c r="S17" i="34"/>
  <c r="AC17" i="34"/>
  <c r="AB8" i="34"/>
  <c r="AB40" i="34"/>
  <c r="AA40" i="34"/>
  <c r="W40" i="34"/>
  <c r="AC39" i="34"/>
  <c r="S38" i="34"/>
  <c r="U38" i="34"/>
  <c r="AC38" i="34"/>
  <c r="W35" i="34"/>
  <c r="AB35" i="34"/>
  <c r="U34" i="34"/>
  <c r="AA30" i="34"/>
  <c r="U27" i="34"/>
  <c r="AC27" i="34"/>
  <c r="U25" i="34"/>
  <c r="AA25" i="34"/>
  <c r="W25" i="34"/>
  <c r="W8" i="34"/>
  <c r="W9" i="34"/>
  <c r="D93" i="9"/>
  <c r="B41" i="1"/>
  <c r="G1" i="69"/>
  <c r="G1" i="15"/>
  <c r="G18" i="3"/>
  <c r="H5" i="3"/>
  <c r="BB5" i="3"/>
  <c r="E11" i="6" s="1"/>
  <c r="E60" i="39" s="1"/>
  <c r="G14" i="3"/>
  <c r="A4" i="52"/>
  <c r="B41" i="72" s="1"/>
  <c r="A2" i="9"/>
  <c r="A118" i="9"/>
  <c r="J1" i="73"/>
  <c r="AZ513" i="3"/>
  <c r="AZ502" i="3"/>
  <c r="AA41" i="33"/>
  <c r="S41" i="33"/>
  <c r="U19" i="33"/>
  <c r="AC27" i="33"/>
  <c r="AC23" i="37"/>
  <c r="U9" i="21"/>
  <c r="S23" i="21"/>
  <c r="W15" i="21"/>
  <c r="S30" i="40"/>
  <c r="AZ372" i="3"/>
  <c r="AZ347" i="3"/>
  <c r="AZ337" i="3"/>
  <c r="AZ583" i="3"/>
  <c r="AZ497" i="3"/>
  <c r="AZ568" i="3"/>
  <c r="AZ576" i="3"/>
  <c r="AZ584" i="3"/>
  <c r="AB46" i="34"/>
  <c r="U46" i="33"/>
  <c r="U33" i="40"/>
  <c r="AB33" i="40"/>
  <c r="AC40" i="37"/>
  <c r="W17" i="21"/>
  <c r="U12" i="39"/>
  <c r="AA27" i="40"/>
  <c r="AZ338" i="3"/>
  <c r="AZ371" i="3"/>
  <c r="AZ523" i="3"/>
  <c r="AZ579" i="3"/>
  <c r="W31" i="33"/>
  <c r="AC31" i="33"/>
  <c r="U23" i="34"/>
  <c r="AB23" i="34"/>
  <c r="AB36" i="33"/>
  <c r="AA19" i="33"/>
  <c r="AA39" i="39"/>
  <c r="F29" i="6"/>
  <c r="AZ318" i="3"/>
  <c r="AZ364" i="3"/>
  <c r="AZ329" i="3"/>
  <c r="AZ304" i="3"/>
  <c r="AZ394" i="3"/>
  <c r="AC12" i="37"/>
  <c r="AZ525" i="3"/>
  <c r="AZ531" i="3"/>
  <c r="AZ512" i="3"/>
  <c r="AZ520" i="3"/>
  <c r="AA14" i="37"/>
  <c r="AA11" i="36"/>
  <c r="S11" i="36"/>
  <c r="U45" i="33"/>
  <c r="AB45" i="33"/>
  <c r="S29" i="35"/>
  <c r="AA29" i="35"/>
  <c r="U17" i="34"/>
  <c r="AB17" i="34"/>
  <c r="BA551" i="3"/>
  <c r="AZ551" i="3" s="1"/>
  <c r="BA550" i="3"/>
  <c r="BL548" i="3"/>
  <c r="AZ548" i="3" s="1"/>
  <c r="W28" i="36"/>
  <c r="BL585" i="3"/>
  <c r="J9" i="36"/>
  <c r="AZ360" i="3"/>
  <c r="AZ539" i="3"/>
  <c r="AZ529" i="3"/>
  <c r="AZ537" i="3"/>
  <c r="AZ518" i="3"/>
  <c r="AZ526" i="3"/>
  <c r="AZ546" i="3"/>
  <c r="AZ564" i="3"/>
  <c r="AZ580" i="3"/>
  <c r="AZ585" i="3"/>
  <c r="W40" i="33"/>
  <c r="F35" i="39"/>
  <c r="AB41" i="21"/>
  <c r="B79" i="43"/>
  <c r="J36" i="35"/>
  <c r="AC36" i="35" s="1"/>
  <c r="J23" i="36"/>
  <c r="J24" i="36"/>
  <c r="H24" i="36"/>
  <c r="H39" i="40"/>
  <c r="W31" i="35"/>
  <c r="AC31" i="35"/>
  <c r="BL550" i="3"/>
  <c r="BL587" i="3"/>
  <c r="AZ587" i="3" s="1"/>
  <c r="BL586" i="3"/>
  <c r="AZ586" i="3" s="1"/>
  <c r="G558" i="3"/>
  <c r="AZ402" i="3"/>
  <c r="AZ406" i="3"/>
  <c r="AZ432" i="3"/>
  <c r="BA436" i="3"/>
  <c r="AZ443" i="3"/>
  <c r="BA471" i="3"/>
  <c r="AZ471" i="3" s="1"/>
  <c r="AZ487" i="3"/>
  <c r="W21" i="37"/>
  <c r="AC21" i="37"/>
  <c r="AC18" i="35"/>
  <c r="W18" i="35"/>
  <c r="S18" i="35"/>
  <c r="AA18" i="35"/>
  <c r="V24" i="71"/>
  <c r="E23" i="71"/>
  <c r="E22" i="71" s="1"/>
  <c r="E21" i="71" s="1"/>
  <c r="E20" i="71"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L437" i="3"/>
  <c r="AZ437" i="3" s="1"/>
  <c r="G440" i="3"/>
  <c r="BL441" i="3"/>
  <c r="BL442" i="3"/>
  <c r="BL444" i="3"/>
  <c r="AZ444" i="3" s="1"/>
  <c r="G447" i="3"/>
  <c r="BL448" i="3"/>
  <c r="AZ448" i="3" s="1"/>
  <c r="G451" i="3"/>
  <c r="BA454" i="3"/>
  <c r="BA457" i="3"/>
  <c r="AZ457" i="3" s="1"/>
  <c r="BA459" i="3"/>
  <c r="AZ459" i="3" s="1"/>
  <c r="BA460" i="3"/>
  <c r="AZ460" i="3" s="1"/>
  <c r="BA461" i="3"/>
  <c r="AZ461" i="3" s="1"/>
  <c r="BL464" i="3"/>
  <c r="BL466" i="3"/>
  <c r="AZ466" i="3" s="1"/>
  <c r="G469" i="3"/>
  <c r="BA483" i="3"/>
  <c r="BL483" i="3"/>
  <c r="AZ483" i="3" s="1"/>
  <c r="BA486" i="3"/>
  <c r="BL489" i="3"/>
  <c r="BL491" i="3"/>
  <c r="BL492" i="3"/>
  <c r="BA315" i="3"/>
  <c r="AZ315" i="3" s="1"/>
  <c r="BA333" i="3"/>
  <c r="BL346" i="3"/>
  <c r="AZ346" i="3" s="1"/>
  <c r="BL367" i="3"/>
  <c r="BL375" i="3"/>
  <c r="AZ375" i="3" s="1"/>
  <c r="BL215" i="3"/>
  <c r="BA222" i="3"/>
  <c r="AZ222" i="3" s="1"/>
  <c r="BL16" i="3"/>
  <c r="AZ16" i="3" s="1"/>
  <c r="BA401" i="3"/>
  <c r="AZ401" i="3" s="1"/>
  <c r="BA403" i="3"/>
  <c r="AZ403" i="3" s="1"/>
  <c r="BA404" i="3"/>
  <c r="AZ404" i="3" s="1"/>
  <c r="BA405" i="3"/>
  <c r="G409" i="3"/>
  <c r="BL410" i="3"/>
  <c r="G412" i="3"/>
  <c r="G418" i="3"/>
  <c r="G419" i="3"/>
  <c r="BA422" i="3"/>
  <c r="AZ422" i="3" s="1"/>
  <c r="G429" i="3"/>
  <c r="G430" i="3"/>
  <c r="BL431" i="3"/>
  <c r="G433" i="3"/>
  <c r="BL434" i="3"/>
  <c r="G436" i="3"/>
  <c r="G437" i="3"/>
  <c r="BL438" i="3"/>
  <c r="BL439" i="3"/>
  <c r="BA441" i="3"/>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G358" i="3"/>
  <c r="BA366" i="3"/>
  <c r="AZ366" i="3" s="1"/>
  <c r="BA368" i="3"/>
  <c r="BL368" i="3"/>
  <c r="BA374" i="3"/>
  <c r="AZ374" i="3" s="1"/>
  <c r="BL383" i="3"/>
  <c r="AZ383" i="3" s="1"/>
  <c r="G384" i="3"/>
  <c r="BA396" i="3"/>
  <c r="BA208" i="3"/>
  <c r="AZ208" i="3" s="1"/>
  <c r="BL213" i="3"/>
  <c r="BL216" i="3"/>
  <c r="G217" i="3"/>
  <c r="BL217" i="3"/>
  <c r="BA219" i="3"/>
  <c r="AZ219" i="3" s="1"/>
  <c r="G223" i="3"/>
  <c r="BA226" i="3"/>
  <c r="BA231" i="3"/>
  <c r="G234" i="3"/>
  <c r="BA235" i="3"/>
  <c r="G238" i="3"/>
  <c r="G243" i="3"/>
  <c r="BA265" i="3"/>
  <c r="BL272" i="3"/>
  <c r="G281" i="3"/>
  <c r="G116" i="3"/>
  <c r="G398" i="3"/>
  <c r="BL400" i="3"/>
  <c r="AZ400" i="3" s="1"/>
  <c r="BL408" i="3"/>
  <c r="AZ408" i="3" s="1"/>
  <c r="BL411" i="3"/>
  <c r="AZ411" i="3" s="1"/>
  <c r="BL413" i="3"/>
  <c r="AZ413" i="3" s="1"/>
  <c r="G415" i="3"/>
  <c r="BL417" i="3"/>
  <c r="AZ417" i="3" s="1"/>
  <c r="BL418" i="3"/>
  <c r="BL420" i="3"/>
  <c r="G422" i="3"/>
  <c r="BL424" i="3"/>
  <c r="G426" i="3"/>
  <c r="BL428" i="3"/>
  <c r="AZ428" i="3" s="1"/>
  <c r="BL429" i="3"/>
  <c r="AZ429" i="3" s="1"/>
  <c r="BL432" i="3"/>
  <c r="BL435" i="3"/>
  <c r="AZ435" i="3" s="1"/>
  <c r="BL436" i="3"/>
  <c r="BA439" i="3"/>
  <c r="BA440" i="3"/>
  <c r="AZ440" i="3" s="1"/>
  <c r="BA442" i="3"/>
  <c r="BA445" i="3"/>
  <c r="BA447" i="3"/>
  <c r="AZ447" i="3" s="1"/>
  <c r="BA449" i="3"/>
  <c r="BL453" i="3"/>
  <c r="AZ453" i="3" s="1"/>
  <c r="BL454" i="3"/>
  <c r="BL459" i="3"/>
  <c r="G461"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58" i="3"/>
  <c r="AZ358" i="3" s="1"/>
  <c r="G362" i="3"/>
  <c r="BL365" i="3"/>
  <c r="AZ365" i="3" s="1"/>
  <c r="G366" i="3"/>
  <c r="G209" i="3"/>
  <c r="AZ217" i="3"/>
  <c r="G221" i="3"/>
  <c r="BA223" i="3"/>
  <c r="BL227" i="3"/>
  <c r="G228" i="3"/>
  <c r="BL228" i="3"/>
  <c r="AZ228" i="3" s="1"/>
  <c r="BA230" i="3"/>
  <c r="AZ230" i="3" s="1"/>
  <c r="BL234" i="3"/>
  <c r="BA257" i="3"/>
  <c r="G263" i="3"/>
  <c r="G276" i="3"/>
  <c r="BA301" i="3"/>
  <c r="AZ301" i="3" s="1"/>
  <c r="BA237" i="3"/>
  <c r="AZ237" i="3" s="1"/>
  <c r="BL240" i="3"/>
  <c r="AZ240" i="3" s="1"/>
  <c r="BA242" i="3"/>
  <c r="AZ242" i="3" s="1"/>
  <c r="BL245" i="3"/>
  <c r="AZ245" i="3" s="1"/>
  <c r="BL255" i="3"/>
  <c r="BL257" i="3"/>
  <c r="BL258" i="3"/>
  <c r="BA262" i="3"/>
  <c r="AZ262" i="3" s="1"/>
  <c r="BL265" i="3"/>
  <c r="BA273" i="3"/>
  <c r="BA278" i="3"/>
  <c r="AZ278" i="3" s="1"/>
  <c r="BA280" i="3"/>
  <c r="AZ280" i="3" s="1"/>
  <c r="BL283" i="3"/>
  <c r="AZ283" i="3" s="1"/>
  <c r="BL284" i="3"/>
  <c r="G288" i="3"/>
  <c r="BL292" i="3"/>
  <c r="BA294" i="3"/>
  <c r="BL295" i="3"/>
  <c r="BA298" i="3"/>
  <c r="AZ298" i="3" s="1"/>
  <c r="BL301" i="3"/>
  <c r="BL302" i="3"/>
  <c r="BA114" i="3"/>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BA31" i="3"/>
  <c r="BA32" i="3"/>
  <c r="G37" i="3"/>
  <c r="BA51" i="3"/>
  <c r="G55" i="3"/>
  <c r="BL56" i="3"/>
  <c r="BA58" i="3"/>
  <c r="BL59" i="3"/>
  <c r="AZ59" i="3" s="1"/>
  <c r="BL60" i="3"/>
  <c r="BA61" i="3"/>
  <c r="AZ61" i="3" s="1"/>
  <c r="BA68" i="3"/>
  <c r="BA80" i="3"/>
  <c r="BL84" i="3"/>
  <c r="AB21" i="34"/>
  <c r="U21" i="34"/>
  <c r="B100" i="43"/>
  <c r="B57" i="43"/>
  <c r="B68" i="43"/>
  <c r="B77" i="43"/>
  <c r="C44" i="71"/>
  <c r="D43" i="71"/>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BA229" i="3"/>
  <c r="AZ229" i="3" s="1"/>
  <c r="BL229" i="3"/>
  <c r="BL231" i="3"/>
  <c r="G233" i="3"/>
  <c r="BL233" i="3"/>
  <c r="AZ233" i="3" s="1"/>
  <c r="G235" i="3"/>
  <c r="BL235" i="3"/>
  <c r="BL236" i="3"/>
  <c r="G237" i="3"/>
  <c r="BL238" i="3"/>
  <c r="AZ238" i="3" s="1"/>
  <c r="G239" i="3"/>
  <c r="BL243" i="3"/>
  <c r="AZ243" i="3" s="1"/>
  <c r="G244" i="3"/>
  <c r="BA247" i="3"/>
  <c r="BL247" i="3"/>
  <c r="BA249" i="3"/>
  <c r="AZ249" i="3" s="1"/>
  <c r="BL249" i="3"/>
  <c r="BA251" i="3"/>
  <c r="BL251" i="3"/>
  <c r="BA253" i="3"/>
  <c r="BL260" i="3"/>
  <c r="G262" i="3"/>
  <c r="BL263" i="3"/>
  <c r="AZ263" i="3" s="1"/>
  <c r="G264" i="3"/>
  <c r="BL270" i="3"/>
  <c r="AZ270" i="3" s="1"/>
  <c r="BA272" i="3"/>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AZ27" i="3" s="1"/>
  <c r="BA28" i="3"/>
  <c r="AZ28" i="3" s="1"/>
  <c r="BL30" i="3"/>
  <c r="BL31" i="3"/>
  <c r="BA40" i="3"/>
  <c r="G47" i="3"/>
  <c r="BL48" i="3"/>
  <c r="BL69" i="3"/>
  <c r="AZ69" i="3" s="1"/>
  <c r="BA73" i="3"/>
  <c r="BL86" i="3"/>
  <c r="AZ86" i="3" s="1"/>
  <c r="BA89" i="3"/>
  <c r="BA98" i="3"/>
  <c r="BA106" i="3"/>
  <c r="AC18" i="36"/>
  <c r="W18" i="36"/>
  <c r="AB25" i="40"/>
  <c r="U25" i="40"/>
  <c r="C47" i="71"/>
  <c r="D47" i="71" s="1"/>
  <c r="D46" i="7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BL290" i="3"/>
  <c r="BL291" i="3"/>
  <c r="AZ291" i="3" s="1"/>
  <c r="BL293" i="3"/>
  <c r="BL294" i="3"/>
  <c r="BA297" i="3"/>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BA33" i="3"/>
  <c r="BA36" i="3"/>
  <c r="BL38" i="3"/>
  <c r="AZ38" i="3" s="1"/>
  <c r="BA39" i="3"/>
  <c r="BA41" i="3"/>
  <c r="AZ41" i="3" s="1"/>
  <c r="BA42" i="3"/>
  <c r="BL45" i="3"/>
  <c r="BA48" i="3"/>
  <c r="BA49" i="3"/>
  <c r="G51" i="3"/>
  <c r="G63" i="3"/>
  <c r="BA64" i="3"/>
  <c r="AZ64" i="3" s="1"/>
  <c r="BL74" i="3"/>
  <c r="AZ74" i="3" s="1"/>
  <c r="BA77" i="3"/>
  <c r="BA87" i="3"/>
  <c r="BL101" i="3"/>
  <c r="BL102" i="3"/>
  <c r="BA104" i="3"/>
  <c r="BA109" i="3"/>
  <c r="B13" i="1"/>
  <c r="E13" i="1" s="1"/>
  <c r="K13" i="1"/>
  <c r="M13" i="1" s="1"/>
  <c r="O13" i="1" s="1"/>
  <c r="P13" i="1" s="1"/>
  <c r="D31" i="71"/>
  <c r="C32" i="71"/>
  <c r="C52" i="71"/>
  <c r="D51" i="71"/>
  <c r="C55" i="71"/>
  <c r="D54" i="71"/>
  <c r="N67" i="71"/>
  <c r="B66" i="71"/>
  <c r="F66" i="71"/>
  <c r="Q67" i="71"/>
  <c r="BL106" i="3"/>
  <c r="BA108" i="3"/>
  <c r="AZ108" i="3" s="1"/>
  <c r="BA110" i="3"/>
  <c r="AZ110" i="3" s="1"/>
  <c r="F3" i="35"/>
  <c r="S21" i="37"/>
  <c r="S25" i="40"/>
  <c r="O67" i="71"/>
  <c r="AA28" i="71"/>
  <c r="AB27" i="71"/>
  <c r="E75" i="71"/>
  <c r="E74" i="71" s="1"/>
  <c r="AB25" i="71"/>
  <c r="X26" i="71"/>
  <c r="Y25" i="71"/>
  <c r="Z25" i="71" s="1"/>
  <c r="X38" i="71"/>
  <c r="C35" i="71"/>
  <c r="N68" i="71"/>
  <c r="E38" i="71"/>
  <c r="E39" i="71" s="1"/>
  <c r="E40" i="71" s="1"/>
  <c r="U40" i="71" s="1"/>
  <c r="B34" i="71"/>
  <c r="B35" i="71" s="1"/>
  <c r="B36" i="71" s="1"/>
  <c r="S36" i="71" s="1"/>
  <c r="X33" i="71"/>
  <c r="AB37" i="7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29" i="3"/>
  <c r="G33" i="3"/>
  <c r="G34" i="3"/>
  <c r="BA37" i="3"/>
  <c r="G39" i="3"/>
  <c r="BL39" i="3"/>
  <c r="G43" i="3"/>
  <c r="G44" i="3"/>
  <c r="BA45" i="3"/>
  <c r="BA46" i="3"/>
  <c r="BL49" i="3"/>
  <c r="BL50" i="3"/>
  <c r="AZ50" i="3" s="1"/>
  <c r="BL51" i="3"/>
  <c r="G53" i="3"/>
  <c r="BL53" i="3"/>
  <c r="BA56" i="3"/>
  <c r="BA57" i="3"/>
  <c r="BL58" i="3"/>
  <c r="G60" i="3"/>
  <c r="BA60" i="3"/>
  <c r="BA63" i="3"/>
  <c r="BA66" i="3"/>
  <c r="AZ66" i="3" s="1"/>
  <c r="BA71" i="3"/>
  <c r="G76" i="3"/>
  <c r="BL77" i="3"/>
  <c r="BA79" i="3"/>
  <c r="AZ79" i="3" s="1"/>
  <c r="G82" i="3"/>
  <c r="G83" i="3"/>
  <c r="BA84" i="3"/>
  <c r="AZ84" i="3" s="1"/>
  <c r="BL88" i="3"/>
  <c r="AZ88" i="3" s="1"/>
  <c r="G90" i="3"/>
  <c r="BL90" i="3"/>
  <c r="BL92" i="3"/>
  <c r="G101" i="3"/>
  <c r="BA101" i="3"/>
  <c r="AZ101" i="3" s="1"/>
  <c r="G108" i="3"/>
  <c r="G109" i="3"/>
  <c r="BL112" i="3"/>
  <c r="S21" i="34"/>
  <c r="B88" i="43"/>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BA90" i="3"/>
  <c r="BL94" i="3"/>
  <c r="AZ94" i="3" s="1"/>
  <c r="BA100" i="3"/>
  <c r="AZ100" i="3" s="1"/>
  <c r="BA102" i="3"/>
  <c r="AZ102" i="3" s="1"/>
  <c r="BL105" i="3"/>
  <c r="AZ105" i="3" s="1"/>
  <c r="BL107" i="3"/>
  <c r="BA111" i="3"/>
  <c r="AZ111" i="3"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5" i="6"/>
  <c r="E64" i="39" s="1"/>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I1" i="73"/>
  <c r="B39" i="1" s="1"/>
  <c r="F51" i="67"/>
  <c r="F65" i="67"/>
  <c r="J53" i="67"/>
  <c r="J57" i="67"/>
  <c r="J55" i="67" s="1"/>
  <c r="J58" i="67" s="1"/>
  <c r="Q50" i="67" s="1"/>
  <c r="L56" i="67"/>
  <c r="I54" i="67"/>
  <c r="F66" i="67"/>
  <c r="Q71" i="67"/>
  <c r="C27" i="67"/>
  <c r="F71" i="67"/>
  <c r="N59" i="67"/>
  <c r="L59" i="67"/>
  <c r="L58" i="67"/>
  <c r="M59" i="67"/>
  <c r="B13" i="70"/>
  <c r="M7" i="67"/>
  <c r="F50" i="67"/>
  <c r="F68" i="67"/>
  <c r="F64" i="67"/>
  <c r="C36" i="68"/>
  <c r="D9" i="68"/>
  <c r="M29" i="15"/>
  <c r="M6" i="15"/>
  <c r="L47" i="15"/>
  <c r="M24" i="15"/>
  <c r="D6" i="73"/>
  <c r="C16" i="67"/>
  <c r="J15" i="15"/>
  <c r="D5" i="73"/>
  <c r="M9" i="67"/>
  <c r="F36" i="15"/>
  <c r="M28" i="15"/>
  <c r="F9" i="15"/>
  <c r="C76" i="15"/>
  <c r="M8" i="15"/>
  <c r="D3" i="73"/>
  <c r="F8" i="15"/>
  <c r="M23" i="15"/>
  <c r="D4" i="73"/>
  <c r="F16" i="15"/>
  <c r="F42" i="15"/>
  <c r="F40" i="15"/>
  <c r="F38" i="15"/>
  <c r="F43" i="15"/>
  <c r="J15" i="67"/>
  <c r="F26" i="15"/>
  <c r="M9" i="15"/>
  <c r="M23" i="67"/>
  <c r="L48" i="15"/>
  <c r="F13" i="15"/>
  <c r="F6" i="15"/>
  <c r="F7" i="15"/>
  <c r="M29" i="67"/>
  <c r="F37" i="15"/>
  <c r="D7" i="73"/>
  <c r="D9" i="69"/>
  <c r="M26" i="15"/>
  <c r="M22" i="15"/>
  <c r="S43" i="34" l="1"/>
  <c r="W43" i="34"/>
  <c r="U43" i="34"/>
  <c r="F48" i="9"/>
  <c r="O52" i="9" s="1"/>
  <c r="F30" i="11"/>
  <c r="M18" i="67"/>
  <c r="M18" i="15"/>
  <c r="F30" i="69"/>
  <c r="F30" i="68"/>
  <c r="F28" i="67"/>
  <c r="C28" i="67" s="1"/>
  <c r="F32" i="67"/>
  <c r="F60" i="67" s="1"/>
  <c r="F28" i="15"/>
  <c r="C28" i="15" s="1"/>
  <c r="D68" i="9"/>
  <c r="F52" i="9"/>
  <c r="F32" i="15"/>
  <c r="F60" i="15" s="1"/>
  <c r="F54" i="9"/>
  <c r="F31" i="12"/>
  <c r="C31" i="12" s="1"/>
  <c r="F50" i="15"/>
  <c r="M7" i="15"/>
  <c r="F66" i="15"/>
  <c r="Q71" i="15"/>
  <c r="F68" i="15"/>
  <c r="M59" i="15"/>
  <c r="L59" i="15"/>
  <c r="Q74" i="15" s="1"/>
  <c r="L58" i="15"/>
  <c r="Q60" i="15" s="1"/>
  <c r="N59" i="15"/>
  <c r="J57" i="15"/>
  <c r="J55" i="15" s="1"/>
  <c r="J58" i="15" s="1"/>
  <c r="Q50" i="15" s="1"/>
  <c r="J53" i="15"/>
  <c r="L56" i="15" s="1"/>
  <c r="I54" i="15"/>
  <c r="F64" i="15"/>
  <c r="E14" i="6"/>
  <c r="E10" i="6"/>
  <c r="E8" i="6"/>
  <c r="F27" i="6" s="1"/>
  <c r="F31" i="6" s="1"/>
  <c r="G26" i="43"/>
  <c r="N94" i="46"/>
  <c r="F26" i="43"/>
  <c r="N370" i="46"/>
  <c r="J26" i="43"/>
  <c r="K16" i="1"/>
  <c r="P6" i="1"/>
  <c r="C13" i="12" s="1"/>
  <c r="Q16" i="1"/>
  <c r="E26" i="43"/>
  <c r="J7" i="36"/>
  <c r="F65" i="15"/>
  <c r="C27" i="15"/>
  <c r="F31" i="15"/>
  <c r="F51" i="15"/>
  <c r="F59" i="15" s="1"/>
  <c r="C6" i="15"/>
  <c r="C32" i="15" s="1"/>
  <c r="F71" i="15"/>
  <c r="J6" i="67"/>
  <c r="J18" i="67" s="1"/>
  <c r="J6" i="15"/>
  <c r="J18" i="15" s="1"/>
  <c r="AZ63" i="3"/>
  <c r="AZ57" i="3"/>
  <c r="AZ45" i="3"/>
  <c r="C40" i="71"/>
  <c r="D39" i="71"/>
  <c r="T52" i="71"/>
  <c r="D52" i="71"/>
  <c r="AZ39" i="3"/>
  <c r="AZ130" i="3"/>
  <c r="AZ244" i="3"/>
  <c r="AZ239" i="3"/>
  <c r="AZ178" i="3"/>
  <c r="AZ227" i="3"/>
  <c r="AZ58" i="3"/>
  <c r="AZ257" i="3"/>
  <c r="U39" i="40"/>
  <c r="AB39" i="40"/>
  <c r="G5" i="3"/>
  <c r="B3" i="3" s="1"/>
  <c r="E412" i="3" s="1"/>
  <c r="C70" i="71"/>
  <c r="D70" i="71" s="1"/>
  <c r="D71" i="71"/>
  <c r="T32" i="71"/>
  <c r="D32" i="71"/>
  <c r="AZ273" i="3"/>
  <c r="AB24" i="36"/>
  <c r="U24" i="36"/>
  <c r="AC9" i="36"/>
  <c r="W9" i="36"/>
  <c r="G16" i="1"/>
  <c r="F10" i="39" s="1"/>
  <c r="AA10" i="39" s="1"/>
  <c r="AZ71" i="3"/>
  <c r="T28" i="71"/>
  <c r="D28" i="71"/>
  <c r="U28" i="71" s="1"/>
  <c r="C27" i="71"/>
  <c r="D79" i="71"/>
  <c r="C78" i="71"/>
  <c r="D78" i="71" s="1"/>
  <c r="C36" i="71"/>
  <c r="D35" i="71"/>
  <c r="C56" i="71"/>
  <c r="D55" i="71"/>
  <c r="AZ77" i="3"/>
  <c r="AZ137" i="3"/>
  <c r="AZ297" i="3"/>
  <c r="AZ241" i="3"/>
  <c r="AZ272" i="3"/>
  <c r="AZ251" i="3"/>
  <c r="AZ247" i="3"/>
  <c r="AZ31" i="3"/>
  <c r="AZ25" i="3"/>
  <c r="AZ294" i="3"/>
  <c r="AZ223" i="3"/>
  <c r="AZ235" i="3"/>
  <c r="AZ368" i="3"/>
  <c r="AZ441" i="3"/>
  <c r="AZ405" i="3"/>
  <c r="AC24" i="36"/>
  <c r="W24" i="36"/>
  <c r="AZ550" i="3"/>
  <c r="D83" i="71"/>
  <c r="C82" i="71"/>
  <c r="D82" i="71" s="1"/>
  <c r="O65" i="71"/>
  <c r="D66" i="71"/>
  <c r="O66" i="71"/>
  <c r="N65" i="71"/>
  <c r="N66" i="71"/>
  <c r="AZ49" i="3"/>
  <c r="AZ284" i="3"/>
  <c r="D44" i="71"/>
  <c r="T44" i="71"/>
  <c r="AZ51" i="3"/>
  <c r="AZ29" i="3"/>
  <c r="AZ150" i="3"/>
  <c r="AZ265" i="3"/>
  <c r="AZ454" i="3"/>
  <c r="AZ418" i="3"/>
  <c r="AC23" i="36"/>
  <c r="W23" i="36"/>
  <c r="AA35" i="39"/>
  <c r="S35" i="39"/>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P28" i="43"/>
  <c r="B66" i="40" s="1"/>
  <c r="P25" i="43"/>
  <c r="C49" i="67"/>
  <c r="P29" i="43"/>
  <c r="P27" i="43"/>
  <c r="B70" i="39" s="1"/>
  <c r="C32" i="67"/>
  <c r="Q60" i="67"/>
  <c r="Q73" i="67"/>
  <c r="M11" i="67"/>
  <c r="J10" i="67" s="1"/>
  <c r="F11" i="15"/>
  <c r="M11" i="15"/>
  <c r="J10" i="15" s="1"/>
  <c r="F11" i="67"/>
  <c r="F1" i="67"/>
  <c r="Q52" i="67"/>
  <c r="Q61" i="67"/>
  <c r="Q74" i="67"/>
  <c r="AE11" i="1"/>
  <c r="AE9" i="1"/>
  <c r="AE7" i="1"/>
  <c r="AE8" i="1"/>
  <c r="AE12" i="1"/>
  <c r="AE10" i="1"/>
  <c r="C16" i="15"/>
  <c r="AE6" i="1"/>
  <c r="G1" i="73"/>
  <c r="C36" i="69"/>
  <c r="F41" i="67"/>
  <c r="F27" i="69"/>
  <c r="S10" i="39" l="1"/>
  <c r="F10" i="40"/>
  <c r="S10" i="40" s="1"/>
  <c r="Q61" i="15"/>
  <c r="F48" i="68"/>
  <c r="C30" i="68"/>
  <c r="C48" i="68"/>
  <c r="C48" i="11"/>
  <c r="C30" i="11"/>
  <c r="F48" i="69"/>
  <c r="C48" i="69"/>
  <c r="C30" i="69"/>
  <c r="F1" i="15"/>
  <c r="Q73" i="15"/>
  <c r="Q52" i="15"/>
  <c r="D26" i="43"/>
  <c r="C25" i="43" s="1"/>
  <c r="E56" i="39"/>
  <c r="J10" i="40"/>
  <c r="AC10" i="40" s="1"/>
  <c r="E16" i="6"/>
  <c r="H10" i="39"/>
  <c r="U10" i="39" s="1"/>
  <c r="E63" i="39"/>
  <c r="E59" i="40"/>
  <c r="H10" i="40"/>
  <c r="AB10" i="40" s="1"/>
  <c r="F27" i="68"/>
  <c r="F45" i="68" s="1"/>
  <c r="J10" i="39"/>
  <c r="W10" i="39" s="1"/>
  <c r="F28" i="12"/>
  <c r="C29" i="12" s="1"/>
  <c r="D28" i="12" s="1"/>
  <c r="E139" i="3"/>
  <c r="E369" i="3"/>
  <c r="E240" i="3"/>
  <c r="E483" i="3"/>
  <c r="E119" i="3"/>
  <c r="E246" i="3"/>
  <c r="E135" i="3"/>
  <c r="E563" i="3"/>
  <c r="E335" i="3"/>
  <c r="E201" i="3"/>
  <c r="E526" i="3"/>
  <c r="E70" i="3"/>
  <c r="AO6" i="3"/>
  <c r="E362" i="3"/>
  <c r="E577" i="3"/>
  <c r="E347" i="3"/>
  <c r="E216" i="3"/>
  <c r="E441" i="3"/>
  <c r="E31" i="3"/>
  <c r="E85" i="3"/>
  <c r="E320" i="3"/>
  <c r="E166" i="3"/>
  <c r="E203" i="3"/>
  <c r="E353" i="3"/>
  <c r="E97" i="3"/>
  <c r="E547" i="3"/>
  <c r="W6" i="3"/>
  <c r="E154" i="3"/>
  <c r="E297" i="3"/>
  <c r="E222" i="3"/>
  <c r="E176" i="3"/>
  <c r="E346" i="3"/>
  <c r="E539" i="3"/>
  <c r="AF6" i="3"/>
  <c r="E428" i="3"/>
  <c r="E232" i="3"/>
  <c r="E188" i="3"/>
  <c r="E427" i="3"/>
  <c r="J6" i="3"/>
  <c r="E178" i="3"/>
  <c r="E60" i="3"/>
  <c r="E170" i="3"/>
  <c r="AQ6"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12" i="3"/>
  <c r="E324" i="3"/>
  <c r="E83" i="3"/>
  <c r="E486" i="3"/>
  <c r="E463" i="3"/>
  <c r="E333" i="3"/>
  <c r="E137" i="3"/>
  <c r="E36"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56" i="3"/>
  <c r="E236" i="3"/>
  <c r="E448" i="3"/>
  <c r="E444" i="3"/>
  <c r="E316" i="3"/>
  <c r="E366" i="3"/>
  <c r="E516" i="3"/>
  <c r="E559" i="3"/>
  <c r="E294" i="3"/>
  <c r="E395" i="3"/>
  <c r="E245" i="3"/>
  <c r="E336" i="3"/>
  <c r="E314" i="3"/>
  <c r="E573" i="3"/>
  <c r="E571" i="3"/>
  <c r="E150" i="3"/>
  <c r="E549" i="3"/>
  <c r="E515" i="3"/>
  <c r="AS6" i="3"/>
  <c r="E210" i="3"/>
  <c r="E175" i="3"/>
  <c r="E388"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479" i="3"/>
  <c r="E470" i="3"/>
  <c r="E342" i="3"/>
  <c r="E223" i="3"/>
  <c r="E440" i="3"/>
  <c r="E40" i="3"/>
  <c r="E43" i="3"/>
  <c r="E299" i="3"/>
  <c r="E123" i="3"/>
  <c r="E20" i="3"/>
  <c r="E365" i="3"/>
  <c r="E552" i="3"/>
  <c r="E348" i="3"/>
  <c r="E24" i="3"/>
  <c r="E312" i="3"/>
  <c r="E110" i="3"/>
  <c r="E48" i="3"/>
  <c r="E464" i="3"/>
  <c r="E266" i="3"/>
  <c r="E374" i="3"/>
  <c r="E66" i="3"/>
  <c r="E195" i="3"/>
  <c r="E187" i="3"/>
  <c r="E82" i="3"/>
  <c r="E157" i="3"/>
  <c r="E474" i="3"/>
  <c r="E471" i="3"/>
  <c r="E357" i="3"/>
  <c r="E207" i="3"/>
  <c r="E548" i="3"/>
  <c r="E71" i="3"/>
  <c r="E317" i="3"/>
  <c r="E501" i="3"/>
  <c r="E359" i="3"/>
  <c r="E523" i="3"/>
  <c r="E298" i="3"/>
  <c r="E17" i="3"/>
  <c r="E303" i="3"/>
  <c r="AA6" i="3"/>
  <c r="E120" i="3"/>
  <c r="E481" i="3"/>
  <c r="E496" i="3"/>
  <c r="E394" i="3"/>
  <c r="E252" i="3"/>
  <c r="P6" i="3"/>
  <c r="E88" i="3"/>
  <c r="E334" i="3"/>
  <c r="E553" i="3"/>
  <c r="E396" i="3"/>
  <c r="E551" i="3"/>
  <c r="E230" i="3"/>
  <c r="E550" i="3"/>
  <c r="E382" i="3"/>
  <c r="E583" i="3"/>
  <c r="E99" i="3"/>
  <c r="E458" i="3"/>
  <c r="E450" i="3"/>
  <c r="E351" i="3"/>
  <c r="E269" i="3"/>
  <c r="E478" i="3"/>
  <c r="E447" i="3"/>
  <c r="E331" i="3"/>
  <c r="E530" i="3"/>
  <c r="E410" i="3"/>
  <c r="AR6" i="3"/>
  <c r="E380" i="3"/>
  <c r="E261" i="3"/>
  <c r="E503" i="3"/>
  <c r="E301" i="3"/>
  <c r="E124" i="3"/>
  <c r="E568" i="3"/>
  <c r="E228" i="3"/>
  <c r="E560" i="3"/>
  <c r="E587" i="3"/>
  <c r="E106" i="3"/>
  <c r="E315" i="3"/>
  <c r="E368" i="3"/>
  <c r="Z6" i="3"/>
  <c r="E345" i="3"/>
  <c r="E28" i="3"/>
  <c r="E273" i="3"/>
  <c r="E217" i="3"/>
  <c r="AJ6" i="3"/>
  <c r="E247" i="3"/>
  <c r="E570" i="3"/>
  <c r="E310" i="3"/>
  <c r="E115" i="3"/>
  <c r="E370" i="3"/>
  <c r="E393" i="3"/>
  <c r="E490" i="3"/>
  <c r="E202" i="3"/>
  <c r="E15" i="3"/>
  <c r="E339"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121" i="3"/>
  <c r="E30" i="3"/>
  <c r="N6" i="3"/>
  <c r="E229" i="3"/>
  <c r="V6" i="3"/>
  <c r="E114" i="3"/>
  <c r="E117" i="3"/>
  <c r="E578" i="3"/>
  <c r="E453" i="3"/>
  <c r="E45" i="3"/>
  <c r="E527" i="3"/>
  <c r="E72" i="3"/>
  <c r="E318" i="3"/>
  <c r="E271" i="3"/>
  <c r="E477" i="3"/>
  <c r="E27" i="3"/>
  <c r="E384" i="3"/>
  <c r="E305" i="3"/>
  <c r="E337" i="3"/>
  <c r="E561" i="3"/>
  <c r="E231" i="3"/>
  <c r="E528" i="3"/>
  <c r="E180" i="3"/>
  <c r="E350" i="3"/>
  <c r="E399" i="3"/>
  <c r="E181" i="3"/>
  <c r="E277" i="3"/>
  <c r="E472" i="3"/>
  <c r="E242" i="3"/>
  <c r="E148" i="3"/>
  <c r="AI6" i="3"/>
  <c r="E161" i="3"/>
  <c r="E278" i="3"/>
  <c r="AB6" i="3"/>
  <c r="E579" i="3"/>
  <c r="E572" i="3"/>
  <c r="E531" i="3"/>
  <c r="E204" i="3"/>
  <c r="E171" i="3"/>
  <c r="E406" i="3"/>
  <c r="E586" i="3"/>
  <c r="E538" i="3"/>
  <c r="E162" i="3"/>
  <c r="E111" i="3"/>
  <c r="E293" i="3"/>
  <c r="E151" i="3"/>
  <c r="E581" i="3"/>
  <c r="AE6" i="3"/>
  <c r="E221" i="3"/>
  <c r="E328" i="3"/>
  <c r="U6" i="3"/>
  <c r="E313" i="3"/>
  <c r="AD6" i="3"/>
  <c r="E323" i="3"/>
  <c r="E521" i="3"/>
  <c r="E340" i="3"/>
  <c r="E498" i="3"/>
  <c r="E281" i="3"/>
  <c r="E378" i="3"/>
  <c r="E248" i="3"/>
  <c r="E94" i="3"/>
  <c r="E219" i="3"/>
  <c r="E132" i="3"/>
  <c r="X6" i="3"/>
  <c r="E263" i="3"/>
  <c r="E172" i="3"/>
  <c r="E215" i="3"/>
  <c r="E311" i="3"/>
  <c r="E268" i="3"/>
  <c r="E182" i="3"/>
  <c r="E485" i="3"/>
  <c r="E74" i="3"/>
  <c r="E468" i="3"/>
  <c r="E545" i="3"/>
  <c r="E183" i="3"/>
  <c r="E508" i="3"/>
  <c r="E585" i="3"/>
  <c r="E193" i="3"/>
  <c r="E415" i="3"/>
  <c r="E125" i="3"/>
  <c r="E32" i="3"/>
  <c r="E434" i="3"/>
  <c r="E338" i="3"/>
  <c r="E126" i="3"/>
  <c r="E168" i="3"/>
  <c r="E307" i="3"/>
  <c r="E341" i="3"/>
  <c r="E500" i="3"/>
  <c r="E165" i="3"/>
  <c r="E455" i="3"/>
  <c r="E326" i="3"/>
  <c r="C47" i="69"/>
  <c r="D45" i="69" s="1"/>
  <c r="C29" i="69"/>
  <c r="D27" i="69" s="1"/>
  <c r="F27" i="11"/>
  <c r="C29" i="11" s="1"/>
  <c r="D27" i="11" s="1"/>
  <c r="E142" i="3"/>
  <c r="AY6" i="3"/>
  <c r="AY139" i="3" s="1"/>
  <c r="F45" i="69"/>
  <c r="E131" i="3"/>
  <c r="E275" i="3"/>
  <c r="E100" i="3"/>
  <c r="E423" i="3"/>
  <c r="E535" i="3"/>
  <c r="E189" i="3"/>
  <c r="M6" i="3"/>
  <c r="E509" i="3"/>
  <c r="E377" i="3"/>
  <c r="E557" i="3"/>
  <c r="E89" i="3"/>
  <c r="E146" i="3"/>
  <c r="E133" i="3"/>
  <c r="E91" i="3"/>
  <c r="E143" i="3"/>
  <c r="E505" i="3"/>
  <c r="E562" i="3"/>
  <c r="E290" i="3"/>
  <c r="E239" i="3"/>
  <c r="AG6" i="3"/>
  <c r="E330" i="3"/>
  <c r="E304" i="3"/>
  <c r="E53" i="3"/>
  <c r="E93" i="3"/>
  <c r="E136" i="3"/>
  <c r="E462" i="3"/>
  <c r="E138" i="3"/>
  <c r="E460" i="3"/>
  <c r="E52" i="3"/>
  <c r="E493" i="3"/>
  <c r="E3" i="6"/>
  <c r="D14" i="12" s="1"/>
  <c r="E325" i="3"/>
  <c r="E194" i="3"/>
  <c r="E79" i="3"/>
  <c r="E540" i="3"/>
  <c r="E372" i="3"/>
  <c r="E226" i="3"/>
  <c r="E25" i="3"/>
  <c r="E419" i="3"/>
  <c r="E376" i="3"/>
  <c r="E507" i="3"/>
  <c r="E564" i="3"/>
  <c r="E116" i="3"/>
  <c r="E329" i="3"/>
  <c r="E80" i="3"/>
  <c r="E35" i="3"/>
  <c r="E190" i="3"/>
  <c r="E225" i="3"/>
  <c r="E420" i="3"/>
  <c r="E451" i="3"/>
  <c r="E308" i="3"/>
  <c r="E75" i="3"/>
  <c r="E33" i="3"/>
  <c r="E292" i="3"/>
  <c r="E41" i="3"/>
  <c r="E13" i="3"/>
  <c r="T6" i="3"/>
  <c r="E86" i="3"/>
  <c r="E309" i="3"/>
  <c r="E103" i="3"/>
  <c r="E255" i="3"/>
  <c r="E112" i="3"/>
  <c r="E392" i="3"/>
  <c r="E234" i="3"/>
  <c r="E38" i="3"/>
  <c r="E473" i="3"/>
  <c r="L6" i="3"/>
  <c r="E276" i="3"/>
  <c r="E108" i="3"/>
  <c r="E401" i="3"/>
  <c r="AH6" i="3"/>
  <c r="E422" i="3"/>
  <c r="E543" i="3"/>
  <c r="E105" i="3"/>
  <c r="E16" i="3"/>
  <c r="E158" i="3"/>
  <c r="E49" i="3"/>
  <c r="E220" i="3"/>
  <c r="E356" i="3"/>
  <c r="E26" i="3"/>
  <c r="E556" i="3"/>
  <c r="E197" i="3"/>
  <c r="E174" i="3"/>
  <c r="E381" i="3"/>
  <c r="E484" i="3"/>
  <c r="E499" i="3"/>
  <c r="E78" i="3"/>
  <c r="E243" i="3"/>
  <c r="E104" i="3"/>
  <c r="E452" i="3"/>
  <c r="E360" i="3"/>
  <c r="E469" i="3"/>
  <c r="E534" i="3"/>
  <c r="E140" i="3"/>
  <c r="E287" i="3"/>
  <c r="E251" i="3"/>
  <c r="E522" i="3"/>
  <c r="E129" i="3"/>
  <c r="E42" i="3"/>
  <c r="E198" i="3"/>
  <c r="E264" i="3"/>
  <c r="E355" i="3"/>
  <c r="E67" i="3"/>
  <c r="E300" i="3"/>
  <c r="E46" i="3"/>
  <c r="E409" i="3"/>
  <c r="E241" i="3"/>
  <c r="E417" i="3"/>
  <c r="E449" i="3"/>
  <c r="E575" i="3"/>
  <c r="E456" i="3"/>
  <c r="E525" i="3"/>
  <c r="E205" i="3"/>
  <c r="E113" i="3"/>
  <c r="E206" i="3"/>
  <c r="E383" i="3"/>
  <c r="E96" i="3"/>
  <c r="AL6" i="3"/>
  <c r="E21" i="3"/>
  <c r="E81" i="3"/>
  <c r="E233" i="3"/>
  <c r="E23" i="3"/>
  <c r="E249" i="3"/>
  <c r="E64" i="3"/>
  <c r="E544" i="3"/>
  <c r="E152" i="3"/>
  <c r="E517" i="3"/>
  <c r="E466" i="3"/>
  <c r="E536" i="3"/>
  <c r="E497" i="3"/>
  <c r="E408" i="3"/>
  <c r="E405" i="3"/>
  <c r="E173" i="3"/>
  <c r="E22" i="3"/>
  <c r="E102" i="3"/>
  <c r="E34" i="3"/>
  <c r="E235" i="3"/>
  <c r="E18" i="3"/>
  <c r="E332" i="3"/>
  <c r="E513" i="3"/>
  <c r="E63" i="3"/>
  <c r="E144" i="3"/>
  <c r="E492" i="3"/>
  <c r="E267" i="3"/>
  <c r="E425" i="3"/>
  <c r="E389" i="3"/>
  <c r="E95" i="3"/>
  <c r="E554" i="3"/>
  <c r="E442" i="3"/>
  <c r="J5" i="67"/>
  <c r="J24" i="67" s="1"/>
  <c r="C49" i="15"/>
  <c r="J5" i="15"/>
  <c r="J24" i="15" s="1"/>
  <c r="E76" i="3"/>
  <c r="E363" i="3"/>
  <c r="E192" i="3"/>
  <c r="E56" i="3"/>
  <c r="E435" i="3"/>
  <c r="I3" i="6"/>
  <c r="E541" i="3"/>
  <c r="R6" i="3"/>
  <c r="E199" i="3"/>
  <c r="E510" i="3"/>
  <c r="C26" i="71"/>
  <c r="D26" i="71" s="1"/>
  <c r="D27" i="71"/>
  <c r="T40" i="71"/>
  <c r="D40" i="71"/>
  <c r="E212" i="3"/>
  <c r="D36" i="71"/>
  <c r="T36" i="71"/>
  <c r="E482" i="3"/>
  <c r="E391" i="3"/>
  <c r="E494" i="3"/>
  <c r="E283" i="3"/>
  <c r="E68" i="3"/>
  <c r="E184" i="3"/>
  <c r="E84" i="3"/>
  <c r="E371" i="3"/>
  <c r="E160" i="3"/>
  <c r="E467" i="3"/>
  <c r="E59" i="3"/>
  <c r="E349" i="3"/>
  <c r="E258" i="3"/>
  <c r="E37" i="3"/>
  <c r="E491" i="3"/>
  <c r="AP6" i="3"/>
  <c r="E430" i="3"/>
  <c r="E502" i="3"/>
  <c r="E286"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252" i="3"/>
  <c r="AY513" i="3"/>
  <c r="AY299" i="3"/>
  <c r="AY114" i="3"/>
  <c r="AY561" i="3"/>
  <c r="AY535" i="3"/>
  <c r="AY130" i="3"/>
  <c r="AY191" i="3"/>
  <c r="AY557" i="3"/>
  <c r="AY227" i="3"/>
  <c r="AY438" i="3"/>
  <c r="AY65" i="3"/>
  <c r="AY380" i="3"/>
  <c r="AY426" i="3"/>
  <c r="AY570" i="3"/>
  <c r="AY285" i="3"/>
  <c r="AY437" i="3"/>
  <c r="AY148" i="3"/>
  <c r="AY490" i="3"/>
  <c r="AY298" i="3"/>
  <c r="AY575"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D37" i="11"/>
  <c r="D19" i="11"/>
  <c r="C19" i="11" s="1"/>
  <c r="D3" i="37"/>
  <c r="C39" i="43"/>
  <c r="C42" i="43"/>
  <c r="E42" i="43" s="1"/>
  <c r="C38" i="43"/>
  <c r="AA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41" i="15"/>
  <c r="M27" i="67"/>
  <c r="M27" i="15"/>
  <c r="AC10" i="39" l="1"/>
  <c r="R50" i="34"/>
  <c r="I53" i="34"/>
  <c r="J53" i="34" s="1"/>
  <c r="W10" i="40"/>
  <c r="D3" i="33"/>
  <c r="D3" i="34"/>
  <c r="E6" i="6"/>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431" i="3"/>
  <c r="AY32" i="3"/>
  <c r="AY354" i="3"/>
  <c r="AY38" i="3"/>
  <c r="AY469" i="3"/>
  <c r="AY156" i="3"/>
  <c r="AY565" i="3"/>
  <c r="AY468" i="3"/>
  <c r="AY251" i="3"/>
  <c r="AY582" i="3"/>
  <c r="AY341" i="3"/>
  <c r="AY291" i="3"/>
  <c r="AY343" i="3"/>
  <c r="AY496" i="3"/>
  <c r="AY365" i="3"/>
  <c r="AY269" i="3"/>
  <c r="AY414" i="3"/>
  <c r="AY41" i="3"/>
  <c r="AY170" i="3"/>
  <c r="AY34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51" i="3"/>
  <c r="AY207" i="3"/>
  <c r="AY124" i="3"/>
  <c r="AY42" i="3"/>
  <c r="AY281" i="3"/>
  <c r="AY168" i="3"/>
  <c r="AY236" i="3"/>
  <c r="AY66" i="3"/>
  <c r="AY276"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76" i="3"/>
  <c r="AY297"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115"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C17" i="4"/>
  <c r="B4" i="52" s="1"/>
  <c r="B43" i="72" s="1"/>
  <c r="M18" i="9"/>
  <c r="B118" i="9" s="1"/>
  <c r="B1" i="74" s="1"/>
  <c r="D3" i="2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492" i="3"/>
  <c r="AY511" i="3"/>
  <c r="AY224" i="3"/>
  <c r="AY91" i="3"/>
  <c r="AY362" i="3"/>
  <c r="AY46" i="3"/>
  <c r="AY14" i="3"/>
  <c r="AY312" i="3"/>
  <c r="AY137" i="3"/>
  <c r="AY543" i="3"/>
  <c r="AY121" i="3"/>
  <c r="AY193" i="3"/>
  <c r="AY497" i="3"/>
  <c r="AY516" i="3"/>
  <c r="AY117" i="3"/>
  <c r="AY237" i="3"/>
  <c r="AY491" i="3"/>
  <c r="AY357" i="3"/>
  <c r="AY60" i="3"/>
  <c r="AY245" i="3"/>
  <c r="AY366" i="3"/>
  <c r="U10" i="40"/>
  <c r="L18" i="9"/>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563" i="3"/>
  <c r="AY352" i="3"/>
  <c r="AY429" i="3"/>
  <c r="AY277" i="3"/>
  <c r="AY560" i="3"/>
  <c r="AY232" i="3"/>
  <c r="AY99" i="3"/>
  <c r="AY407" i="3"/>
  <c r="AY329" i="3"/>
  <c r="AY194" i="3"/>
  <c r="AY572" i="3"/>
  <c r="AY88" i="3"/>
  <c r="AY100" i="3"/>
  <c r="AY220" i="3"/>
  <c r="AY308" i="3"/>
  <c r="AY68" i="3"/>
  <c r="AY16" i="3"/>
  <c r="AY377" i="3"/>
  <c r="AY246" i="3"/>
  <c r="AY553" i="3"/>
  <c r="AY428" i="3"/>
  <c r="AY188" i="3"/>
  <c r="AB10" i="39"/>
  <c r="C47" i="68"/>
  <c r="D45" i="68" s="1"/>
  <c r="C29" i="68"/>
  <c r="D27" i="68" s="1"/>
  <c r="C48" i="15"/>
  <c r="C66" i="15" s="1"/>
  <c r="F22" i="68"/>
  <c r="C44" i="68" s="1"/>
  <c r="D41" i="68" s="1"/>
  <c r="F25" i="12"/>
  <c r="C26" i="12" s="1"/>
  <c r="D25" i="12" s="1"/>
  <c r="H6" i="3"/>
  <c r="C47" i="11"/>
  <c r="D45" i="11" s="1"/>
  <c r="AC6" i="3"/>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6" i="67"/>
  <c r="C60" i="67"/>
  <c r="D10" i="68"/>
  <c r="C17" i="15"/>
  <c r="D10" i="69"/>
  <c r="C34" i="69"/>
  <c r="C17" i="67"/>
  <c r="C14" i="67"/>
  <c r="F41" i="68" l="1"/>
  <c r="E54" i="34"/>
  <c r="F54" i="34" s="1"/>
  <c r="I54" i="34"/>
  <c r="J54" i="34" s="1"/>
  <c r="C26" i="68"/>
  <c r="D22" i="68" s="1"/>
  <c r="C60" i="15"/>
  <c r="C23" i="68"/>
  <c r="E6" i="3"/>
  <c r="C44" i="11"/>
  <c r="D41" i="11"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88"/>
  <c r="D19" i="84"/>
  <c r="D2" i="37"/>
  <c r="D19" i="86"/>
  <c r="D19" i="87"/>
  <c r="D19" i="83"/>
  <c r="D2" i="34"/>
  <c r="D2" i="35"/>
  <c r="D19" i="89"/>
  <c r="D19" i="85"/>
  <c r="D19" i="9"/>
  <c r="L51" i="15"/>
  <c r="D2" i="36"/>
  <c r="D19" i="82"/>
  <c r="D21" i="89" l="1"/>
  <c r="D102" i="89"/>
  <c r="D21" i="88"/>
  <c r="D102" i="88"/>
  <c r="D21" i="87"/>
  <c r="D102" i="87"/>
  <c r="D21" i="86"/>
  <c r="D102" i="86"/>
  <c r="D21" i="85"/>
  <c r="D102" i="85"/>
  <c r="D102" i="84"/>
  <c r="D21" i="84"/>
  <c r="D102" i="83"/>
  <c r="D21" i="83"/>
  <c r="D21" i="82"/>
  <c r="D102" i="82"/>
  <c r="D102" i="9"/>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86"/>
  <c r="D20" i="89"/>
  <c r="C19" i="82"/>
  <c r="D20" i="85"/>
  <c r="C19" i="9"/>
  <c r="AO7" i="1"/>
  <c r="AO12" i="1"/>
  <c r="D20" i="87"/>
  <c r="D20" i="83"/>
  <c r="AO10" i="1"/>
  <c r="D20" i="86"/>
  <c r="D20" i="82"/>
  <c r="AO11" i="1"/>
  <c r="C19" i="87"/>
  <c r="D20" i="88"/>
  <c r="C19" i="83"/>
  <c r="D20" i="84"/>
  <c r="D20" i="9"/>
  <c r="AO9" i="1"/>
  <c r="C19" i="88"/>
  <c r="C19" i="84"/>
  <c r="AO8" i="1"/>
  <c r="C19" i="89"/>
  <c r="C19" i="85"/>
  <c r="AO6" i="1"/>
  <c r="C102" i="89" l="1"/>
  <c r="C21" i="89"/>
  <c r="G19" i="89"/>
  <c r="G21" i="89" s="1"/>
  <c r="D22" i="89"/>
  <c r="C102" i="88"/>
  <c r="C21" i="88"/>
  <c r="G19" i="88"/>
  <c r="G21" i="88" s="1"/>
  <c r="D22" i="88"/>
  <c r="C21" i="87"/>
  <c r="C102" i="87"/>
  <c r="D22" i="87"/>
  <c r="G19" i="87"/>
  <c r="G21" i="87" s="1"/>
  <c r="C21" i="86"/>
  <c r="C102" i="86"/>
  <c r="G19" i="86"/>
  <c r="G21" i="86" s="1"/>
  <c r="D22" i="86"/>
  <c r="D103" i="89"/>
  <c r="D103" i="88"/>
  <c r="D103" i="87"/>
  <c r="D103" i="86"/>
  <c r="C102" i="85"/>
  <c r="C21" i="85"/>
  <c r="G19" i="85"/>
  <c r="G21" i="85" s="1"/>
  <c r="D22" i="85"/>
  <c r="C21" i="84"/>
  <c r="C102" i="84"/>
  <c r="D22" i="84"/>
  <c r="G19" i="84"/>
  <c r="G21" i="84" s="1"/>
  <c r="C21" i="83"/>
  <c r="C102" i="83"/>
  <c r="G19" i="83"/>
  <c r="G21" i="83" s="1"/>
  <c r="D22" i="83"/>
  <c r="C102" i="82"/>
  <c r="C21" i="82"/>
  <c r="G19" i="82"/>
  <c r="G21" i="82" s="1"/>
  <c r="D22" i="82"/>
  <c r="D103" i="85"/>
  <c r="D103" i="84"/>
  <c r="D103" i="83"/>
  <c r="D103" i="82"/>
  <c r="C102" i="9"/>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6"/>
  <c r="C20" i="82"/>
  <c r="C20" i="9"/>
  <c r="C20" i="84"/>
  <c r="C20" i="85"/>
  <c r="C20" i="87"/>
  <c r="C20" i="83"/>
  <c r="C20" i="88"/>
  <c r="C20" i="89"/>
  <c r="C103" i="89" l="1"/>
  <c r="G20" i="89"/>
  <c r="C32" i="89" s="1"/>
  <c r="I118" i="89" s="1"/>
  <c r="C103" i="88"/>
  <c r="G20" i="88"/>
  <c r="C32" i="88" s="1"/>
  <c r="D34" i="88" s="1"/>
  <c r="C103" i="87"/>
  <c r="G20" i="87"/>
  <c r="C32" i="87" s="1"/>
  <c r="D34" i="87" s="1"/>
  <c r="C103" i="86"/>
  <c r="G20" i="86"/>
  <c r="C32" i="86" s="1"/>
  <c r="D34" i="86" s="1"/>
  <c r="C103" i="85"/>
  <c r="G20" i="85"/>
  <c r="C32" i="85" s="1"/>
  <c r="I118" i="85" s="1"/>
  <c r="C103" i="84"/>
  <c r="G20" i="84"/>
  <c r="C32" i="84" s="1"/>
  <c r="D35" i="84" s="1"/>
  <c r="C103" i="83"/>
  <c r="G20" i="83"/>
  <c r="C32" i="83" s="1"/>
  <c r="D34" i="83" s="1"/>
  <c r="C103" i="82"/>
  <c r="G20" i="82"/>
  <c r="C32" i="82" s="1"/>
  <c r="I118" i="82" s="1"/>
  <c r="C103" i="9"/>
  <c r="G20" i="9"/>
  <c r="C32" i="9" s="1"/>
  <c r="C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D35" i="86"/>
  <c r="D35" i="87"/>
  <c r="D35" i="88"/>
  <c r="D35" i="89"/>
  <c r="I118" i="86"/>
  <c r="C105" i="86" s="1"/>
  <c r="I118" i="88"/>
  <c r="H118" i="88" s="1"/>
  <c r="I118" i="87"/>
  <c r="H118" i="87" s="1"/>
  <c r="D34" i="89"/>
  <c r="C105" i="89"/>
  <c r="H118" i="89"/>
  <c r="H102" i="89"/>
  <c r="I118" i="83"/>
  <c r="H102" i="83" s="1"/>
  <c r="D34" i="85"/>
  <c r="I118" i="84"/>
  <c r="H118" i="84" s="1"/>
  <c r="D35" i="82"/>
  <c r="D35" i="83"/>
  <c r="D35" i="85"/>
  <c r="D34" i="82"/>
  <c r="D34" i="84"/>
  <c r="C105" i="85"/>
  <c r="H118" i="85"/>
  <c r="H102" i="85"/>
  <c r="C105" i="82"/>
  <c r="H118" i="82"/>
  <c r="H102" i="82"/>
  <c r="C34" i="9"/>
  <c r="D6" i="71"/>
  <c r="C5" i="71"/>
  <c r="D5" i="71" s="1"/>
  <c r="M24" i="43" s="1"/>
  <c r="C42" i="40"/>
  <c r="C43" i="40"/>
  <c r="E47" i="40"/>
  <c r="F47" i="40" s="1"/>
  <c r="E46" i="40"/>
  <c r="F46" i="40" s="1"/>
  <c r="I47" i="40"/>
  <c r="J47" i="40" s="1"/>
  <c r="D34" i="9"/>
  <c r="H102" i="86" l="1"/>
  <c r="H118" i="86"/>
  <c r="C104" i="86" s="1"/>
  <c r="C105" i="87"/>
  <c r="H102" i="87"/>
  <c r="C105" i="88"/>
  <c r="H102" i="88"/>
  <c r="H119" i="89"/>
  <c r="H101" i="89"/>
  <c r="H107" i="89" s="1"/>
  <c r="C104" i="89"/>
  <c r="H119" i="88"/>
  <c r="H101" i="88"/>
  <c r="H107" i="88" s="1"/>
  <c r="C104" i="88"/>
  <c r="C104" i="87"/>
  <c r="H119" i="87"/>
  <c r="H101" i="87"/>
  <c r="H107" i="87" s="1"/>
  <c r="H118" i="83"/>
  <c r="H119" i="83" s="1"/>
  <c r="C105" i="83"/>
  <c r="H119" i="86"/>
  <c r="H101" i="86"/>
  <c r="H107" i="86" s="1"/>
  <c r="C105" i="84"/>
  <c r="H102" i="84"/>
  <c r="H119" i="85"/>
  <c r="H101" i="85"/>
  <c r="H107" i="85" s="1"/>
  <c r="C104" i="85"/>
  <c r="H119" i="84"/>
  <c r="H101" i="84"/>
  <c r="H107" i="84" s="1"/>
  <c r="C104" i="84"/>
  <c r="H119" i="82"/>
  <c r="H101" i="82"/>
  <c r="C104" i="82"/>
  <c r="B58" i="40"/>
  <c r="F58" i="40" s="1"/>
  <c r="B54" i="40"/>
  <c r="F54" i="40" s="1"/>
  <c r="B53" i="40"/>
  <c r="F53" i="40" s="1"/>
  <c r="B59" i="40"/>
  <c r="F59" i="40" s="1"/>
  <c r="B52" i="40"/>
  <c r="F52" i="40" s="1"/>
  <c r="B56" i="40"/>
  <c r="F56" i="40" s="1"/>
  <c r="B60" i="40"/>
  <c r="F60" i="40" s="1"/>
  <c r="B57" i="40"/>
  <c r="F57" i="40" s="1"/>
  <c r="B51" i="40"/>
  <c r="F51" i="40" s="1"/>
  <c r="F61" i="40"/>
  <c r="B2" i="40" s="1"/>
  <c r="B3" i="40" s="1"/>
  <c r="D122" i="89" l="1"/>
  <c r="D123" i="89" s="1"/>
  <c r="H108" i="89"/>
  <c r="D122" i="88"/>
  <c r="D123" i="88" s="1"/>
  <c r="H108" i="88"/>
  <c r="C104" i="83"/>
  <c r="H101" i="83"/>
  <c r="H107" i="83" s="1"/>
  <c r="H108" i="83" s="1"/>
  <c r="D122" i="87"/>
  <c r="D123" i="87" s="1"/>
  <c r="H108" i="87"/>
  <c r="H108" i="86"/>
  <c r="D122" i="86"/>
  <c r="D123" i="86" s="1"/>
  <c r="D122" i="85"/>
  <c r="D123" i="85" s="1"/>
  <c r="H108" i="85"/>
  <c r="D122" i="84"/>
  <c r="D123" i="84" s="1"/>
  <c r="H108" i="84"/>
  <c r="H107" i="82"/>
  <c r="D122" i="83" l="1"/>
  <c r="D123" i="83" s="1"/>
  <c r="D122" i="82"/>
  <c r="D123" i="82" s="1"/>
  <c r="H108" i="82"/>
  <c r="G118" i="9" l="1"/>
  <c r="G4" i="52" s="1"/>
  <c r="B52" i="72" s="1"/>
  <c r="I118" i="9"/>
  <c r="H102" i="9" l="1"/>
  <c r="R24" i="31" s="1"/>
  <c r="S24" i="31" s="1"/>
  <c r="H118" i="9"/>
  <c r="H4" i="52" s="1"/>
  <c r="R30" i="31"/>
  <c r="S30" i="31" s="1"/>
  <c r="R32" i="31"/>
  <c r="S32" i="31" s="1"/>
  <c r="R26" i="31"/>
  <c r="S26" i="31" s="1"/>
  <c r="R28" i="31"/>
  <c r="S28" i="31" s="1"/>
  <c r="R31" i="31"/>
  <c r="S31" i="31" s="1"/>
  <c r="R29" i="31"/>
  <c r="S29" i="31" s="1"/>
  <c r="I4" i="52"/>
  <c r="F118" i="9"/>
  <c r="F119" i="9" s="1"/>
  <c r="F5" i="52" s="1"/>
  <c r="B53" i="72" s="1"/>
  <c r="D7" i="53"/>
  <c r="B21" i="72" s="1"/>
  <c r="C105" i="9"/>
  <c r="E118" i="9"/>
  <c r="R25" i="31" l="1"/>
  <c r="S25" i="31" s="1"/>
  <c r="D45" i="82" s="1"/>
  <c r="M48" i="82" s="1"/>
  <c r="M49" i="82" s="1"/>
  <c r="D45" i="87"/>
  <c r="D45" i="89"/>
  <c r="D45" i="88"/>
  <c r="D55" i="88" s="1"/>
  <c r="M53" i="88" s="1"/>
  <c r="D45" i="86"/>
  <c r="D45" i="85"/>
  <c r="D45" i="83"/>
  <c r="C78" i="83" s="1"/>
  <c r="C73" i="83" s="1"/>
  <c r="R27" i="31"/>
  <c r="S27" i="31" s="1"/>
  <c r="F4" i="52"/>
  <c r="B51" i="72" s="1"/>
  <c r="H101" i="9"/>
  <c r="H107" i="9" s="1"/>
  <c r="C104" i="9"/>
  <c r="H119" i="9"/>
  <c r="H5" i="52" s="1"/>
  <c r="E4" i="52"/>
  <c r="B48" i="72" s="1"/>
  <c r="D118" i="9"/>
  <c r="C93" i="88" l="1"/>
  <c r="C86" i="88" s="1"/>
  <c r="C78" i="88"/>
  <c r="C73" i="88" s="1"/>
  <c r="D53" i="88"/>
  <c r="D52" i="88"/>
  <c r="C72" i="88"/>
  <c r="C85" i="88"/>
  <c r="C64" i="88"/>
  <c r="C63" i="88" s="1"/>
  <c r="C67" i="88" s="1"/>
  <c r="C68" i="88" s="1"/>
  <c r="D54" i="88" s="1"/>
  <c r="D48" i="88" s="1"/>
  <c r="M52" i="88" s="1"/>
  <c r="M48" i="88"/>
  <c r="M49" i="88" s="1"/>
  <c r="L63" i="88" s="1"/>
  <c r="M63" i="88" s="1"/>
  <c r="S22" i="31"/>
  <c r="C64" i="89"/>
  <c r="C63" i="89" s="1"/>
  <c r="C67" i="89" s="1"/>
  <c r="C68" i="89" s="1"/>
  <c r="D54" i="89" s="1"/>
  <c r="D48" i="89" s="1"/>
  <c r="M52" i="89" s="1"/>
  <c r="D53" i="89"/>
  <c r="M48" i="89"/>
  <c r="M49" i="89" s="1"/>
  <c r="D52" i="89"/>
  <c r="C93" i="89"/>
  <c r="C86" i="89" s="1"/>
  <c r="C72" i="89"/>
  <c r="C78" i="89"/>
  <c r="C73" i="89" s="1"/>
  <c r="D55" i="89"/>
  <c r="M53" i="89" s="1"/>
  <c r="C85" i="89"/>
  <c r="D52" i="83"/>
  <c r="C72" i="83"/>
  <c r="C79" i="83" s="1"/>
  <c r="C64" i="87"/>
  <c r="C63" i="87" s="1"/>
  <c r="C67" i="87" s="1"/>
  <c r="C68" i="87" s="1"/>
  <c r="D54" i="87" s="1"/>
  <c r="D48" i="87" s="1"/>
  <c r="M52" i="87" s="1"/>
  <c r="D53" i="87"/>
  <c r="M48" i="87"/>
  <c r="M49" i="87" s="1"/>
  <c r="C78" i="87"/>
  <c r="C73" i="87" s="1"/>
  <c r="D55" i="87"/>
  <c r="M53" i="87" s="1"/>
  <c r="C93" i="87"/>
  <c r="C86" i="87" s="1"/>
  <c r="C85" i="87"/>
  <c r="C72" i="87"/>
  <c r="D52" i="87"/>
  <c r="D55" i="83"/>
  <c r="M53" i="83" s="1"/>
  <c r="C85" i="83"/>
  <c r="M48" i="83"/>
  <c r="M49" i="83" s="1"/>
  <c r="L66" i="83" s="1"/>
  <c r="M66" i="83" s="1"/>
  <c r="D53" i="83"/>
  <c r="C64" i="83"/>
  <c r="C63" i="83" s="1"/>
  <c r="C67" i="83" s="1"/>
  <c r="C68" i="83" s="1"/>
  <c r="D54" i="83" s="1"/>
  <c r="D48" i="83" s="1"/>
  <c r="M52" i="83" s="1"/>
  <c r="C64" i="86"/>
  <c r="C63" i="86" s="1"/>
  <c r="C67" i="86" s="1"/>
  <c r="C68" i="86" s="1"/>
  <c r="D54" i="86" s="1"/>
  <c r="D48" i="86" s="1"/>
  <c r="M52" i="86" s="1"/>
  <c r="D53" i="86"/>
  <c r="M48" i="86"/>
  <c r="M49" i="86" s="1"/>
  <c r="D52" i="86"/>
  <c r="C93" i="86"/>
  <c r="C86" i="86" s="1"/>
  <c r="C85" i="86"/>
  <c r="C72" i="86"/>
  <c r="C78" i="86"/>
  <c r="C73" i="86" s="1"/>
  <c r="D55" i="86"/>
  <c r="M53" i="86" s="1"/>
  <c r="C93" i="83"/>
  <c r="C86" i="83" s="1"/>
  <c r="D45" i="84"/>
  <c r="C93" i="84" s="1"/>
  <c r="C86" i="84" s="1"/>
  <c r="D5" i="53"/>
  <c r="D6" i="53" s="1"/>
  <c r="B22" i="72" s="1"/>
  <c r="L65" i="82"/>
  <c r="M65" i="82" s="1"/>
  <c r="L66" i="82"/>
  <c r="M66" i="82" s="1"/>
  <c r="L63" i="82"/>
  <c r="M63" i="82" s="1"/>
  <c r="L67" i="82"/>
  <c r="M67" i="82" s="1"/>
  <c r="L64" i="82"/>
  <c r="M64" i="82" s="1"/>
  <c r="L68" i="82"/>
  <c r="M68" i="82" s="1"/>
  <c r="D53" i="82"/>
  <c r="D55" i="82"/>
  <c r="M53" i="82" s="1"/>
  <c r="D52" i="82"/>
  <c r="C72" i="82"/>
  <c r="C64" i="82"/>
  <c r="C63" i="82" s="1"/>
  <c r="C67" i="82" s="1"/>
  <c r="C68" i="82" s="1"/>
  <c r="D54" i="82" s="1"/>
  <c r="D48" i="82" s="1"/>
  <c r="M52" i="82" s="1"/>
  <c r="C78" i="82"/>
  <c r="C73" i="82" s="1"/>
  <c r="C85" i="82"/>
  <c r="C93" i="82"/>
  <c r="C86" i="82" s="1"/>
  <c r="M48" i="9"/>
  <c r="D45" i="9"/>
  <c r="C64" i="9" s="1"/>
  <c r="D4" i="52"/>
  <c r="B47" i="72" s="1"/>
  <c r="D119" i="9"/>
  <c r="D5" i="52" s="1"/>
  <c r="B49" i="72" s="1"/>
  <c r="M49" i="9"/>
  <c r="H108" i="9"/>
  <c r="D122" i="9"/>
  <c r="D13" i="53"/>
  <c r="R22" i="31" l="1"/>
  <c r="E14" i="74" s="1"/>
  <c r="D14" i="74"/>
  <c r="G14" i="74" s="1"/>
  <c r="B6" i="74" s="1"/>
  <c r="D6" i="74" s="1"/>
  <c r="L67" i="88"/>
  <c r="M67" i="88" s="1"/>
  <c r="C79" i="88"/>
  <c r="C81" i="88" s="1"/>
  <c r="D58" i="88" s="1"/>
  <c r="D56" i="88" s="1"/>
  <c r="M54" i="88" s="1"/>
  <c r="N57" i="88" s="1"/>
  <c r="C79" i="87"/>
  <c r="C95" i="88"/>
  <c r="B20" i="31"/>
  <c r="B21" i="31" s="1"/>
  <c r="C95" i="83"/>
  <c r="C96" i="83" s="1"/>
  <c r="E96" i="83" s="1"/>
  <c r="E97" i="83" s="1"/>
  <c r="C95" i="89"/>
  <c r="C96" i="89" s="1"/>
  <c r="E96" i="89" s="1"/>
  <c r="E97" i="89" s="1"/>
  <c r="C81" i="83"/>
  <c r="D58" i="83" s="1"/>
  <c r="D56" i="83" s="1"/>
  <c r="M54" i="83" s="1"/>
  <c r="N57" i="83" s="1"/>
  <c r="C80" i="83"/>
  <c r="E80" i="83" s="1"/>
  <c r="E81" i="83" s="1"/>
  <c r="L65" i="88"/>
  <c r="M65" i="88" s="1"/>
  <c r="L65" i="83"/>
  <c r="M65" i="83" s="1"/>
  <c r="L64" i="88"/>
  <c r="M64" i="88" s="1"/>
  <c r="L68" i="88"/>
  <c r="M68" i="88" s="1"/>
  <c r="L64" i="83"/>
  <c r="M64" i="83" s="1"/>
  <c r="L66" i="88"/>
  <c r="M66" i="88" s="1"/>
  <c r="L68" i="83"/>
  <c r="M68" i="83" s="1"/>
  <c r="L67" i="83"/>
  <c r="M67" i="83" s="1"/>
  <c r="L63" i="83"/>
  <c r="M63" i="83" s="1"/>
  <c r="L65" i="89"/>
  <c r="M65" i="89" s="1"/>
  <c r="L68" i="89"/>
  <c r="M68" i="89" s="1"/>
  <c r="L66" i="89"/>
  <c r="M66" i="89" s="1"/>
  <c r="L63" i="89"/>
  <c r="M63" i="89" s="1"/>
  <c r="L67" i="89"/>
  <c r="M67" i="89" s="1"/>
  <c r="L64" i="89"/>
  <c r="M64" i="89" s="1"/>
  <c r="C79" i="89"/>
  <c r="C96" i="88"/>
  <c r="E96" i="88" s="1"/>
  <c r="E97" i="88" s="1"/>
  <c r="C72" i="84"/>
  <c r="D52" i="84"/>
  <c r="M48" i="84"/>
  <c r="M49" i="84" s="1"/>
  <c r="L66" i="84" s="1"/>
  <c r="M66" i="84" s="1"/>
  <c r="C85" i="84"/>
  <c r="C95" i="84" s="1"/>
  <c r="C64" i="84"/>
  <c r="C63" i="84" s="1"/>
  <c r="C67" i="84" s="1"/>
  <c r="C68" i="84" s="1"/>
  <c r="D54" i="84" s="1"/>
  <c r="D48" i="84" s="1"/>
  <c r="M52" i="84" s="1"/>
  <c r="C95" i="87"/>
  <c r="L66" i="87"/>
  <c r="M66" i="87" s="1"/>
  <c r="L63" i="87"/>
  <c r="M63" i="87" s="1"/>
  <c r="L68" i="87"/>
  <c r="M68" i="87" s="1"/>
  <c r="L67" i="87"/>
  <c r="M67" i="87" s="1"/>
  <c r="L64" i="87"/>
  <c r="M64" i="87" s="1"/>
  <c r="L65" i="87"/>
  <c r="M65" i="87" s="1"/>
  <c r="C78" i="84"/>
  <c r="C73" i="84" s="1"/>
  <c r="D53" i="84"/>
  <c r="C80" i="87"/>
  <c r="E80" i="87" s="1"/>
  <c r="E81" i="87" s="1"/>
  <c r="C81" i="87"/>
  <c r="D58" i="87" s="1"/>
  <c r="D56" i="87" s="1"/>
  <c r="M54" i="87" s="1"/>
  <c r="N57" i="87" s="1"/>
  <c r="B20" i="72"/>
  <c r="D55" i="84"/>
  <c r="M53" i="84" s="1"/>
  <c r="C79" i="86"/>
  <c r="L64" i="86"/>
  <c r="M64" i="86" s="1"/>
  <c r="L65" i="86"/>
  <c r="M65" i="86" s="1"/>
  <c r="L68" i="86"/>
  <c r="M68" i="86" s="1"/>
  <c r="L66" i="86"/>
  <c r="M66" i="86" s="1"/>
  <c r="L63" i="86"/>
  <c r="M63" i="86" s="1"/>
  <c r="L67" i="86"/>
  <c r="M67" i="86" s="1"/>
  <c r="C95" i="86"/>
  <c r="C64" i="85"/>
  <c r="C63" i="85" s="1"/>
  <c r="C67" i="85" s="1"/>
  <c r="C68" i="85" s="1"/>
  <c r="D54" i="85" s="1"/>
  <c r="D48" i="85" s="1"/>
  <c r="M52" i="85" s="1"/>
  <c r="D53" i="85"/>
  <c r="M48" i="85"/>
  <c r="M49" i="85" s="1"/>
  <c r="D52" i="85"/>
  <c r="C78" i="85"/>
  <c r="C73" i="85" s="1"/>
  <c r="D55" i="85"/>
  <c r="M53" i="85" s="1"/>
  <c r="C93" i="85"/>
  <c r="C86" i="85" s="1"/>
  <c r="C85" i="85"/>
  <c r="C72" i="85"/>
  <c r="C95" i="82"/>
  <c r="C96" i="82" s="1"/>
  <c r="E96" i="82" s="1"/>
  <c r="E97" i="82" s="1"/>
  <c r="M69" i="82"/>
  <c r="N69" i="82" s="1"/>
  <c r="C79" i="82"/>
  <c r="C81" i="82" s="1"/>
  <c r="D58" i="82" s="1"/>
  <c r="D56" i="82" s="1"/>
  <c r="M54" i="82" s="1"/>
  <c r="N57" i="82" s="1"/>
  <c r="N58" i="82" s="1"/>
  <c r="D52" i="9"/>
  <c r="C72" i="9"/>
  <c r="D55" i="9"/>
  <c r="M53" i="9" s="1"/>
  <c r="C63" i="9"/>
  <c r="C67" i="9" s="1"/>
  <c r="C68" i="9" s="1"/>
  <c r="D54" i="9" s="1"/>
  <c r="D48" i="9" s="1"/>
  <c r="M52" i="9" s="1"/>
  <c r="C78" i="9"/>
  <c r="C73" i="9" s="1"/>
  <c r="D53" i="9"/>
  <c r="C85" i="9"/>
  <c r="C93" i="9"/>
  <c r="C86" i="9" s="1"/>
  <c r="D15" i="53"/>
  <c r="B31" i="72" s="1"/>
  <c r="C6" i="74"/>
  <c r="D123" i="9"/>
  <c r="D9" i="52" s="1"/>
  <c r="D8" i="52"/>
  <c r="L67" i="9"/>
  <c r="M67" i="9" s="1"/>
  <c r="L64" i="9"/>
  <c r="M64" i="9" s="1"/>
  <c r="L66" i="9"/>
  <c r="M66" i="9" s="1"/>
  <c r="L63" i="9"/>
  <c r="M63" i="9" s="1"/>
  <c r="L65" i="9"/>
  <c r="M65" i="9" s="1"/>
  <c r="L68" i="9"/>
  <c r="M68" i="9" s="1"/>
  <c r="D59" i="9"/>
  <c r="M55" i="9" s="1"/>
  <c r="B30" i="72"/>
  <c r="D14" i="53"/>
  <c r="B32" i="72" s="1"/>
  <c r="C80" i="88" l="1"/>
  <c r="E80" i="88" s="1"/>
  <c r="E81" i="88" s="1"/>
  <c r="F14" i="74"/>
  <c r="B5" i="74"/>
  <c r="C79" i="85"/>
  <c r="C80" i="85" s="1"/>
  <c r="E80" i="85" s="1"/>
  <c r="E81" i="85" s="1"/>
  <c r="C79" i="84"/>
  <c r="N58" i="83"/>
  <c r="P57" i="83"/>
  <c r="C97" i="83"/>
  <c r="M69" i="83"/>
  <c r="N69" i="83" s="1"/>
  <c r="M69" i="88"/>
  <c r="N69" i="88" s="1"/>
  <c r="N59" i="83"/>
  <c r="M69" i="89"/>
  <c r="N69" i="89" s="1"/>
  <c r="C97" i="88"/>
  <c r="C80" i="89"/>
  <c r="E80" i="89" s="1"/>
  <c r="E81" i="89" s="1"/>
  <c r="C97" i="89"/>
  <c r="L64" i="84"/>
  <c r="M64" i="84" s="1"/>
  <c r="N58" i="88"/>
  <c r="P57" i="88"/>
  <c r="N59" i="88"/>
  <c r="N61" i="88" s="1"/>
  <c r="L68" i="84"/>
  <c r="M68" i="84" s="1"/>
  <c r="L67" i="84"/>
  <c r="M67" i="84" s="1"/>
  <c r="L63" i="84"/>
  <c r="M63" i="84" s="1"/>
  <c r="L65" i="84"/>
  <c r="M65" i="84" s="1"/>
  <c r="N58" i="87"/>
  <c r="P57" i="87"/>
  <c r="N59" i="87"/>
  <c r="C96" i="87"/>
  <c r="E96" i="87" s="1"/>
  <c r="E97" i="87" s="1"/>
  <c r="M69" i="87"/>
  <c r="N69" i="87" s="1"/>
  <c r="C95" i="85"/>
  <c r="C96" i="85" s="1"/>
  <c r="E96" i="85" s="1"/>
  <c r="E97" i="85" s="1"/>
  <c r="M69" i="86"/>
  <c r="N69" i="86" s="1"/>
  <c r="C96" i="86"/>
  <c r="E96" i="86" s="1"/>
  <c r="E97" i="86" s="1"/>
  <c r="C81" i="86"/>
  <c r="D58" i="86" s="1"/>
  <c r="D56" i="86" s="1"/>
  <c r="M54" i="86" s="1"/>
  <c r="N57" i="86" s="1"/>
  <c r="C80" i="86"/>
  <c r="E80" i="86" s="1"/>
  <c r="E81" i="86" s="1"/>
  <c r="L65" i="85"/>
  <c r="M65" i="85" s="1"/>
  <c r="L68" i="85"/>
  <c r="M68" i="85" s="1"/>
  <c r="L66" i="85"/>
  <c r="M66" i="85" s="1"/>
  <c r="L63" i="85"/>
  <c r="M63" i="85" s="1"/>
  <c r="L67" i="85"/>
  <c r="M67" i="85" s="1"/>
  <c r="L64" i="85"/>
  <c r="M64" i="85" s="1"/>
  <c r="C81" i="85"/>
  <c r="D58" i="85" s="1"/>
  <c r="D56" i="85" s="1"/>
  <c r="M54" i="85" s="1"/>
  <c r="N57" i="85" s="1"/>
  <c r="C96" i="84"/>
  <c r="E96" i="84" s="1"/>
  <c r="E97" i="84" s="1"/>
  <c r="C81" i="84"/>
  <c r="D58" i="84" s="1"/>
  <c r="D56" i="84" s="1"/>
  <c r="M54" i="84" s="1"/>
  <c r="N57" i="84" s="1"/>
  <c r="C80" i="84"/>
  <c r="E80" i="84" s="1"/>
  <c r="E81" i="84" s="1"/>
  <c r="C80" i="82"/>
  <c r="E80" i="82" s="1"/>
  <c r="E81" i="82" s="1"/>
  <c r="C97" i="82"/>
  <c r="N59" i="82"/>
  <c r="N61" i="82" s="1"/>
  <c r="P57" i="82"/>
  <c r="C79" i="9"/>
  <c r="C95" i="9"/>
  <c r="C96" i="9" s="1"/>
  <c r="E96" i="9" s="1"/>
  <c r="E97" i="9" s="1"/>
  <c r="M69" i="9"/>
  <c r="N69" i="9" s="1"/>
  <c r="D5" i="74" l="1"/>
  <c r="C5" i="74"/>
  <c r="T30" i="31"/>
  <c r="M8" i="80" s="1"/>
  <c r="N61" i="87"/>
  <c r="H111" i="83"/>
  <c r="D126" i="83" s="1"/>
  <c r="D127" i="83" s="1"/>
  <c r="N61" i="83"/>
  <c r="T31" i="31"/>
  <c r="M9" i="80" s="1"/>
  <c r="T26" i="31"/>
  <c r="M4" i="80" s="1"/>
  <c r="N60" i="83"/>
  <c r="N60" i="82"/>
  <c r="T25" i="31"/>
  <c r="M3" i="80" s="1"/>
  <c r="C81" i="89"/>
  <c r="D58" i="89" s="1"/>
  <c r="D56" i="89" s="1"/>
  <c r="M54" i="89" s="1"/>
  <c r="N57" i="89" s="1"/>
  <c r="N58" i="89" s="1"/>
  <c r="C97" i="87"/>
  <c r="M69" i="84"/>
  <c r="N69" i="84" s="1"/>
  <c r="N60" i="88"/>
  <c r="H111" i="88"/>
  <c r="D126" i="88" s="1"/>
  <c r="D127" i="88" s="1"/>
  <c r="N60" i="87"/>
  <c r="H111" i="87"/>
  <c r="D126" i="87" s="1"/>
  <c r="D127" i="87" s="1"/>
  <c r="N58" i="86"/>
  <c r="P57" i="86"/>
  <c r="N59" i="86"/>
  <c r="C97" i="86"/>
  <c r="N58" i="85"/>
  <c r="P57" i="85"/>
  <c r="M69" i="85"/>
  <c r="N69" i="85" s="1"/>
  <c r="N59" i="85"/>
  <c r="C97" i="85"/>
  <c r="N58" i="84"/>
  <c r="P57" i="84"/>
  <c r="N59" i="84"/>
  <c r="C97" i="84"/>
  <c r="H111" i="82"/>
  <c r="D126" i="82" s="1"/>
  <c r="D127" i="82" s="1"/>
  <c r="C97" i="9"/>
  <c r="C80" i="9"/>
  <c r="E80" i="9" s="1"/>
  <c r="E81" i="9" s="1"/>
  <c r="C81" i="9"/>
  <c r="D58" i="9" s="1"/>
  <c r="D56" i="9" s="1"/>
  <c r="M54" i="9" s="1"/>
  <c r="N57" i="9" s="1"/>
  <c r="N58" i="9" s="1"/>
  <c r="T29" i="31" l="1"/>
  <c r="M7" i="80" s="1"/>
  <c r="N61" i="86"/>
  <c r="T28" i="31"/>
  <c r="M6" i="80" s="1"/>
  <c r="N61" i="85"/>
  <c r="T27" i="31"/>
  <c r="M5" i="80" s="1"/>
  <c r="N61" i="84"/>
  <c r="H112" i="88"/>
  <c r="U31" i="31"/>
  <c r="N9" i="80" s="1"/>
  <c r="H112" i="87"/>
  <c r="U30" i="31"/>
  <c r="N8" i="80" s="1"/>
  <c r="H112" i="83"/>
  <c r="U26" i="31"/>
  <c r="N4" i="80" s="1"/>
  <c r="H112" i="82"/>
  <c r="U25" i="31"/>
  <c r="N3" i="80" s="1"/>
  <c r="N59" i="89"/>
  <c r="N61" i="89" s="1"/>
  <c r="P57" i="89"/>
  <c r="N60" i="86"/>
  <c r="H111" i="86"/>
  <c r="D126" i="86" s="1"/>
  <c r="D127" i="86" s="1"/>
  <c r="N60" i="85"/>
  <c r="H111" i="85"/>
  <c r="D126" i="85" s="1"/>
  <c r="D127" i="85" s="1"/>
  <c r="N60" i="84"/>
  <c r="H111" i="84"/>
  <c r="D126" i="84" s="1"/>
  <c r="D127" i="84" s="1"/>
  <c r="P57" i="9"/>
  <c r="N59" i="9"/>
  <c r="T24" i="31" s="1"/>
  <c r="M2" i="80" s="1"/>
  <c r="T32" i="31" l="1"/>
  <c r="H112" i="86"/>
  <c r="U29" i="31"/>
  <c r="N7" i="80" s="1"/>
  <c r="H112" i="85"/>
  <c r="U28" i="31"/>
  <c r="N6" i="80" s="1"/>
  <c r="H112" i="84"/>
  <c r="U27" i="31"/>
  <c r="N5" i="80" s="1"/>
  <c r="H111" i="89"/>
  <c r="D126" i="89" s="1"/>
  <c r="D127" i="89" s="1"/>
  <c r="N60" i="89"/>
  <c r="N61" i="9"/>
  <c r="H111" i="9"/>
  <c r="N60" i="9"/>
  <c r="T22" i="31" l="1"/>
  <c r="M10" i="80"/>
  <c r="U22" i="31"/>
  <c r="I14" i="74"/>
  <c r="B8" i="74" s="1"/>
  <c r="D8" i="74" s="1"/>
  <c r="H112" i="89"/>
  <c r="U32" i="31"/>
  <c r="N10" i="80" s="1"/>
  <c r="H112" i="9"/>
  <c r="D21" i="53" s="1"/>
  <c r="B39" i="72" s="1"/>
  <c r="U24" i="31"/>
  <c r="N2" i="80" s="1"/>
  <c r="D19" i="53"/>
  <c r="D126" i="9"/>
  <c r="C8" i="74" l="1"/>
  <c r="D127" i="9"/>
  <c r="D13" i="52" s="1"/>
  <c r="D12" i="52"/>
  <c r="B38" i="72"/>
  <c r="D20" i="53"/>
  <c r="B40"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ABCE42B5-120E-4D42-A20A-07E04A867762}">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5209C5B0-F125-4EA3-AC32-A895B50B2A23}">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B5892D86-DA54-4C2A-9C12-35EE1FA12068}">
      <text>
        <r>
          <rPr>
            <sz val="11"/>
            <color indexed="81"/>
            <rFont val="宋体"/>
            <family val="3"/>
            <charset val="134"/>
          </rPr>
          <t>需在下方列示计算过程</t>
        </r>
        <r>
          <rPr>
            <sz val="9"/>
            <color indexed="81"/>
            <rFont val="宋体"/>
            <family val="3"/>
            <charset val="134"/>
          </rPr>
          <t xml:space="preserve">
</t>
        </r>
      </text>
    </comment>
    <comment ref="H75" authorId="2" shapeId="0" xr:uid="{C80FB29B-9A8A-48CB-9731-F70A1CC5963F}">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9B00E852-9212-46B1-A652-EC6132778EA7}">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E9106A41-C0EA-4167-BCCB-0E6CC32B8A83}">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2A307830-FB26-4B62-9517-C127A1101147}">
      <text>
        <r>
          <rPr>
            <sz val="11"/>
            <color indexed="81"/>
            <rFont val="宋体"/>
            <family val="3"/>
            <charset val="134"/>
          </rPr>
          <t>需在下方列示计算过程</t>
        </r>
        <r>
          <rPr>
            <sz val="9"/>
            <color indexed="81"/>
            <rFont val="宋体"/>
            <family val="3"/>
            <charset val="134"/>
          </rPr>
          <t xml:space="preserve">
</t>
        </r>
      </text>
    </comment>
    <comment ref="H75" authorId="2" shapeId="0" xr:uid="{A4FE7123-8B4D-4D0A-B432-292D8F4A9C08}">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299D3AF8-8CAF-4AC7-9DAA-8D630CFCC8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3C3FE899-291B-48C2-B7D3-F254EEEC36F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7C1ACBF0-728A-41E3-818F-4BC0FBF71422}">
      <text>
        <r>
          <rPr>
            <sz val="11"/>
            <color indexed="81"/>
            <rFont val="宋体"/>
            <family val="3"/>
            <charset val="134"/>
          </rPr>
          <t>需在下方列示计算过程</t>
        </r>
        <r>
          <rPr>
            <sz val="9"/>
            <color indexed="81"/>
            <rFont val="宋体"/>
            <family val="3"/>
            <charset val="134"/>
          </rPr>
          <t xml:space="preserve">
</t>
        </r>
      </text>
    </comment>
    <comment ref="H75" authorId="2" shapeId="0" xr:uid="{C9CD286F-C69D-4D6A-966D-5B67B1FA6B4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433AFCAF-F4D8-4942-A9D8-F6D1D2237D2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7FC308-6888-4C5F-9695-030BFB2988B9}">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5681BF53-4139-4D74-B6AC-0DD581C41E72}">
      <text>
        <r>
          <rPr>
            <sz val="11"/>
            <color indexed="81"/>
            <rFont val="宋体"/>
            <family val="3"/>
            <charset val="134"/>
          </rPr>
          <t>需在下方列示计算过程</t>
        </r>
        <r>
          <rPr>
            <sz val="9"/>
            <color indexed="81"/>
            <rFont val="宋体"/>
            <family val="3"/>
            <charset val="134"/>
          </rPr>
          <t xml:space="preserve">
</t>
        </r>
      </text>
    </comment>
    <comment ref="H75" authorId="2" shapeId="0" xr:uid="{B2C6C50B-141C-45C4-A059-C6521E8FCA35}">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4197BB10-500E-4B4E-85FF-85FA9E1C1796}">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5A2E255A-3B0B-4700-A03F-39B4434C5C0B}">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29EFF340-0EF5-4161-9BCE-2CC55C9FF0BC}">
      <text>
        <r>
          <rPr>
            <sz val="11"/>
            <color indexed="81"/>
            <rFont val="宋体"/>
            <family val="3"/>
            <charset val="134"/>
          </rPr>
          <t>需在下方列示计算过程</t>
        </r>
        <r>
          <rPr>
            <sz val="9"/>
            <color indexed="81"/>
            <rFont val="宋体"/>
            <family val="3"/>
            <charset val="134"/>
          </rPr>
          <t xml:space="preserve">
</t>
        </r>
      </text>
    </comment>
    <comment ref="H75" authorId="2" shapeId="0" xr:uid="{87383F96-78BF-40DB-B46F-7FE8612C14E8}">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F7555F69-FDD7-465E-A83C-FD84AD5139AD}">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65B9EE27-32F7-4A9B-BAD7-962224DC496E}">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D4A474C3-9C0B-44FB-B959-345F8B573D34}">
      <text>
        <r>
          <rPr>
            <sz val="11"/>
            <color indexed="81"/>
            <rFont val="宋体"/>
            <family val="3"/>
            <charset val="134"/>
          </rPr>
          <t>需在下方列示计算过程</t>
        </r>
        <r>
          <rPr>
            <sz val="9"/>
            <color indexed="81"/>
            <rFont val="宋体"/>
            <family val="3"/>
            <charset val="134"/>
          </rPr>
          <t xml:space="preserve">
</t>
        </r>
      </text>
    </comment>
    <comment ref="H75" authorId="2" shapeId="0" xr:uid="{D0D23BA1-D425-46ED-98BF-EDAE7FBADC48}">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A1EC109E-F52C-496A-B569-D76D9E22BD71}">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4023F842-928C-4935-B493-9A7AAA83DAFF}">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E042A196-4CFB-4D14-B8A2-7AB6C05F68BA}">
      <text>
        <r>
          <rPr>
            <sz val="11"/>
            <color indexed="81"/>
            <rFont val="宋体"/>
            <family val="3"/>
            <charset val="134"/>
          </rPr>
          <t>需在下方列示计算过程</t>
        </r>
        <r>
          <rPr>
            <sz val="9"/>
            <color indexed="81"/>
            <rFont val="宋体"/>
            <family val="3"/>
            <charset val="134"/>
          </rPr>
          <t xml:space="preserve">
</t>
        </r>
      </text>
    </comment>
    <comment ref="H75" authorId="2" shapeId="0" xr:uid="{D6002C82-6BEC-4129-8BBD-6727411C94BE}">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7376D436-4E5B-4DDE-8EA2-BF01F4A4D2F1}">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A0CAA33B-5565-4EC0-AE5F-A9D8AF038381}">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21143664-F4E5-437A-8ECC-F0ED4403DBAC}">
      <text>
        <r>
          <rPr>
            <sz val="11"/>
            <color indexed="81"/>
            <rFont val="宋体"/>
            <family val="3"/>
            <charset val="134"/>
          </rPr>
          <t>需在下方列示计算过程</t>
        </r>
        <r>
          <rPr>
            <sz val="9"/>
            <color indexed="81"/>
            <rFont val="宋体"/>
            <family val="3"/>
            <charset val="134"/>
          </rPr>
          <t xml:space="preserve">
</t>
        </r>
      </text>
    </comment>
    <comment ref="H75" authorId="2" shapeId="0" xr:uid="{83D4546B-456A-4C77-A278-FD28D5A3737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<sst xmlns="http://schemas.openxmlformats.org/spreadsheetml/2006/main" count="10582" uniqueCount="3549">
  <si>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</si>
  <si>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</si>
  <si>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</si>
  <si>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</si>
  <si>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</si>
  <si>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</si>
  <si>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</si>
  <si>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</si>
  <si>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</si>
  <si>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</si>
  <si>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</si>
  <si>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</si>
  <si>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</si>
  <si>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</si>
  <si>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</si>
  <si>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</si>
  <si>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</si>
  <si>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</si>
  <si>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</si>
  <si>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</si>
  <si>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</si>
  <si>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</si>
  <si>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</si>
  <si>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</si>
  <si>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</si>
  <si>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</si>
  <si>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</si>
  <si>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</si>
  <si>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</si>
  <si>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</si>
  <si>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</si>
  <si>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</si>
  <si>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</si>
  <si>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</si>
  <si>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</si>
  <si>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</si>
  <si>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</si>
  <si>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</si>
  <si>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</si>
  <si>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</si>
  <si>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</si>
  <si>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</si>
  <si>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</si>
  <si>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</si>
  <si>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</si>
  <si>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</si>
  <si>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</si>
  <si>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</si>
  <si>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</si>
  <si>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</si>
  <si>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</si>
  <si>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</si>
  <si>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</si>
  <si>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</si>
  <si>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</si>
  <si>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</si>
  <si>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</si>
  <si>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</si>
  <si>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</si>
  <si>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</si>
  <si>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</si>
  <si>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</si>
  <si>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</si>
  <si>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</si>
  <si>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</si>
  <si>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</si>
  <si>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</si>
  <si>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</si>
  <si>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</si>
  <si>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</si>
  <si>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</si>
  <si>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</si>
  <si>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</si>
  <si>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</si>
  <si>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</si>
  <si>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</si>
  <si>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</si>
  <si>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</si>
  <si>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</si>
  <si>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</si>
  <si>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</si>
  <si>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</si>
  <si>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</si>
  <si>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</si>
  <si>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</si>
  <si>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</si>
  <si>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</si>
  <si>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</si>
  <si>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</si>
  <si>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</si>
  <si>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</si>
  <si>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</si>
  <si>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</si>
  <si>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</si>
  <si>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</si>
  <si>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</si>
  <si>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</si>
  <si>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</si>
  <si>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</si>
  <si>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</si>
  <si>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</si>
  <si>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</si>
  <si>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</si>
  <si>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</si>
  <si>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</si>
  <si>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</si>
  <si>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</si>
  <si>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</si>
  <si>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</si>
  <si>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</si>
  <si>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</si>
  <si>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</si>
  <si>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</si>
  <si>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</si>
  <si>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</si>
  <si>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</si>
  <si>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</si>
  <si>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</si>
  <si>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</si>
  <si>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</si>
  <si>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</si>
  <si>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</si>
  <si>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</si>
  <si>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</si>
  <si>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</si>
  <si>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</si>
  <si>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</si>
  <si>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</si>
  <si>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</si>
  <si>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</si>
  <si>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</si>
  <si>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</si>
  <si>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</si>
  <si>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</si>
  <si>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</si>
  <si>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</si>
  <si>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</si>
  <si>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</si>
  <si>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</si>
  <si>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</si>
  <si>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</si>
  <si>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</si>
  <si>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</si>
  <si>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</si>
  <si>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</si>
  <si>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</si>
  <si>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</si>
  <si>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</si>
  <si>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</si>
  <si>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</si>
  <si>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</si>
  <si>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</si>
  <si>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</si>
  <si>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</si>
  <si>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</si>
  <si>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</si>
  <si>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</si>
  <si>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</si>
  <si>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</si>
  <si>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</si>
  <si>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</si>
  <si>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</si>
  <si>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</si>
  <si>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</si>
  <si>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</si>
  <si>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</si>
  <si>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</si>
  <si>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</si>
  <si>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</si>
  <si>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</si>
  <si>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</si>
  <si>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</si>
  <si>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</si>
  <si>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</si>
  <si>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</si>
  <si>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</si>
  <si>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</si>
  <si>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</si>
  <si>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</si>
  <si>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</si>
  <si>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</si>
  <si>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</si>
  <si>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</si>
  <si>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</si>
  <si>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</si>
  <si>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</si>
  <si>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</si>
  <si>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</si>
  <si>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</si>
  <si>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</si>
  <si>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</si>
  <si>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</si>
  <si>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</si>
  <si>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</si>
  <si>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</si>
  <si>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</si>
  <si>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</si>
  <si>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</si>
  <si>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</si>
  <si>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</si>
  <si>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</si>
  <si>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</si>
  <si>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</si>
  <si>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</si>
  <si>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</si>
  <si>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</si>
  <si>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</si>
  <si>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</si>
  <si>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</si>
  <si>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</si>
  <si>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</si>
  <si>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</si>
  <si>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</si>
  <si>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</si>
  <si>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</si>
  <si>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</si>
  <si>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</si>
  <si>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</si>
  <si>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</si>
  <si>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</si>
  <si>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</si>
  <si>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</si>
  <si>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</si>
  <si>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</si>
  <si>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</si>
  <si>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</si>
  <si>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</si>
  <si>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</si>
  <si>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</si>
  <si>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</si>
  <si>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</si>
  <si>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</si>
  <si>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</si>
  <si>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</si>
  <si>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</si>
  <si>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</si>
  <si>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</si>
  <si>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</si>
  <si>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</si>
  <si>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</si>
  <si>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</si>
  <si>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</si>
  <si>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</si>
  <si>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</si>
  <si>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</si>
  <si>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</si>
  <si>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</si>
  <si>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</si>
  <si>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</si>
  <si>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</si>
  <si>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</si>
  <si>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</si>
  <si>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</si>
  <si>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</si>
  <si>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</si>
  <si>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</si>
  <si>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</si>
  <si>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</si>
  <si>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</si>
  <si>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</si>
  <si>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</si>
  <si>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</si>
  <si>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</si>
  <si>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</si>
  <si>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</si>
  <si>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</si>
  <si>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</si>
  <si>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</si>
  <si>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</si>
  <si>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</si>
  <si>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</si>
  <si>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</si>
  <si>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</si>
  <si>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</si>
  <si>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</si>
  <si>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</si>
  <si>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</si>
  <si>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</si>
  <si>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</si>
  <si>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</si>
  <si>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</si>
  <si>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</si>
  <si>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</si>
  <si>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</si>
  <si>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</si>
  <si>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</si>
  <si>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</si>
  <si>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</si>
  <si>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</si>
  <si>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</si>
  <si>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</si>
  <si>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</si>
  <si>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</si>
  <si>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</si>
  <si>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</si>
  <si>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</si>
  <si>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</si>
  <si>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</si>
  <si>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</si>
  <si>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</si>
  <si>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</si>
  <si>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</si>
  <si>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</si>
  <si>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</si>
  <si>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</si>
  <si>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</si>
  <si>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</si>
  <si>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</si>
  <si>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</si>
  <si>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</si>
  <si>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</si>
  <si>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</si>
  <si>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</si>
  <si>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</si>
  <si>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</si>
  <si>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</si>
  <si>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</si>
  <si>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</si>
  <si>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</si>
  <si>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</si>
  <si>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</si>
  <si>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</si>
  <si>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</si>
  <si>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</si>
  <si>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</si>
  <si>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</si>
  <si>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</si>
  <si>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</si>
  <si>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</si>
  <si>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</si>
  <si>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</si>
  <si>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</si>
  <si>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</si>
  <si>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</si>
  <si>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</si>
  <si>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</si>
  <si>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</si>
  <si>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</si>
  <si>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</si>
  <si>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</si>
  <si>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</si>
  <si>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</si>
  <si>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</si>
  <si>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</si>
  <si>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</si>
  <si>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</si>
  <si>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</si>
  <si>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</si>
  <si>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</si>
  <si>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</si>
  <si>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</si>
  <si>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</si>
  <si>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</si>
  <si>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</si>
  <si>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</si>
  <si>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</si>
  <si>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</si>
  <si>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</si>
  <si>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</si>
  <si>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</si>
  <si>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</si>
  <si>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</si>
  <si>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</si>
  <si>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</si>
  <si>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</si>
  <si>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</si>
  <si>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</si>
  <si>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</si>
  <si>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</si>
  <si>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</si>
  <si>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</si>
  <si>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</si>
  <si>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</si>
  <si>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</si>
  <si>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</si>
  <si>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</si>
  <si>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</si>
  <si>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</si>
  <si>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</si>
  <si>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</si>
  <si>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</si>
  <si>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</si>
  <si>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</si>
  <si>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</si>
  <si>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</si>
  <si>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</si>
  <si>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</si>
  <si>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</si>
  <si>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</si>
  <si>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</si>
  <si>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</si>
  <si>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</si>
  <si>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</si>
  <si>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</si>
  <si>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</si>
  <si>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</si>
  <si>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</si>
  <si>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</si>
  <si>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</si>
  <si>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</si>
  <si>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</si>
  <si>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</si>
  <si>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</si>
  <si>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</si>
  <si>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</si>
  <si>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</si>
  <si>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</si>
  <si>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</si>
  <si>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</si>
  <si>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</si>
  <si>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</si>
  <si>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</si>
  <si>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</si>
  <si>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</si>
  <si>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</si>
  <si>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</si>
  <si>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</si>
  <si>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</si>
  <si>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</si>
  <si>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</si>
  <si>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</si>
  <si>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</si>
  <si>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</si>
  <si>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</si>
  <si>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</si>
  <si>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</si>
  <si>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</si>
  <si>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</si>
  <si>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</si>
  <si>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</si>
  <si>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</si>
  <si>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</si>
  <si>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</si>
  <si>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</si>
  <si>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</si>
  <si>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</si>
  <si>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</si>
  <si>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</si>
  <si>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</si>
  <si>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</si>
  <si>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</si>
  <si>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</si>
  <si>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</si>
  <si>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</si>
  <si>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</si>
  <si>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</si>
  <si>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</si>
  <si>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</si>
  <si>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</si>
  <si>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</si>
  <si>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</si>
  <si>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</si>
  <si>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</si>
  <si>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</si>
  <si>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</si>
  <si>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</si>
  <si>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</si>
  <si>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</si>
  <si>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</si>
  <si>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</si>
  <si>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</si>
  <si>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</si>
  <si>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</si>
  <si>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</si>
  <si>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</si>
  <si>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</si>
  <si>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</si>
  <si>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</si>
  <si>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</si>
  <si>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</si>
  <si>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</si>
  <si>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</si>
  <si>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</si>
  <si>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</si>
  <si>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</si>
  <si>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</si>
  <si>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</si>
  <si>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</si>
  <si>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</si>
  <si>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</si>
  <si>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</si>
  <si>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</si>
  <si>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</si>
  <si>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</si>
  <si>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</si>
  <si>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</si>
  <si>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</si>
  <si>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</si>
  <si>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</si>
  <si>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</si>
  <si>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</si>
  <si>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</si>
  <si>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</si>
  <si>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</si>
  <si>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</si>
  <si>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</si>
  <si>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</si>
  <si>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</si>
  <si>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</si>
  <si>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</si>
  <si>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</si>
  <si>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</si>
  <si>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</si>
  <si>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</si>
  <si>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</si>
  <si>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</si>
  <si>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</si>
  <si>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</si>
  <si>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</si>
  <si>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</si>
  <si>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</si>
  <si>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</si>
  <si>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</si>
  <si>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</si>
  <si>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</si>
  <si>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</si>
  <si>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</si>
  <si>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</si>
  <si>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</si>
  <si>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</si>
  <si>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</si>
  <si>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</si>
  <si>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</si>
  <si>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</si>
  <si>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</si>
  <si>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</si>
  <si>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</si>
  <si>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</si>
  <si>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</si>
  <si>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</si>
  <si>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</si>
  <si>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</si>
  <si>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</si>
  <si>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</si>
  <si>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</si>
  <si>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</si>
  <si>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</si>
  <si>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</si>
  <si>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</si>
  <si>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</si>
  <si>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</si>
  <si>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</si>
  <si>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</si>
  <si>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</si>
  <si>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</si>
  <si>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</si>
  <si>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</si>
  <si>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</si>
  <si>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</si>
  <si>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</si>
  <si>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</si>
  <si>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</si>
  <si>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</si>
  <si>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</si>
  <si>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</si>
  <si>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</si>
  <si>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</si>
  <si>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</si>
  <si>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</si>
  <si>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</si>
  <si>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</si>
  <si>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</si>
  <si>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</si>
  <si>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</si>
  <si>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</si>
  <si>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</si>
  <si>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</si>
  <si>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</si>
  <si>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</si>
  <si>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</si>
  <si>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</si>
  <si>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</si>
  <si>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</si>
  <si>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</si>
  <si>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</si>
  <si>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</si>
  <si>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</si>
  <si>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</si>
  <si>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</si>
  <si>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</si>
  <si>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</si>
  <si>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</si>
  <si>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</si>
  <si>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</si>
  <si>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</si>
  <si>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</si>
  <si>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</si>
  <si>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</si>
  <si>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</si>
  <si>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</si>
  <si>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</si>
  <si>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</si>
  <si>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</si>
  <si>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</si>
  <si>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</si>
  <si>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</si>
  <si>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</si>
  <si>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</si>
  <si>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</si>
  <si>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</si>
  <si>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</si>
  <si>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</si>
  <si>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</si>
  <si>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</si>
  <si>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</si>
  <si>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</si>
  <si>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</si>
  <si>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</si>
  <si>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</si>
  <si>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</si>
  <si>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</si>
  <si>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</si>
  <si>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</si>
  <si>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</si>
  <si>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</si>
  <si>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</si>
  <si>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</si>
  <si>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</si>
  <si>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</si>
  <si>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</si>
  <si>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</si>
  <si>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</si>
  <si>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</si>
  <si>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</si>
  <si>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</si>
  <si>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</si>
  <si>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</si>
  <si>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</si>
  <si>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</si>
  <si>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</si>
  <si>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</si>
  <si>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</si>
  <si>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</si>
  <si>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</si>
  <si>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</si>
  <si>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</si>
  <si>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</si>
  <si>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</si>
  <si>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</si>
  <si>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</si>
  <si>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</si>
  <si>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</si>
  <si>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</si>
  <si>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</si>
  <si>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</si>
  <si>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</si>
  <si>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</si>
  <si>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</si>
  <si>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</si>
  <si>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</si>
  <si>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</si>
  <si>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</si>
  <si>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</si>
  <si>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</si>
  <si>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</si>
  <si>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</si>
  <si>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</si>
  <si>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</si>
  <si>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</si>
  <si>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</si>
  <si>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</si>
  <si>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</si>
  <si>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</si>
  <si>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</si>
  <si>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</si>
  <si>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</si>
  <si>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</si>
  <si>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</si>
  <si>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</si>
  <si>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</si>
  <si>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</si>
  <si>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</si>
  <si>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</si>
  <si>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</si>
  <si>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</si>
  <si>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</si>
  <si>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</si>
  <si>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</si>
  <si>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</si>
  <si>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</si>
  <si>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</si>
  <si>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</si>
  <si>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</si>
  <si>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</si>
  <si>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</si>
  <si>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</si>
  <si>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</si>
  <si>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</si>
  <si>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</si>
  <si>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</si>
  <si>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</si>
  <si>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</si>
  <si>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</si>
  <si>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</si>
  <si>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</si>
  <si>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</si>
  <si>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</si>
  <si>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</si>
  <si>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</si>
  <si>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</si>
  <si>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</si>
  <si>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</si>
  <si>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</si>
  <si>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</si>
  <si>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</si>
  <si>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</si>
  <si>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</si>
  <si>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</si>
  <si>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</si>
  <si>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</si>
  <si>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</si>
  <si>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</si>
  <si>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</si>
  <si>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</si>
  <si>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</si>
  <si>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</si>
  <si>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</si>
  <si>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</si>
  <si>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</si>
  <si>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</si>
  <si>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</si>
  <si>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</si>
  <si>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</si>
  <si>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</si>
  <si>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</si>
  <si>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</si>
  <si>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</si>
  <si>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</si>
  <si>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</si>
  <si>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</si>
  <si>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</si>
  <si>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</si>
  <si>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</si>
  <si>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</si>
  <si>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</si>
  <si>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</si>
  <si>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</si>
  <si>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</si>
  <si>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</si>
  <si>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</si>
  <si>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</si>
  <si>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</si>
  <si>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</si>
  <si>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</si>
  <si>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</si>
  <si>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</si>
  <si>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</si>
  <si>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</si>
  <si>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</si>
  <si>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</si>
  <si>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</si>
  <si>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</si>
  <si>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</si>
  <si>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</si>
  <si>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</si>
  <si>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</si>
  <si>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</si>
  <si>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</si>
  <si>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</si>
  <si>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</si>
  <si>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</si>
  <si>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</si>
  <si>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</si>
  <si>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</si>
  <si>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</si>
  <si>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</si>
  <si>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</si>
  <si>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</si>
  <si>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</si>
  <si>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</si>
  <si>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</si>
  <si>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</si>
  <si>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</si>
  <si>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</si>
  <si>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</si>
  <si>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</si>
  <si>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</si>
  <si>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</si>
  <si>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</si>
  <si>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</si>
  <si>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</si>
  <si>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</si>
  <si>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</si>
  <si>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</si>
  <si>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</si>
  <si>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</si>
  <si>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</si>
  <si>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</si>
  <si>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</si>
  <si>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</si>
  <si>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</si>
  <si>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</si>
  <si>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</si>
  <si>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</si>
  <si>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</si>
  <si>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</si>
  <si>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</si>
  <si>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</si>
  <si>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</si>
  <si>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</si>
  <si>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</si>
  <si>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</si>
  <si>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</si>
  <si>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</si>
  <si>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</si>
  <si>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</si>
  <si>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</si>
  <si>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</si>
  <si>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</si>
  <si>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</si>
  <si>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</si>
  <si>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</si>
  <si>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</si>
  <si>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</si>
  <si>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</si>
  <si>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</si>
  <si>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</si>
  <si>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</si>
  <si>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</si>
  <si>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</si>
  <si>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</si>
  <si>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</si>
  <si>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</si>
  <si>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</si>
  <si>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</si>
  <si>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</si>
  <si>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</si>
  <si>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</si>
  <si>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</si>
  <si>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</si>
  <si>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</si>
  <si>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</si>
  <si>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</si>
  <si>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</si>
  <si>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</si>
  <si>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</si>
  <si>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</si>
  <si>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</si>
  <si>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</si>
  <si>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</si>
  <si>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</si>
  <si>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</si>
  <si>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</si>
  <si>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</si>
  <si>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</si>
  <si>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</si>
  <si>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</si>
  <si>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</si>
  <si>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</si>
  <si>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</si>
  <si>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</si>
  <si>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</si>
  <si>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</si>
  <si>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</si>
  <si>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</si>
  <si>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</si>
  <si>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</si>
  <si>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</si>
  <si>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</si>
  <si>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</si>
  <si>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</si>
  <si>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</si>
  <si>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</si>
  <si>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</si>
  <si>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</si>
  <si>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</si>
  <si>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</si>
  <si>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</si>
  <si>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</si>
  <si>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</si>
  <si>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</si>
  <si>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</si>
  <si>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</si>
  <si>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</si>
  <si>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</si>
  <si>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</si>
  <si>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</si>
  <si>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</si>
  <si>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</si>
  <si>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</si>
  <si>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</si>
  <si>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</si>
  <si>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</si>
  <si>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</si>
  <si>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</si>
  <si>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</si>
  <si>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</si>
  <si>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</si>
  <si>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</si>
  <si>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</si>
  <si>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</si>
  <si>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</si>
  <si>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</si>
  <si>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</si>
  <si>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</si>
  <si>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</si>
  <si>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</si>
  <si>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</si>
  <si>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</si>
  <si>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</si>
  <si>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</si>
  <si>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</si>
  <si>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</si>
  <si>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</si>
  <si>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</si>
  <si>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</si>
  <si>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</si>
  <si>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</si>
  <si>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</si>
  <si>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</si>
  <si>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</si>
  <si>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</si>
  <si>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</si>
  <si>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</si>
  <si>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</si>
  <si>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</si>
  <si>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</si>
  <si>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</si>
  <si>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</si>
  <si>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</si>
  <si>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</si>
  <si>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</si>
  <si>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</si>
  <si>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</si>
  <si>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</si>
  <si>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</si>
  <si>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</si>
  <si>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</si>
  <si>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</si>
  <si>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</si>
  <si>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</si>
  <si>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</si>
  <si>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</si>
  <si>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</si>
  <si>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</si>
  <si>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</si>
  <si>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</si>
  <si>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</si>
  <si>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</si>
  <si>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</si>
  <si>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</si>
  <si>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</si>
  <si>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</si>
  <si>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</si>
  <si>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</si>
  <si>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</si>
  <si>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</si>
  <si>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</si>
  <si>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</si>
  <si>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</si>
  <si>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</si>
  <si>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</si>
  <si>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</si>
  <si>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</si>
  <si>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</si>
  <si>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</si>
  <si>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</si>
  <si>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</si>
  <si>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</si>
  <si>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</si>
  <si>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</si>
  <si>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</si>
  <si>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</si>
  <si>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</si>
  <si>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</si>
  <si>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</si>
  <si>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</si>
  <si>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</si>
  <si>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</si>
  <si>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</si>
  <si>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</si>
  <si>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</si>
  <si>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</si>
  <si>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</si>
  <si>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</si>
  <si>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</si>
  <si>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</si>
  <si>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</si>
  <si>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</si>
  <si>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</si>
  <si>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</si>
  <si>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</si>
  <si>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</si>
  <si>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</si>
  <si>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</si>
  <si>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</si>
  <si>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</si>
  <si>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</si>
  <si>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</si>
  <si>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</si>
  <si>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</si>
  <si>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</si>
  <si>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</si>
  <si>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</si>
  <si>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</si>
  <si>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</si>
  <si>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</si>
  <si>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</si>
  <si>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</si>
  <si>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</si>
  <si>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</si>
  <si>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</si>
  <si>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</si>
  <si>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</si>
  <si>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</si>
  <si>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</si>
  <si>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</si>
  <si>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</si>
  <si>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</si>
  <si>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</si>
  <si>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</si>
  <si>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</si>
  <si>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</si>
  <si>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</si>
  <si>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</si>
  <si>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</si>
  <si>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</si>
  <si>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</si>
  <si>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</si>
  <si>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</si>
  <si>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</si>
  <si>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</si>
  <si>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</si>
  <si>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</si>
  <si>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</si>
  <si>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</si>
  <si>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</si>
  <si>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</si>
  <si>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</si>
  <si>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</si>
  <si>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</si>
  <si>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</si>
  <si>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</si>
  <si>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</si>
  <si>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</si>
  <si>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</si>
  <si>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</si>
  <si>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</si>
  <si>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</si>
  <si>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</si>
  <si>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</si>
  <si>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</si>
  <si>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</si>
  <si>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</si>
  <si>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</si>
  <si>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</si>
  <si>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</si>
  <si>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</si>
  <si>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</si>
  <si>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</si>
  <si>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</si>
  <si>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</si>
  <si>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</si>
  <si>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</si>
  <si>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</si>
  <si>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</si>
  <si>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</si>
  <si>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</si>
  <si>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</si>
  <si>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</si>
  <si>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</si>
  <si>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</si>
  <si>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</si>
  <si>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</si>
  <si>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</si>
  <si>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</si>
  <si>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</si>
  <si>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</si>
  <si>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</si>
  <si>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</si>
  <si>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</si>
  <si>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</si>
  <si>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</si>
  <si>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</si>
  <si>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</si>
  <si>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</si>
  <si>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</si>
  <si>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</si>
  <si>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</si>
  <si>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</si>
  <si>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</si>
  <si>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</si>
  <si>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</si>
  <si>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</si>
  <si>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</si>
  <si>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</si>
  <si>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</si>
  <si>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</si>
  <si>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</si>
  <si>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</si>
  <si>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</si>
  <si>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</si>
  <si>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</si>
  <si>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</si>
  <si>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</si>
  <si>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</si>
  <si>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</si>
  <si>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</si>
  <si>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</si>
  <si>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</si>
  <si>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</si>
  <si>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</si>
  <si>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</si>
  <si>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</si>
  <si>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</si>
  <si>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</si>
  <si>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</si>
  <si>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</si>
  <si>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</si>
  <si>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</si>
  <si>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</si>
  <si>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</si>
  <si>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</si>
  <si>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</si>
  <si>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</si>
  <si>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</si>
  <si>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</si>
  <si>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</si>
  <si>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</si>
  <si>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</si>
  <si>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</si>
  <si>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</si>
  <si>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</si>
  <si>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</si>
  <si>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</si>
  <si>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</si>
  <si>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</si>
  <si>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</si>
  <si>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</si>
  <si>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</si>
  <si>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</si>
  <si>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</si>
  <si>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</si>
  <si>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</si>
  <si>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</si>
  <si>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</si>
  <si>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</si>
  <si>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</si>
  <si>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</si>
  <si>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</si>
  <si>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</si>
  <si>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</si>
  <si>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</si>
  <si>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</si>
  <si>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</si>
  <si>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</si>
  <si>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</si>
  <si>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</si>
  <si>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</si>
  <si>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</si>
  <si>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</si>
  <si>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</si>
  <si>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</si>
  <si>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</si>
  <si>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</si>
  <si>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</si>
  <si>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</si>
  <si>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</si>
  <si>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</si>
  <si>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</si>
  <si>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</si>
  <si>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</si>
  <si>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</si>
  <si>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</si>
  <si>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</si>
  <si>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</si>
  <si>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</si>
  <si>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</si>
  <si>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</si>
  <si>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</si>
  <si>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</si>
  <si>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</si>
  <si>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</si>
  <si>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</si>
  <si>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</si>
  <si>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</si>
  <si>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</si>
  <si>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</si>
  <si>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</si>
  <si>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</si>
  <si>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</si>
  <si>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</si>
  <si>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</si>
  <si>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</si>
  <si>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</si>
  <si>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</si>
  <si>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</si>
  <si>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</si>
  <si>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</si>
  <si>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</si>
  <si>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</si>
  <si>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</si>
  <si>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</si>
  <si>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</si>
  <si>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</si>
  <si>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</si>
  <si>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</si>
  <si>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</si>
  <si>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</si>
  <si>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</si>
  <si>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</si>
  <si>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</si>
  <si>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</si>
  <si>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</si>
  <si>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</si>
  <si>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</si>
  <si>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</si>
  <si>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</si>
  <si>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</si>
  <si>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</si>
  <si>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</si>
  <si>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</si>
  <si>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</si>
  <si>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</si>
  <si>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</si>
  <si>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</si>
  <si>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</si>
  <si>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</si>
  <si>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</si>
  <si>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</si>
  <si>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</si>
  <si>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</si>
  <si>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</si>
  <si>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</si>
  <si>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</si>
  <si>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</si>
  <si>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</si>
  <si>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</si>
  <si>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</si>
  <si>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</si>
  <si>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</si>
  <si>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</si>
  <si>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</si>
  <si>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</si>
  <si>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</si>
  <si>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</si>
  <si>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</si>
  <si>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</si>
  <si>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</si>
  <si>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</si>
  <si>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</si>
  <si>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</si>
  <si>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</si>
  <si>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</si>
  <si>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</si>
  <si>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</si>
  <si>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</si>
  <si>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</si>
  <si>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</si>
  <si>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</si>
  <si>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</si>
  <si>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</si>
  <si>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</si>
  <si>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</si>
  <si>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</si>
  <si>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</si>
  <si>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</si>
  <si>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</si>
  <si>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</si>
  <si>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</si>
  <si>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</si>
  <si>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</si>
  <si>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</si>
  <si>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</si>
  <si>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</si>
  <si>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</si>
  <si>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</si>
  <si>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</si>
  <si>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</si>
  <si>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</si>
  <si>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</si>
  <si>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</si>
  <si>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</si>
  <si>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</si>
  <si>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</si>
  <si>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</si>
  <si>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</si>
  <si>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</si>
  <si>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</si>
  <si>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</si>
  <si>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</si>
  <si>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</si>
  <si>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</si>
  <si>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</si>
  <si>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</si>
  <si>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</si>
  <si>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</si>
  <si>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</si>
  <si>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</si>
  <si>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</si>
  <si>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</si>
  <si>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</si>
  <si>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</si>
  <si>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</si>
  <si>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</si>
  <si>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</si>
  <si>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</si>
  <si>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</si>
  <si>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</si>
  <si>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</si>
  <si>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</si>
  <si>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</si>
  <si>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</si>
  <si>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</si>
  <si>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</si>
  <si>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</si>
  <si>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</si>
  <si>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</si>
  <si>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</si>
  <si>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</si>
  <si>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</si>
  <si>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</si>
  <si>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</si>
  <si>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</si>
  <si>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</si>
  <si>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</si>
  <si>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</si>
  <si>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</si>
  <si>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</si>
  <si>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</si>
  <si>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</si>
  <si>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</si>
  <si>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</si>
  <si>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</si>
  <si>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</si>
  <si>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</si>
  <si>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</si>
  <si>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</si>
  <si>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</si>
  <si>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</si>
  <si>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</si>
  <si>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</si>
  <si>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</si>
  <si>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</si>
  <si>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</si>
  <si>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</si>
  <si>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</si>
  <si>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</si>
  <si>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</si>
  <si>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</si>
  <si>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</si>
  <si>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</si>
  <si>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</si>
  <si>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</si>
  <si>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</si>
  <si>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</si>
  <si>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</si>
  <si>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</si>
  <si>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</si>
  <si>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</si>
  <si>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</si>
  <si>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</si>
  <si>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</si>
  <si>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</si>
  <si>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</si>
  <si>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</si>
  <si>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</si>
  <si>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</si>
  <si>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</si>
  <si>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</si>
  <si>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</si>
  <si>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</si>
  <si>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</si>
  <si>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</si>
  <si>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</si>
  <si>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</si>
  <si>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</si>
  <si>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</si>
  <si>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</si>
  <si>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</si>
  <si>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</si>
  <si>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</si>
  <si>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</si>
  <si>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</si>
  <si>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</si>
  <si>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</si>
  <si>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</si>
  <si>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</si>
  <si>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</si>
  <si>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</si>
  <si>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</si>
  <si>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</si>
  <si>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</si>
  <si>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</si>
  <si>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</si>
  <si>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</si>
  <si>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</si>
  <si>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</si>
  <si>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</si>
  <si>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</si>
  <si>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</si>
  <si>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</si>
  <si>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</si>
  <si>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</si>
  <si>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</si>
  <si>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</si>
  <si>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</si>
  <si>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</si>
  <si>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</si>
  <si>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</si>
  <si>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</si>
  <si>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</si>
  <si>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</si>
  <si>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</si>
  <si>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</si>
  <si>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</si>
  <si>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</si>
  <si>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</si>
  <si>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</si>
  <si>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</si>
  <si>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</si>
  <si>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</si>
  <si>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</si>
  <si>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</si>
  <si>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</si>
  <si>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</si>
  <si>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</si>
  <si>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</si>
  <si>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</si>
  <si>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</si>
  <si>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</si>
  <si>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</si>
  <si>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</si>
  <si>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</si>
  <si>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</si>
  <si>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</si>
  <si>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</si>
  <si>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</si>
  <si>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</si>
  <si>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</si>
  <si>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</si>
  <si>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</si>
  <si>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</si>
  <si>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</si>
  <si>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</si>
  <si>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</si>
  <si>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</si>
  <si>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</si>
  <si>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</si>
  <si>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</si>
  <si>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</si>
  <si>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</si>
  <si>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</si>
  <si>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</si>
  <si>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</si>
  <si>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</si>
  <si>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</si>
  <si>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</si>
  <si>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</si>
  <si>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</si>
  <si>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</si>
  <si>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</si>
  <si>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</si>
  <si>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</si>
  <si>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</si>
  <si>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</si>
  <si>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</si>
  <si>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</si>
  <si>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</si>
  <si>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</si>
  <si>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</si>
  <si>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</si>
  <si>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</si>
  <si>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</si>
  <si>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</si>
  <si>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</si>
  <si>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</si>
  <si>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</si>
  <si>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</si>
  <si>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</si>
  <si>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</si>
  <si>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</si>
  <si>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</si>
  <si>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</si>
  <si>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</si>
  <si>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</si>
  <si>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</si>
  <si>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</si>
  <si>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</si>
  <si>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</si>
  <si>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</si>
  <si>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</si>
  <si>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</si>
  <si>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</si>
  <si>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</si>
  <si>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</si>
  <si>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</si>
  <si>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</si>
  <si>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</si>
  <si>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</si>
  <si>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</si>
  <si>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</si>
  <si>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</si>
  <si>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</si>
  <si>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</si>
  <si>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</si>
  <si>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</si>
  <si>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</si>
  <si>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</si>
  <si>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</si>
  <si>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</si>
  <si>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</si>
  <si>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</si>
  <si>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</si>
  <si>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</si>
  <si>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</si>
  <si>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</si>
  <si>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</si>
  <si>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</si>
  <si>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</si>
  <si>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</si>
  <si>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</si>
  <si>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</si>
  <si>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</si>
  <si>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</si>
  <si>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</si>
  <si>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</si>
  <si>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</si>
  <si>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</si>
  <si>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</si>
  <si>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</si>
  <si>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</si>
  <si>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</si>
  <si>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</si>
  <si>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</si>
  <si>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</si>
  <si>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</si>
  <si>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</si>
  <si>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</si>
  <si>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</si>
  <si>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</si>
  <si>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</si>
  <si>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</si>
  <si>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</si>
  <si>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</si>
  <si>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</si>
  <si>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</si>
  <si>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</si>
  <si>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</si>
  <si>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</si>
  <si>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</si>
  <si>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</si>
  <si>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</si>
  <si>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</si>
  <si>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</si>
  <si>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</si>
  <si>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</si>
  <si>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</si>
  <si>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</si>
  <si>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</si>
  <si>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</si>
  <si>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</si>
  <si>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</si>
  <si>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</si>
  <si>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</si>
  <si>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</si>
  <si>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</si>
  <si>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</si>
  <si>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</si>
  <si>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</si>
  <si>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</si>
  <si>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</si>
  <si>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</si>
  <si>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</si>
  <si>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</si>
  <si>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</si>
  <si>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</si>
  <si>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</si>
  <si>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</si>
  <si>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</si>
  <si>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</si>
  <si>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</si>
  <si>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</si>
  <si>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</si>
  <si>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</si>
  <si>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</si>
  <si>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</si>
  <si>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</si>
  <si>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</si>
  <si>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</si>
  <si>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</si>
  <si>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</si>
  <si>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</si>
  <si>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</si>
  <si>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</si>
  <si>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</si>
  <si>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</si>
  <si>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</si>
  <si>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</si>
  <si>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</si>
  <si>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</si>
  <si>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</si>
  <si>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</si>
  <si>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</si>
  <si>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</si>
  <si>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</si>
  <si>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</si>
  <si>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</si>
  <si>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</si>
  <si>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</si>
  <si>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</si>
  <si>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</si>
  <si>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</si>
  <si>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</si>
  <si>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</si>
  <si>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</si>
  <si>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</si>
  <si>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</si>
  <si>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</si>
  <si>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</si>
  <si>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</si>
  <si>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</si>
  <si>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</si>
  <si>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</si>
  <si>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</si>
  <si>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</si>
  <si>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</si>
  <si>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</si>
  <si>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</si>
  <si>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</si>
  <si>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</si>
  <si>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</si>
  <si>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</si>
  <si>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</si>
  <si>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</si>
  <si>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</si>
  <si>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</si>
  <si>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</si>
  <si>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</si>
  <si>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</si>
  <si>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</si>
  <si>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</si>
  <si>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</si>
  <si>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</si>
  <si>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</si>
  <si>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</si>
  <si>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</si>
  <si>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</si>
  <si>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</si>
  <si>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</si>
  <si>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</si>
  <si>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</si>
  <si>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</si>
  <si>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</si>
  <si>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</si>
  <si>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</si>
  <si>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</si>
  <si>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</si>
  <si>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</si>
  <si>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</si>
  <si>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</si>
  <si>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</si>
  <si>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</si>
  <si>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</si>
  <si>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</si>
  <si>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</si>
  <si>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</si>
  <si>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</si>
  <si>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</si>
  <si>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</si>
  <si>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</si>
  <si>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</si>
  <si>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</si>
  <si>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</si>
  <si>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</si>
  <si>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</si>
  <si>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</si>
  <si>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</si>
  <si>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</si>
  <si>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</si>
  <si>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</si>
  <si>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</si>
  <si>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</si>
  <si>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</si>
  <si>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</si>
  <si>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</si>
  <si>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</si>
  <si>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</si>
  <si>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</si>
  <si>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</si>
  <si>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</si>
  <si>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</si>
  <si>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</si>
  <si>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</si>
  <si>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</si>
  <si>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</si>
  <si>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</si>
  <si>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</si>
  <si>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</si>
  <si>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</si>
  <si>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</si>
  <si>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</si>
  <si>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</si>
  <si>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</si>
  <si>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</si>
  <si>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</si>
  <si>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</si>
  <si>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</si>
  <si>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</si>
  <si>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</si>
  <si>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</si>
  <si>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</si>
  <si>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</si>
  <si>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</si>
  <si>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</si>
  <si>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</si>
  <si>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</si>
  <si>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</si>
  <si>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</si>
  <si>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</si>
  <si>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</si>
  <si>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</si>
  <si>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</si>
  <si>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</si>
  <si>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</si>
  <si>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</si>
  <si>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</si>
  <si>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</si>
  <si>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</si>
  <si>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</si>
  <si>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</si>
  <si>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</si>
  <si>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</si>
  <si>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</si>
  <si>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</si>
  <si>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</si>
  <si>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</si>
  <si>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</si>
  <si>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</si>
  <si>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</si>
  <si>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</si>
  <si>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</si>
  <si>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</si>
  <si>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</si>
  <si>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</si>
  <si>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</si>
  <si>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</si>
  <si>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</si>
  <si>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</si>
  <si>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</si>
  <si>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</si>
  <si>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</si>
  <si>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</si>
  <si>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</si>
  <si>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</si>
  <si>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</si>
  <si>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</si>
  <si>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</si>
  <si>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</si>
  <si>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</si>
  <si>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</si>
  <si>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</si>
  <si>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</si>
  <si>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</si>
  <si>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</si>
  <si>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</si>
  <si>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</si>
  <si>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</si>
  <si>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</si>
  <si>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</si>
  <si>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</si>
  <si>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</si>
  <si>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</si>
  <si>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</si>
  <si>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</si>
  <si>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</si>
  <si>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</si>
  <si>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</si>
  <si>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</si>
  <si>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</si>
  <si>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</si>
  <si>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</si>
  <si>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</si>
  <si>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</si>
  <si>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</si>
  <si>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</si>
  <si>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</si>
  <si>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</si>
  <si>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</si>
  <si>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</si>
  <si>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</si>
  <si>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</si>
  <si>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</si>
  <si>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</si>
  <si>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</si>
  <si>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</si>
  <si>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</si>
  <si>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</si>
  <si>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</si>
  <si>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</si>
  <si>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</si>
  <si>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</si>
  <si>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</si>
  <si>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</si>
  <si>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</si>
  <si>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</si>
  <si>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</si>
  <si>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</si>
  <si>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</si>
  <si>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</si>
  <si>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</si>
  <si>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</si>
  <si>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</si>
  <si>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</si>
  <si>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</si>
  <si>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</si>
  <si>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</si>
  <si>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</si>
  <si>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</si>
  <si>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</si>
  <si>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</si>
  <si>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</si>
  <si>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</si>
  <si>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</si>
  <si>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</si>
  <si>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</si>
  <si>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</si>
  <si>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</si>
  <si>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</si>
  <si>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</si>
  <si>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</si>
  <si>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</si>
  <si>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</si>
  <si>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</si>
  <si>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</si>
  <si>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</si>
  <si>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</si>
  <si>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</si>
  <si>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</si>
  <si>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</si>
  <si>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</si>
  <si>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</si>
  <si>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</si>
  <si>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</si>
  <si>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</si>
  <si>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</si>
  <si>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</si>
  <si>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</si>
  <si>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</si>
  <si>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</si>
  <si>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</si>
  <si>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</si>
  <si>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</si>
  <si>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</si>
  <si>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</si>
  <si>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</si>
  <si>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</si>
  <si>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</si>
  <si>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</si>
  <si>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</si>
  <si>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</si>
  <si>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</si>
  <si>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</si>
  <si>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</si>
  <si>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</si>
  <si>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</si>
  <si>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</si>
  <si>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</si>
  <si>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</si>
  <si>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</si>
  <si>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</si>
  <si>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</si>
  <si>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</si>
  <si>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</si>
  <si>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</si>
  <si>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</si>
  <si>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</si>
  <si>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</si>
  <si>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</si>
  <si>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</si>
  <si>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</si>
  <si>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</si>
  <si>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</si>
  <si>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</si>
  <si>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</si>
  <si>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</si>
  <si>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</si>
  <si>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</si>
  <si>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</si>
  <si>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</si>
  <si>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</si>
  <si>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</si>
  <si>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</si>
  <si>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</si>
  <si>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</si>
  <si>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</si>
  <si>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</si>
  <si>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</si>
  <si>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</si>
  <si>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</si>
  <si>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</si>
  <si>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</si>
  <si>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</si>
  <si>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</si>
  <si>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</si>
  <si>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</si>
  <si>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</si>
  <si>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</si>
  <si>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</si>
  <si>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</si>
  <si>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</si>
  <si>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</si>
  <si>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</si>
  <si>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</si>
  <si>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</si>
  <si>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</si>
  <si>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</si>
  <si>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</si>
  <si>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</si>
  <si>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</si>
  <si>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</si>
  <si>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</si>
  <si>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</si>
  <si>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</si>
  <si>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</si>
  <si>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</si>
  <si>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</si>
  <si>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</si>
  <si>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</si>
  <si>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</si>
  <si>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</si>
  <si>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</si>
  <si>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</si>
  <si>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</si>
  <si>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</si>
  <si>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</si>
  <si>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</si>
  <si>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</si>
  <si>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</si>
  <si>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</si>
  <si>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</si>
  <si>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</si>
  <si>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</si>
  <si>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</si>
  <si>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</si>
  <si>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</si>
  <si>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</si>
  <si>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</si>
  <si>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</si>
  <si>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</si>
  <si>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</si>
  <si>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</si>
  <si>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</si>
  <si>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</si>
  <si>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</si>
  <si>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</si>
  <si>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</si>
  <si>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</si>
  <si>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</si>
  <si>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</si>
  <si>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</si>
  <si>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</si>
  <si>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</si>
  <si>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</si>
  <si>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</si>
  <si>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</si>
  <si>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</si>
  <si>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</si>
  <si>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</si>
  <si>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</si>
  <si>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</si>
  <si>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</si>
  <si>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</si>
  <si>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</si>
  <si>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</si>
  <si>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</si>
  <si>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</si>
  <si>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</si>
  <si>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</si>
  <si>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</si>
  <si>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</si>
  <si>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</si>
  <si>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</si>
  <si>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</si>
  <si>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</si>
  <si>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</si>
  <si>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</si>
  <si>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</si>
  <si>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</si>
  <si>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</si>
  <si>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</si>
  <si>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</si>
  <si>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</si>
  <si>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</si>
  <si>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</si>
  <si>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</si>
  <si>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</si>
  <si>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</si>
  <si>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</si>
  <si>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</si>
  <si>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</si>
  <si>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</si>
  <si>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</si>
  <si>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</si>
  <si>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</si>
  <si>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</si>
  <si>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</si>
  <si>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</si>
  <si>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</si>
  <si>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</si>
  <si>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</si>
  <si>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</si>
  <si>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</si>
  <si>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</si>
  <si>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</si>
  <si>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</si>
  <si>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</si>
  <si>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</si>
  <si>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</si>
  <si>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</si>
  <si>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</si>
  <si>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</si>
  <si>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</si>
  <si>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</si>
  <si>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</si>
  <si>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</si>
  <si>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</si>
  <si>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</si>
  <si>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</si>
  <si>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</si>
  <si>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</si>
  <si>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</si>
  <si>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</si>
  <si>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</si>
  <si>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</si>
  <si>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</si>
  <si>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</si>
  <si>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</si>
  <si>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</si>
  <si>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</si>
  <si>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</si>
  <si>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</si>
  <si>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</si>
  <si>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</si>
  <si>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</si>
  <si>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</si>
  <si>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</si>
  <si>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</si>
  <si>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</si>
  <si>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</si>
  <si>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</si>
  <si>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</si>
  <si>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</si>
  <si>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</si>
  <si>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</si>
  <si>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</si>
  <si>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</si>
  <si>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</si>
  <si>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</si>
  <si>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</si>
  <si>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</si>
  <si>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</si>
  <si>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</si>
  <si>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</si>
  <si>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</si>
  <si>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</si>
  <si>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</si>
  <si>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</si>
  <si>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</si>
  <si>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</si>
  <si>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</si>
  <si>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</si>
  <si>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</si>
  <si>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</si>
  <si>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</si>
  <si>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</si>
  <si>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</si>
  <si>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</si>
  <si>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</si>
  <si>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</si>
  <si>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</si>
  <si>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</si>
  <si>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</si>
  <si>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</si>
  <si>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</si>
  <si>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</si>
  <si>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</si>
  <si>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</si>
  <si>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</si>
  <si>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</si>
  <si>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</si>
  <si>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</si>
  <si>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</si>
  <si>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</si>
  <si>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</si>
  <si>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</si>
  <si>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</si>
  <si>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</si>
  <si>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</si>
  <si>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</si>
  <si>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</si>
  <si>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</si>
  <si>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</si>
  <si>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</si>
  <si>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</si>
  <si>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</si>
  <si>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</si>
  <si>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</si>
  <si>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</si>
  <si>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</si>
  <si>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</si>
  <si>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</si>
  <si>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</si>
  <si>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</si>
  <si>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</si>
  <si>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</si>
  <si>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</si>
  <si>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</si>
  <si>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</si>
  <si>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</si>
  <si>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</si>
  <si>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</si>
  <si>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</si>
  <si>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</si>
  <si>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</si>
  <si>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</si>
  <si>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</si>
  <si>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</si>
  <si>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</si>
  <si>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</si>
  <si>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</si>
  <si>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</si>
  <si>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</si>
  <si>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</si>
  <si>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</si>
  <si>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</si>
  <si>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</si>
  <si>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</si>
  <si>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</si>
  <si>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</si>
  <si>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</si>
  <si>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</si>
  <si>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</si>
  <si>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</si>
  <si>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</si>
  <si>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</si>
  <si>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</si>
  <si>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</si>
  <si>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</si>
  <si>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</si>
  <si>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</si>
  <si>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</si>
  <si>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</si>
  <si>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</si>
  <si>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</si>
  <si>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</si>
  <si>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</si>
  <si>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</si>
  <si>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</si>
  <si>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</si>
  <si>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</si>
  <si>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</si>
  <si>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</si>
  <si>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</si>
  <si>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</si>
  <si>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</si>
  <si>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</si>
  <si>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</si>
  <si>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</si>
  <si>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</si>
  <si>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</si>
  <si>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</si>
  <si>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</si>
  <si>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</si>
  <si>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</si>
  <si>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</si>
  <si>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</si>
  <si>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</si>
  <si>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</si>
  <si>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</si>
  <si>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</si>
  <si>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</si>
  <si>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</si>
  <si>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</si>
  <si>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</si>
  <si>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</si>
  <si>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</si>
  <si>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</si>
  <si>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</si>
  <si>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</si>
  <si>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</si>
  <si>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</si>
  <si>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</si>
  <si>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</si>
  <si>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</si>
  <si>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</si>
  <si>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</si>
  <si>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</si>
  <si>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</si>
  <si>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</si>
  <si>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</si>
  <si>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</si>
  <si>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</si>
  <si>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</si>
  <si>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</si>
  <si>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</si>
  <si>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</si>
  <si>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</si>
  <si>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</si>
  <si>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</si>
  <si>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</si>
  <si>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</si>
  <si>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</si>
  <si>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</si>
  <si>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</si>
  <si>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</si>
  <si>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</si>
  <si>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</si>
  <si>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</si>
  <si>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</si>
  <si>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</si>
  <si>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</si>
  <si>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</si>
  <si>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</si>
  <si>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</si>
  <si>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</si>
  <si>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</si>
  <si>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</si>
  <si>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</si>
  <si>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</si>
  <si>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</si>
  <si>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</si>
  <si>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</si>
  <si>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</si>
  <si>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</si>
  <si>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</si>
  <si>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</si>
  <si>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</si>
  <si>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</si>
  <si>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</si>
  <si>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</si>
  <si>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</si>
  <si>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</si>
  <si>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</si>
  <si>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</si>
  <si>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</si>
  <si>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</si>
  <si>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</si>
  <si>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</si>
  <si>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</si>
  <si>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</si>
  <si>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</si>
  <si>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</si>
  <si>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</si>
  <si>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</si>
  <si>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</si>
  <si>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</si>
  <si>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</si>
  <si>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</si>
  <si>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</si>
  <si>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</si>
  <si>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</si>
  <si>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</si>
  <si>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</si>
  <si>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</si>
  <si>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</si>
  <si>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</si>
  <si>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</si>
  <si>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</si>
  <si>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</si>
  <si>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</si>
  <si>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</si>
  <si>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</si>
  <si>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</si>
  <si>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</si>
  <si>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</si>
  <si>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</si>
  <si>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</si>
  <si>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</si>
  <si>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</si>
  <si>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</si>
  <si>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</si>
  <si>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</si>
  <si>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</si>
  <si>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</si>
  <si>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</si>
  <si>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</si>
  <si>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</si>
  <si>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</si>
  <si>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</si>
  <si>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</si>
  <si>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</si>
  <si>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</si>
  <si>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</si>
  <si>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</si>
  <si>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</si>
  <si>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</si>
  <si>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</si>
  <si>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</si>
  <si>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</si>
  <si>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</si>
  <si>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</si>
  <si>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</si>
  <si>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</si>
  <si>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</si>
  <si>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</si>
  <si>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</si>
  <si>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</si>
  <si>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</si>
  <si>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</si>
  <si>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</si>
  <si>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</si>
  <si>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</si>
  <si>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</si>
  <si>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</si>
  <si>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</si>
  <si>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</si>
  <si>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</si>
  <si>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</si>
  <si>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</si>
  <si>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</si>
  <si>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</si>
  <si>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</si>
  <si>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</si>
  <si>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</si>
  <si>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</si>
  <si>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</si>
  <si>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</si>
  <si>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</si>
  <si>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</si>
  <si>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</si>
  <si>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</si>
  <si>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</si>
  <si>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</si>
  <si>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</si>
  <si>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</si>
  <si>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</si>
  <si>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</si>
  <si>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</si>
  <si>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</si>
  <si>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</si>
  <si>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</si>
  <si>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</si>
  <si>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</si>
  <si>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</si>
  <si>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</si>
  <si>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</si>
  <si>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</si>
  <si>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</si>
  <si>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</si>
  <si>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</si>
  <si>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</si>
  <si>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</si>
  <si>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</si>
  <si>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</si>
  <si>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</si>
  <si>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</si>
  <si>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</si>
  <si>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</si>
  <si>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</si>
  <si>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</si>
  <si>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</si>
  <si>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</si>
  <si>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</si>
  <si>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</si>
  <si>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</si>
  <si>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</si>
  <si>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</si>
  <si>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</si>
  <si>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</si>
  <si>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</si>
  <si>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</si>
  <si>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</si>
  <si>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</si>
  <si>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</si>
  <si>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</si>
  <si>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</si>
  <si>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</si>
  <si>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</si>
  <si>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</si>
  <si>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</si>
  <si>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</si>
  <si>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</si>
  <si>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</si>
  <si>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</si>
  <si>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</si>
  <si>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</si>
  <si>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</si>
  <si>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</si>
  <si>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</si>
  <si>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</si>
  <si>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</si>
  <si>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</si>
  <si>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</si>
  <si>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</si>
  <si>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</si>
  <si>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</si>
  <si>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</si>
  <si>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</si>
  <si>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</si>
  <si>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</si>
  <si>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</si>
  <si>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</si>
  <si>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</si>
  <si>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</si>
  <si>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</si>
  <si>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</si>
  <si>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</si>
  <si>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</si>
  <si>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</si>
  <si>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</si>
  <si>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</si>
  <si>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</si>
  <si>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</si>
  <si>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</si>
  <si>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</si>
  <si>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</si>
  <si>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</si>
  <si>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</si>
  <si>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</si>
  <si>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</si>
  <si>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</si>
  <si>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</si>
  <si>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</si>
  <si>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</si>
  <si>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</si>
  <si>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</si>
  <si>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</si>
  <si>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</si>
  <si>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</si>
  <si>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</si>
  <si>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</si>
  <si>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</si>
  <si>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</si>
  <si>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</si>
  <si>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</si>
  <si>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</si>
  <si>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</si>
  <si>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</si>
  <si>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</si>
  <si>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</si>
  <si>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</si>
  <si>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</si>
  <si>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</si>
  <si>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</si>
  <si>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</si>
  <si>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</si>
  <si>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</si>
  <si>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</si>
  <si>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</si>
  <si>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</si>
  <si>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</si>
  <si>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</si>
  <si>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</si>
  <si>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</si>
  <si>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</si>
  <si>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</si>
  <si>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</si>
  <si>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</si>
  <si>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</si>
  <si>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</si>
  <si>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</si>
  <si>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</si>
  <si>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</si>
  <si>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</si>
  <si>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</si>
  <si>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</si>
  <si>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</si>
  <si>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</si>
  <si>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</si>
  <si>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</si>
  <si>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</si>
  <si>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</si>
  <si>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</si>
  <si>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</si>
  <si>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</si>
  <si>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</si>
  <si>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</si>
  <si>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</si>
  <si>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</si>
  <si>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</si>
  <si>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</si>
  <si>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</si>
  <si>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</si>
  <si>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</si>
  <si>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</si>
  <si>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</si>
  <si>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</si>
  <si>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</si>
  <si>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</si>
  <si>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</si>
  <si>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</si>
  <si>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</si>
  <si>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</si>
  <si>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</si>
  <si>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</si>
  <si>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</si>
  <si>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</si>
  <si>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</si>
  <si>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</si>
  <si>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</si>
  <si>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</si>
  <si>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</si>
  <si>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</si>
  <si>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</si>
  <si>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</si>
  <si>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</si>
  <si>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</si>
  <si>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</si>
  <si>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</si>
  <si>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</si>
  <si>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</si>
  <si>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</si>
  <si>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</si>
  <si>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</si>
  <si>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</si>
  <si>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</si>
  <si>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</si>
  <si>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</si>
  <si>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</si>
  <si>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</si>
  <si>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</si>
  <si>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</si>
  <si>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</si>
  <si>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</si>
  <si>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</si>
  <si>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</si>
  <si>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</si>
  <si>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</si>
  <si>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</si>
  <si>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</si>
  <si>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</si>
  <si>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</si>
  <si>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</si>
  <si>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</si>
  <si>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</si>
  <si>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</si>
  <si>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</si>
  <si>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</si>
  <si>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</si>
  <si>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</si>
  <si>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</si>
  <si>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</si>
  <si>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</si>
  <si>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</si>
  <si>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</si>
  <si>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</si>
  <si>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</si>
  <si>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</si>
  <si>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</si>
  <si>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</si>
  <si>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</si>
  <si>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</si>
  <si>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</si>
  <si>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</si>
  <si>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</si>
  <si>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</si>
  <si>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</si>
  <si>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</si>
  <si>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</si>
  <si>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</si>
  <si>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</si>
  <si>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</si>
  <si>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</si>
  <si>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</si>
  <si>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</si>
  <si>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</si>
  <si>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</si>
  <si>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</si>
  <si>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</si>
  <si>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</si>
  <si>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</si>
  <si>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</si>
  <si>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</si>
  <si>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</si>
  <si>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</si>
  <si>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</si>
  <si>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</si>
  <si>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</si>
  <si>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</si>
  <si>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</si>
  <si>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</si>
  <si>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</si>
  <si>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</si>
  <si>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</si>
  <si>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</si>
  <si>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</si>
  <si>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</si>
  <si>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</si>
  <si>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</si>
  <si>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</si>
  <si>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</si>
  <si>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</si>
  <si>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</si>
  <si>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</si>
  <si>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</si>
  <si>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</si>
  <si>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</si>
  <si>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</si>
  <si>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</si>
  <si>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</si>
  <si>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</si>
  <si>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</si>
  <si>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</si>
  <si>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</si>
  <si>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</si>
  <si>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</si>
  <si>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</si>
  <si>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</si>
  <si>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</si>
  <si>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</si>
  <si>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</si>
  <si>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</si>
  <si>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</si>
  <si>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</si>
  <si>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</si>
  <si>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</si>
  <si>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</si>
  <si>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</si>
  <si>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</si>
  <si>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</si>
  <si>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</si>
  <si>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</si>
  <si>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</si>
  <si>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</si>
  <si>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</si>
  <si>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</si>
  <si>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</si>
  <si>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</si>
  <si>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</si>
  <si>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</si>
  <si>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</si>
  <si>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</si>
  <si>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</si>
  <si>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</si>
  <si>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</si>
  <si>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</si>
  <si>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</si>
  <si>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</si>
  <si>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</si>
  <si>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</si>
  <si>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</si>
  <si>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</si>
  <si>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</si>
  <si>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</si>
  <si>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</si>
  <si>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</si>
  <si>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</si>
  <si>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</si>
  <si>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</si>
  <si>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</si>
  <si>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</si>
  <si>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</si>
  <si>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</si>
  <si>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</si>
  <si>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</si>
  <si>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</si>
  <si>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</si>
  <si>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</si>
  <si>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</si>
  <si>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</si>
  <si>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</si>
  <si>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</si>
  <si>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</si>
  <si>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</si>
  <si>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</si>
  <si>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</si>
  <si>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</si>
  <si>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</si>
  <si>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</si>
  <si>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</si>
  <si>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</si>
  <si>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</si>
  <si>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</si>
  <si>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</si>
  <si>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</si>
  <si>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</si>
  <si>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</si>
  <si>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</si>
  <si>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</si>
  <si>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</si>
  <si>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</si>
  <si>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</si>
  <si>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</si>
  <si>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</si>
  <si>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</si>
  <si>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</si>
  <si>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</si>
  <si>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</si>
  <si>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</si>
  <si>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</si>
  <si>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</si>
  <si>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</si>
  <si>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</si>
  <si>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</si>
  <si>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</si>
  <si>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</si>
  <si>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</si>
  <si>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</si>
  <si>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</si>
  <si>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</si>
  <si>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</si>
  <si>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</si>
  <si>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</si>
  <si>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</si>
  <si>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</si>
  <si>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</si>
  <si>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</si>
  <si>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</si>
  <si>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</si>
  <si>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</si>
  <si>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</si>
  <si>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</si>
  <si>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</si>
  <si>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</si>
  <si>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</si>
  <si>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</si>
  <si>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</si>
  <si>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</si>
  <si>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</si>
  <si>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</si>
  <si>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</si>
  <si>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</si>
  <si>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</si>
  <si>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</si>
  <si>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</si>
  <si>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</si>
  <si>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</si>
  <si>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</si>
  <si>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</si>
  <si>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</si>
  <si>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</si>
  <si>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</si>
  <si>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</si>
  <si>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</si>
  <si>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</si>
  <si>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</si>
  <si>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</si>
  <si>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</si>
  <si>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</si>
  <si>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</si>
  <si>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</si>
  <si>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</si>
  <si>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</si>
  <si>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</si>
  <si>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</si>
  <si>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</si>
  <si>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</si>
  <si>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</si>
  <si>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</si>
  <si>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</si>
  <si>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</si>
  <si>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</si>
  <si>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</si>
  <si>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</si>
  <si>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</si>
  <si>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</si>
  <si>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</si>
  <si>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</si>
  <si>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</si>
  <si>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</si>
  <si>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</si>
  <si>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</si>
  <si>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</si>
  <si>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</si>
  <si>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</si>
  <si>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</si>
  <si>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</si>
  <si>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</si>
  <si>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</si>
  <si>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</si>
  <si>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</si>
  <si>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</si>
  <si>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</si>
  <si>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</si>
  <si>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</si>
  <si>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</si>
  <si>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</si>
  <si>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</si>
  <si>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</si>
  <si>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</si>
  <si>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</si>
  <si>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</si>
  <si>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</si>
  <si>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</si>
  <si>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</si>
  <si>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</si>
  <si>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</si>
  <si>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</si>
  <si>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</si>
  <si>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</si>
  <si>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</si>
  <si>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</si>
  <si>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</si>
  <si>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</si>
  <si>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</si>
  <si>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</si>
  <si>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</si>
  <si>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</si>
  <si>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</si>
  <si>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</si>
  <si>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</si>
  <si>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</si>
  <si>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</si>
  <si>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</si>
  <si>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</si>
  <si>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</si>
  <si>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</si>
  <si>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</si>
  <si>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</si>
  <si>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</si>
  <si>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</si>
  <si>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</si>
  <si>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</si>
  <si>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</si>
  <si>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</si>
  <si>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</si>
  <si>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</si>
  <si>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</si>
  <si>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</si>
  <si>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</si>
  <si>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</si>
  <si>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</si>
  <si>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</si>
  <si>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</si>
  <si>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</si>
  <si>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</si>
  <si>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</si>
  <si>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</si>
  <si>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</si>
  <si>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</si>
  <si>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</si>
  <si>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</si>
  <si>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</si>
  <si>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</si>
  <si>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</si>
  <si>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</si>
  <si>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</si>
  <si>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</si>
  <si>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</si>
  <si>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</si>
  <si>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</si>
  <si>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</si>
  <si>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</si>
  <si>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</si>
  <si>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</si>
  <si>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</si>
  <si>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</si>
  <si>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</si>
  <si>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</si>
  <si>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</si>
  <si>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</si>
  <si>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</si>
  <si>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</si>
  <si>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</si>
  <si>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</si>
  <si>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</si>
  <si>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</si>
  <si>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</si>
  <si>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</si>
  <si>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</si>
  <si>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</si>
  <si>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</si>
  <si>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</si>
  <si>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</si>
  <si>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</si>
  <si>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</si>
  <si>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</si>
  <si>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</si>
  <si>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</si>
  <si>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</si>
  <si>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</si>
  <si>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</si>
  <si>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</si>
  <si>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</si>
  <si>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</si>
  <si>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</si>
  <si>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</si>
  <si>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</si>
  <si>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</si>
  <si>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</si>
  <si>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</si>
  <si>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</si>
  <si>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</si>
  <si>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</si>
  <si>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</si>
  <si>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</si>
  <si>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</si>
  <si>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</si>
  <si>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</si>
  <si>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</si>
  <si>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</si>
  <si>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</si>
  <si>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</si>
  <si>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</si>
  <si>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</si>
  <si>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</si>
  <si>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</si>
  <si>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</si>
  <si>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</si>
  <si>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</si>
  <si>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</si>
  <si>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</si>
  <si>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</si>
  <si>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</si>
  <si>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</si>
  <si>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</si>
  <si>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</si>
  <si>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</si>
  <si>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</si>
  <si>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</si>
  <si>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</si>
  <si>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</si>
  <si>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</si>
  <si>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</si>
  <si>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</si>
  <si>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</si>
  <si>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</si>
  <si>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</si>
  <si>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</si>
  <si>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</si>
  <si>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</si>
  <si>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</si>
  <si>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</si>
  <si>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</si>
  <si>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</si>
  <si>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</si>
  <si>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</si>
  <si>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</si>
  <si>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</si>
  <si>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</si>
  <si>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</si>
  <si>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</si>
  <si>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</si>
  <si>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</si>
  <si>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</si>
  <si>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</si>
  <si>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</si>
  <si>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</si>
  <si>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</si>
  <si>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</si>
  <si>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</si>
  <si>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</si>
  <si>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</si>
  <si>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</si>
  <si>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</si>
  <si>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</si>
  <si>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</si>
  <si>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</si>
  <si>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</si>
  <si>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</si>
  <si>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</si>
  <si>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</si>
  <si>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</si>
  <si>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</si>
  <si>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</si>
  <si>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</si>
  <si>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</si>
  <si>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</si>
  <si>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</si>
  <si>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</si>
  <si>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</si>
  <si>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</si>
  <si>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</si>
  <si>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</si>
  <si>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</si>
  <si>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</si>
  <si>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</si>
  <si>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</si>
  <si>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</si>
  <si>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</si>
  <si>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</si>
  <si>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</si>
  <si>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</si>
  <si>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</si>
  <si>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</si>
  <si>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</si>
  <si>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</si>
  <si>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</si>
  <si>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</si>
  <si>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</si>
  <si>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</si>
  <si>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</si>
  <si>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</si>
  <si>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</si>
  <si>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</si>
  <si>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</si>
  <si>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</si>
  <si>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</si>
  <si>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</si>
  <si>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</si>
  <si>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</si>
  <si>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</si>
  <si>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</si>
  <si>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</si>
  <si>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</si>
  <si>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</si>
  <si>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</si>
  <si>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</si>
  <si>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</si>
  <si>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</si>
  <si>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</si>
  <si>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</si>
  <si>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</si>
  <si>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</si>
  <si>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</si>
  <si>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</si>
  <si>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</si>
  <si>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</si>
  <si>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</si>
  <si>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</si>
  <si>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</si>
  <si>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</si>
  <si>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</si>
  <si>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</si>
  <si>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</si>
  <si>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</si>
  <si>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</si>
  <si>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</si>
  <si>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</si>
  <si>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</si>
  <si>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</si>
  <si>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</si>
  <si>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</si>
  <si>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</si>
  <si>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</si>
  <si>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</si>
  <si>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</si>
  <si>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</si>
  <si>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</si>
  <si>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</si>
  <si>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</si>
  <si>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</si>
  <si>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</si>
  <si>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</si>
  <si>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</si>
  <si>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</si>
  <si>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</si>
  <si>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</si>
  <si>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</si>
  <si>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</si>
  <si>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</si>
  <si>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</si>
  <si>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</si>
  <si>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</si>
  <si>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</si>
  <si>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</si>
  <si>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</si>
  <si>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</si>
  <si>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</si>
  <si>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</si>
  <si>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</si>
  <si>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</si>
  <si>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</si>
  <si>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</si>
  <si>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</si>
  <si>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</si>
  <si>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</si>
  <si>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</si>
  <si>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</si>
  <si>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</si>
  <si>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</si>
  <si>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</si>
  <si>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</si>
  <si>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</si>
  <si>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</si>
  <si>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</si>
  <si>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</si>
  <si>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</si>
  <si>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</si>
  <si>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</si>
  <si>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</si>
  <si>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</si>
  <si>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</si>
  <si>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</si>
  <si>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</si>
  <si>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</si>
  <si>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</si>
  <si>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</si>
  <si>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</si>
  <si>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</si>
  <si>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</si>
  <si>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</si>
  <si>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</si>
  <si>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</si>
  <si>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</si>
  <si>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</si>
  <si>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</si>
  <si>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</si>
  <si>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</si>
  <si>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</si>
  <si>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</si>
  <si>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</si>
  <si>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</si>
  <si>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</si>
  <si>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</si>
  <si>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</si>
  <si>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</si>
  <si>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</si>
  <si>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</si>
  <si>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</si>
  <si>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</si>
  <si>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</si>
  <si>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</si>
  <si>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</si>
  <si>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</si>
  <si>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</si>
  <si>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</si>
  <si>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</si>
  <si>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</si>
  <si>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</si>
  <si>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</si>
  <si>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</si>
  <si>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</si>
  <si>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</si>
  <si>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</si>
  <si>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</si>
  <si>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</si>
  <si>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</si>
  <si>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</si>
  <si>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</si>
  <si>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</si>
  <si>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</si>
  <si>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</si>
  <si>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</si>
  <si>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</si>
  <si>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</si>
  <si>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</si>
  <si>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</si>
  <si>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</si>
  <si>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</si>
  <si>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</si>
  <si>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</si>
  <si>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</si>
  <si>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</si>
  <si>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</si>
  <si>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</si>
  <si>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</si>
  <si>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</si>
  <si>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</si>
  <si>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</si>
  <si>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</si>
  <si>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</si>
  <si>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</si>
  <si>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</si>
  <si>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</si>
  <si>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</si>
  <si>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</si>
  <si>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</si>
  <si>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</si>
  <si>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</si>
  <si>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</si>
  <si>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</si>
  <si>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</si>
  <si>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</si>
  <si>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</si>
  <si>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</si>
  <si>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</si>
  <si>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</si>
  <si>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</si>
  <si>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</si>
  <si>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</si>
  <si>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</si>
  <si>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</si>
  <si>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</si>
  <si>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</si>
  <si>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</si>
  <si>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</si>
  <si>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</si>
  <si>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</si>
  <si>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</si>
  <si>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</si>
  <si>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</si>
  <si>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</si>
  <si>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</si>
  <si>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</si>
  <si>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</si>
  <si>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</si>
  <si>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</si>
  <si>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</si>
  <si>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</si>
  <si>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</si>
  <si>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</si>
  <si>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</si>
  <si>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</si>
  <si>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</si>
  <si>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</si>
  <si>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</si>
  <si>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</si>
  <si>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</si>
  <si>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</si>
  <si>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</si>
  <si>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</si>
  <si>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</si>
  <si>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</si>
  <si>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</si>
  <si>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</si>
  <si>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</si>
  <si>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</si>
  <si>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</si>
  <si>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</si>
  <si>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</si>
  <si>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</si>
  <si>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</si>
  <si>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</si>
  <si>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</si>
  <si>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</si>
  <si>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</si>
  <si>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</si>
  <si>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</si>
  <si>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</si>
  <si>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</si>
  <si>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</si>
  <si>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</si>
  <si>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</si>
  <si>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</si>
  <si>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</si>
  <si>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</si>
  <si>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</si>
  <si>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</si>
  <si>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</si>
  <si>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</si>
  <si>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</si>
  <si>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</si>
  <si>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</si>
  <si>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</si>
  <si>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</si>
  <si>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</si>
  <si>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</si>
  <si>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</si>
  <si>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</si>
  <si>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</si>
  <si>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</si>
  <si>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</si>
  <si>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</si>
  <si>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</si>
  <si>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</si>
  <si>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</si>
  <si>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</si>
  <si>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</si>
  <si>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</si>
  <si>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</si>
  <si>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</si>
  <si>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</si>
  <si>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</si>
  <si>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</si>
  <si>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</si>
  <si>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</si>
  <si>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</si>
  <si>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</si>
  <si>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</si>
  <si>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</si>
  <si>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</si>
  <si>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</si>
  <si>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</si>
  <si>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</si>
  <si>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</si>
  <si>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</si>
  <si>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</si>
  <si>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</si>
  <si>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</si>
  <si>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</si>
  <si>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</si>
  <si>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</si>
  <si>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</si>
  <si>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</si>
  <si>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</si>
  <si>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</si>
  <si>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</si>
  <si>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</si>
  <si>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</si>
  <si>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</si>
  <si>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</si>
  <si>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</si>
  <si>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</si>
  <si>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</si>
  <si>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</si>
  <si>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</si>
  <si>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</si>
  <si>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</si>
  <si>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</si>
  <si>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</si>
  <si>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</si>
  <si>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</si>
  <si>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</si>
  <si>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</si>
  <si>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</si>
  <si>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</si>
  <si>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</si>
  <si>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</si>
  <si>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</si>
  <si>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</si>
  <si>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</si>
  <si>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</si>
  <si>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</si>
  <si>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</si>
  <si>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</si>
  <si>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</si>
  <si>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</si>
  <si>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</si>
  <si>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</si>
  <si>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</si>
  <si>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</si>
  <si>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</si>
  <si>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</si>
  <si>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</si>
  <si>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</si>
  <si>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</si>
  <si>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</si>
  <si>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</si>
  <si>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</si>
  <si>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</si>
  <si>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</si>
  <si>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</si>
  <si>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</si>
  <si>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</si>
  <si>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</si>
  <si>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</si>
  <si>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</si>
  <si>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</si>
  <si>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</si>
  <si>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</si>
  <si>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</si>
  <si>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</si>
  <si>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</si>
  <si>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</si>
  <si>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</si>
  <si>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</si>
  <si>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</si>
  <si>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</si>
  <si>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</si>
  <si>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</si>
  <si>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</si>
  <si>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</si>
  <si>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</si>
  <si>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</si>
  <si>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</si>
  <si>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</si>
  <si>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</si>
  <si>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</si>
  <si>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</si>
  <si>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</si>
  <si>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</si>
  <si>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</si>
  <si>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</si>
  <si>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</si>
  <si>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</si>
  <si>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</si>
  <si>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</si>
  <si>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</si>
  <si>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</si>
  <si>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</si>
  <si>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</si>
  <si>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</si>
  <si>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</si>
  <si>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</si>
  <si>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</si>
  <si>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</si>
  <si>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</si>
  <si>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</si>
  <si>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</si>
  <si>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</si>
  <si>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</si>
  <si>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</si>
  <si>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</si>
  <si>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</si>
  <si>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</si>
  <si>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</si>
  <si>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</si>
  <si>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</si>
  <si>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</si>
  <si>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</si>
  <si>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</si>
  <si>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</si>
  <si>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</si>
  <si>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</si>
  <si>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</si>
  <si>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</si>
  <si>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</si>
  <si>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</si>
  <si>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</si>
  <si>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</si>
  <si>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</si>
  <si>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</si>
  <si>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</si>
  <si>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</si>
  <si>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</si>
  <si>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</si>
  <si>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</si>
  <si>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</si>
  <si>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</si>
  <si>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</si>
  <si>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</si>
  <si>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</si>
  <si>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</si>
  <si>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</si>
  <si>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</si>
  <si>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</si>
  <si>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</si>
  <si>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</si>
  <si>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</si>
  <si>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</si>
  <si>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</si>
  <si>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</si>
  <si>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</si>
  <si>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</si>
  <si>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</si>
  <si>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</si>
  <si>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</si>
  <si>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</si>
  <si>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</si>
  <si>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</si>
  <si>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</si>
  <si>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</si>
  <si>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</si>
  <si>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</si>
  <si>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</si>
  <si>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</si>
  <si>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</si>
  <si>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r>
      <t>京（2</t>
    </r>
    <r>
      <rPr>
        <sz val="11"/>
        <color theme="1"/>
        <rFont val="宋体"/>
        <family val="3"/>
        <charset val="134"/>
        <scheme val="minor"/>
      </rPr>
      <t>022）房不动产权第0002746号</t>
    </r>
    <phoneticPr fontId="134" type="noConversion"/>
  </si>
  <si>
    <t>不动产权证书证号</t>
    <phoneticPr fontId="134" type="noConversion"/>
  </si>
  <si>
    <t>坐落</t>
    <phoneticPr fontId="134" type="noConversion"/>
  </si>
  <si>
    <t>总层数</t>
    <phoneticPr fontId="134" type="noConversion"/>
  </si>
  <si>
    <t>所在层数</t>
    <phoneticPr fontId="134" type="noConversion"/>
  </si>
  <si>
    <t>建筑面积</t>
    <phoneticPr fontId="134" type="noConversion"/>
  </si>
  <si>
    <t>部位及房号</t>
    <phoneticPr fontId="134" type="noConversion"/>
  </si>
  <si>
    <t>结构</t>
    <phoneticPr fontId="134" type="noConversion"/>
  </si>
  <si>
    <r>
      <t>房山区辰光东路1</t>
    </r>
    <r>
      <rPr>
        <sz val="11"/>
        <color theme="1"/>
        <rFont val="宋体"/>
        <family val="3"/>
        <charset val="134"/>
        <scheme val="minor"/>
      </rPr>
      <t>6号院5号楼10层1001</t>
    </r>
    <phoneticPr fontId="134" type="noConversion"/>
  </si>
  <si>
    <t>商务办公</t>
    <phoneticPr fontId="134" type="noConversion"/>
  </si>
  <si>
    <t>钢混</t>
    <phoneticPr fontId="134" type="noConversion"/>
  </si>
  <si>
    <t>京（2022）房不动产权第0002748号</t>
    <phoneticPr fontId="134" type="noConversion"/>
  </si>
  <si>
    <t>房山区辰光东路16号院5号楼10层1002</t>
    <phoneticPr fontId="134" type="noConversion"/>
  </si>
  <si>
    <t>京（2022）房不动产权第0002745号</t>
    <phoneticPr fontId="134" type="noConversion"/>
  </si>
  <si>
    <t>房山区辰光东路16号院5号楼10层1004</t>
    <phoneticPr fontId="134" type="noConversion"/>
  </si>
  <si>
    <t>京（2022）房不动产权第0002749号</t>
    <phoneticPr fontId="134" type="noConversion"/>
  </si>
  <si>
    <t>房山区辰光东路16号院5号楼10层1005</t>
    <phoneticPr fontId="134" type="noConversion"/>
  </si>
  <si>
    <t>京（2022）房不动产权第0002747号</t>
    <phoneticPr fontId="134" type="noConversion"/>
  </si>
  <si>
    <t>房山区辰光东路16号院5号楼10层1006</t>
    <phoneticPr fontId="134" type="noConversion"/>
  </si>
  <si>
    <t>房山区辰光东路16号院5号楼10层1007</t>
    <phoneticPr fontId="134" type="noConversion"/>
  </si>
  <si>
    <t>京（2022）房不动产权第0002743号</t>
    <phoneticPr fontId="134" type="noConversion"/>
  </si>
  <si>
    <t>京（2022）房不动产权第0002734号</t>
    <phoneticPr fontId="134" type="noConversion"/>
  </si>
  <si>
    <t>房山区辰光东路16号院5号楼10层1010</t>
    <phoneticPr fontId="134" type="noConversion"/>
  </si>
  <si>
    <t>京（2022）房不动产权第0002736号</t>
    <phoneticPr fontId="134" type="noConversion"/>
  </si>
  <si>
    <t>房山区辰光东路16号院5号楼10层1011</t>
    <phoneticPr fontId="134" type="noConversion"/>
  </si>
  <si>
    <t>京（2022）房不动产权第0002738号</t>
    <phoneticPr fontId="134" type="noConversion"/>
  </si>
  <si>
    <t>房山区辰光东路16号院5号楼10层1012</t>
    <phoneticPr fontId="134" type="noConversion"/>
  </si>
  <si>
    <t>序号</t>
    <phoneticPr fontId="134" type="noConversion"/>
  </si>
  <si>
    <t>抵押</t>
  </si>
  <si>
    <t>房地产抵押价值</t>
  </si>
  <si>
    <t>北京市</t>
  </si>
  <si>
    <t>企业</t>
  </si>
  <si>
    <r>
      <rPr>
        <sz val="10"/>
        <color theme="9" tint="-0.249977111117893"/>
        <rFont val="宋体"/>
        <family val="3"/>
        <charset val="134"/>
      </rPr>
      <t>房山区辰光东路</t>
    </r>
    <r>
      <rPr>
        <sz val="10"/>
        <color theme="9" tint="-0.249977111117893"/>
        <rFont val="Arial"/>
        <family val="2"/>
      </rPr>
      <t>16</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10</t>
    </r>
    <r>
      <rPr>
        <sz val="10"/>
        <color theme="9" tint="-0.249977111117893"/>
        <rFont val="宋体"/>
        <family val="3"/>
        <charset val="134"/>
      </rPr>
      <t>层</t>
    </r>
    <r>
      <rPr>
        <sz val="10"/>
        <color theme="9" tint="-0.249977111117893"/>
        <rFont val="Arial"/>
        <family val="2"/>
      </rPr>
      <t>1001</t>
    </r>
    <r>
      <rPr>
        <sz val="10"/>
        <color theme="9" tint="-0.249977111117893"/>
        <rFont val="宋体"/>
        <family val="3"/>
        <charset val="134"/>
      </rPr>
      <t>等共计</t>
    </r>
    <r>
      <rPr>
        <sz val="10"/>
        <color theme="9" tint="-0.249977111117893"/>
        <rFont val="Arial"/>
        <family val="2"/>
      </rPr>
      <t>9</t>
    </r>
    <r>
      <rPr>
        <sz val="10"/>
        <color theme="9" tint="-0.249977111117893"/>
        <rFont val="宋体"/>
        <family val="3"/>
        <charset val="134"/>
      </rPr>
      <t>套</t>
    </r>
    <phoneticPr fontId="6" type="noConversion"/>
  </si>
  <si>
    <t>北京同创世纪管理顾问有限公司</t>
    <phoneticPr fontId="6" type="noConversion"/>
  </si>
  <si>
    <t>是</t>
  </si>
  <si>
    <t>商务办公</t>
  </si>
  <si>
    <t>商务办公</t>
    <phoneticPr fontId="6" type="noConversion"/>
  </si>
  <si>
    <t>办公项目</t>
  </si>
  <si>
    <t>现房</t>
  </si>
  <si>
    <t>Ⅶ-房1</t>
  </si>
  <si>
    <t>地上</t>
  </si>
  <si>
    <t>成新度</t>
  </si>
  <si>
    <t>建成年代</t>
    <phoneticPr fontId="3" type="noConversion"/>
  </si>
  <si>
    <r>
      <rPr>
        <sz val="10"/>
        <color indexed="8"/>
        <rFont val="宋体"/>
        <family val="3"/>
        <charset val="134"/>
      </rPr>
      <t>约</t>
    </r>
    <r>
      <rPr>
        <sz val="10"/>
        <color indexed="8"/>
        <rFont val="Arial"/>
        <family val="2"/>
      </rPr>
      <t>2015</t>
    </r>
    <r>
      <rPr>
        <sz val="10"/>
        <color indexed="8"/>
        <rFont val="宋体"/>
        <family val="3"/>
        <charset val="134"/>
      </rPr>
      <t>年网上查询，</t>
    </r>
    <phoneticPr fontId="3" type="noConversion"/>
  </si>
  <si>
    <t>直线</t>
    <phoneticPr fontId="3" type="noConversion"/>
  </si>
  <si>
    <t>收益法 (元)</t>
  </si>
  <si>
    <t>拱辰街道</t>
    <phoneticPr fontId="3" type="noConversion"/>
  </si>
  <si>
    <t>比较法-办公</t>
  </si>
  <si>
    <t>根据建成年代推算</t>
    <phoneticPr fontId="6" type="noConversion"/>
  </si>
  <si>
    <t>押一</t>
  </si>
  <si>
    <t>钢混</t>
  </si>
  <si>
    <t>非生产用房</t>
  </si>
  <si>
    <t>否</t>
  </si>
  <si>
    <t>单套模式</t>
  </si>
  <si>
    <t>售价</t>
  </si>
  <si>
    <t>绿地启航国际三期</t>
    <phoneticPr fontId="3" type="noConversion"/>
  </si>
  <si>
    <t>正常</t>
  </si>
  <si>
    <t>商务办公</t>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</si>
  <si>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</si>
  <si>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</si>
  <si>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</si>
  <si>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</si>
  <si>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</si>
  <si>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</si>
  <si>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</si>
  <si>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</si>
  <si>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</si>
  <si>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</si>
  <si>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</si>
  <si>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</si>
  <si>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</si>
  <si>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</si>
  <si>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</si>
  <si>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</si>
  <si>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钢混</t>
    <phoneticPr fontId="31" type="noConversion"/>
  </si>
  <si>
    <t>精装修</t>
  </si>
  <si>
    <t>精装修</t>
    <phoneticPr fontId="31" type="noConversion"/>
  </si>
  <si>
    <t>甲级</t>
  </si>
  <si>
    <t>甲级</t>
    <phoneticPr fontId="31" type="noConversion"/>
  </si>
  <si>
    <t>乙级</t>
    <phoneticPr fontId="31" type="noConversion"/>
  </si>
  <si>
    <t>丙级</t>
    <phoneticPr fontId="31" type="noConversion"/>
  </si>
  <si>
    <t>未评级</t>
    <phoneticPr fontId="31" type="noConversion"/>
  </si>
  <si>
    <t>专业</t>
  </si>
  <si>
    <t>专业</t>
    <phoneticPr fontId="31" type="noConversion"/>
  </si>
  <si>
    <t>普通</t>
    <phoneticPr fontId="31" type="noConversion"/>
  </si>
  <si>
    <t>七通</t>
  </si>
  <si>
    <t>七通</t>
    <phoneticPr fontId="31" type="noConversion"/>
  </si>
  <si>
    <t>六通</t>
  </si>
  <si>
    <t>六通</t>
    <phoneticPr fontId="31" type="noConversion"/>
  </si>
  <si>
    <t>五通</t>
    <phoneticPr fontId="31" type="noConversion"/>
  </si>
  <si>
    <t>标准层高</t>
  </si>
  <si>
    <t>标准层高</t>
    <phoneticPr fontId="31" type="noConversion"/>
  </si>
  <si>
    <t>普通装修</t>
  </si>
  <si>
    <t>普通装修</t>
    <phoneticPr fontId="31" type="noConversion"/>
  </si>
  <si>
    <t>简单装修</t>
    <phoneticPr fontId="31" type="noConversion"/>
  </si>
  <si>
    <t>毛坯</t>
  </si>
  <si>
    <t>毛坯</t>
    <phoneticPr fontId="31" type="noConversion"/>
  </si>
  <si>
    <r>
      <t>30-40</t>
    </r>
    <r>
      <rPr>
        <sz val="11"/>
        <color indexed="8"/>
        <rFont val="宋体"/>
        <family val="3"/>
        <charset val="134"/>
      </rPr>
      <t>（含）</t>
    </r>
    <phoneticPr fontId="31" type="noConversion"/>
  </si>
  <si>
    <t>一般</t>
  </si>
  <si>
    <t>较好</t>
  </si>
  <si>
    <t>写字楼</t>
  </si>
  <si>
    <t>写字楼</t>
    <phoneticPr fontId="31" type="noConversion"/>
  </si>
  <si>
    <t>案例1</t>
    <phoneticPr fontId="134" type="noConversion"/>
  </si>
  <si>
    <t>案例3</t>
    <phoneticPr fontId="134" type="noConversion"/>
  </si>
  <si>
    <t>案例2</t>
    <phoneticPr fontId="134" type="noConversion"/>
  </si>
  <si>
    <t>楼层</t>
    <phoneticPr fontId="134" type="noConversion"/>
  </si>
  <si>
    <t>中楼层</t>
    <phoneticPr fontId="134" type="noConversion"/>
  </si>
  <si>
    <t>装修状况</t>
    <phoneticPr fontId="3" type="noConversion"/>
  </si>
  <si>
    <t>楼面单价</t>
  </si>
  <si>
    <t>自定义</t>
  </si>
  <si>
    <t>毛坯</t>
    <phoneticPr fontId="134" type="noConversion"/>
  </si>
  <si>
    <t>商务金融用地</t>
  </si>
  <si>
    <t>自定义容积率</t>
  </si>
  <si>
    <t>与级别开发程度不一致</t>
  </si>
  <si>
    <t>通路</t>
  </si>
  <si>
    <t>通电</t>
  </si>
  <si>
    <t>通讯</t>
  </si>
  <si>
    <t>通上水</t>
  </si>
  <si>
    <t>通下水</t>
  </si>
  <si>
    <t>通热</t>
  </si>
  <si>
    <t>平整</t>
  </si>
  <si>
    <t>中心城区以外</t>
  </si>
  <si>
    <t>较差</t>
  </si>
  <si>
    <t>好</t>
  </si>
  <si>
    <t>网上查询</t>
    <phoneticPr fontId="7" type="noConversion"/>
  </si>
  <si>
    <t>未包含在土地购买价格中</t>
  </si>
  <si>
    <t>已包含在土地取得成本中</t>
  </si>
  <si>
    <t>净值</t>
    <phoneticPr fontId="24" type="noConversion"/>
  </si>
  <si>
    <t>净值单价</t>
    <phoneticPr fontId="24" type="noConversion"/>
  </si>
  <si>
    <t>情况4</t>
  </si>
  <si>
    <t>转让取得</t>
  </si>
  <si>
    <t>非个人房产</t>
  </si>
  <si>
    <t>购房发票</t>
  </si>
  <si>
    <t>2016年5月1日后购买</t>
  </si>
  <si>
    <t>发票原值</t>
    <phoneticPr fontId="134" type="noConversion"/>
  </si>
  <si>
    <t>发票原值万元</t>
    <phoneticPr fontId="134" type="noConversion"/>
  </si>
  <si>
    <t>发票单价</t>
    <phoneticPr fontId="134" type="noConversion"/>
  </si>
  <si>
    <t>净值万元</t>
    <phoneticPr fontId="134" type="noConversion"/>
  </si>
  <si>
    <t>净值单价</t>
    <phoneticPr fontId="134" type="noConversion"/>
  </si>
  <si>
    <r>
      <t>2</t>
    </r>
    <r>
      <rPr>
        <sz val="11"/>
        <color theme="1"/>
        <rFont val="宋体"/>
        <family val="3"/>
        <charset val="134"/>
        <scheme val="minor"/>
      </rPr>
      <t>025-5-26国盛评估公司给中行出具的报告单价为10101，华夏银行想做到不低于10101</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</si>
</sst>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
    <numFmt numFmtId="198" formatCode="0.0000;_쐀"/>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
      <sz val="11"/>
      <color indexed="8"/>
      <name val="Arial"/>
      <family val="3"/>
      <charset val="134"/>
    </font>
    <font>
      <sz val="10"/>
      <color rgb="FF9E000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0" fillId="0" borderId="0" xfId="0" applyAlignment="1">
      <alignment vertical="center" wrapText="1"/>
    </xf>
    <xf numFmtId="0" fontId="95" fillId="0" borderId="1" xfId="0" applyFont="1" applyBorder="1">
      <alignment vertical="center"/>
    </xf>
    <xf numFmtId="0" fontId="0" fillId="0" borderId="1" xfId="0" applyBorder="1" applyAlignment="1">
      <alignment vertical="center" wrapText="1"/>
    </xf>
    <xf numFmtId="0" fontId="95" fillId="0" borderId="1" xfId="0" applyFont="1" applyBorder="1" applyAlignment="1">
      <alignment vertical="center" wrapText="1"/>
    </xf>
    <xf numFmtId="49" fontId="271"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272" fillId="12" borderId="0" xfId="0" applyFont="1" applyFill="1" applyProtection="1">
      <alignment vertical="center"/>
      <protection locked="0"/>
    </xf>
    <xf numFmtId="179" fontId="128" fillId="12" borderId="0" xfId="0" applyNumberFormat="1" applyFont="1" applyFill="1" applyProtection="1">
      <alignment vertical="center"/>
      <protection locked="0"/>
    </xf>
    <xf numFmtId="176" fontId="47" fillId="12" borderId="0" xfId="0" applyNumberFormat="1" applyFont="1" applyFill="1" applyAlignment="1" applyProtection="1">
      <alignment horizontal="center" vertical="center"/>
      <protection locked="0"/>
    </xf>
    <xf numFmtId="183" fontId="77" fillId="0" borderId="1" xfId="0" applyNumberFormat="1" applyFont="1" applyBorder="1" applyAlignment="1" applyProtection="1">
      <alignment horizontal="center" vertical="center" shrinkToFi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0" fontId="77" fillId="7" borderId="0" xfId="0" applyFont="1" applyFill="1" applyProtection="1">
      <alignment vertical="center"/>
      <protection locked="0"/>
    </xf>
    <xf numFmtId="0" fontId="100" fillId="6" borderId="1" xfId="0" applyFont="1" applyFill="1" applyBorder="1" applyAlignment="1">
      <alignment horizontal="left" vertical="center" wrapText="1"/>
    </xf>
    <xf numFmtId="0" fontId="113" fillId="6" borderId="13" xfId="0" applyFont="1" applyFill="1" applyBorder="1">
      <alignment vertical="center"/>
    </xf>
    <xf numFmtId="186" fontId="54" fillId="6" borderId="32" xfId="0" applyNumberFormat="1" applyFont="1" applyFill="1" applyBorder="1" applyAlignment="1">
      <alignment horizontal="left" vertical="center" wrapText="1"/>
    </xf>
    <xf numFmtId="186" fontId="139" fillId="6" borderId="2" xfId="0" applyNumberFormat="1" applyFont="1" applyFill="1" applyBorder="1" applyAlignment="1">
      <alignment horizontal="left" vertical="center" wrapText="1"/>
    </xf>
    <xf numFmtId="186" fontId="113" fillId="6" borderId="1" xfId="0" applyNumberFormat="1" applyFont="1" applyFill="1" applyBorder="1" applyAlignment="1">
      <alignment horizontal="left" vertical="center" wrapText="1"/>
    </xf>
    <xf numFmtId="186" fontId="139" fillId="6" borderId="1" xfId="0" applyNumberFormat="1" applyFont="1" applyFill="1" applyBorder="1" applyAlignment="1">
      <alignment horizontal="left" vertical="center" wrapText="1"/>
    </xf>
    <xf numFmtId="0" fontId="113" fillId="0" borderId="1" xfId="0" applyFont="1" applyBorder="1" applyAlignment="1" applyProtection="1">
      <alignment horizontal="left" vertical="center" wrapText="1"/>
      <protection locked="0"/>
    </xf>
    <xf numFmtId="198" fontId="113" fillId="6" borderId="1" xfId="0" applyNumberFormat="1" applyFont="1" applyFill="1" applyBorder="1" applyAlignment="1">
      <alignment horizontal="left" vertical="center" wrapText="1"/>
    </xf>
    <xf numFmtId="197" fontId="139" fillId="6" borderId="32" xfId="0" applyNumberFormat="1" applyFont="1" applyFill="1" applyBorder="1" applyAlignment="1">
      <alignment horizontal="left" vertical="center" wrapText="1"/>
    </xf>
    <xf numFmtId="0" fontId="95" fillId="0" borderId="15" xfId="0" applyFont="1" applyBorder="1">
      <alignment vertical="center"/>
    </xf>
    <xf numFmtId="0" fontId="274" fillId="6" borderId="60" xfId="0"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83" fontId="47" fillId="8" borderId="1" xfId="0" applyNumberFormat="1" applyFont="1" applyFill="1" applyBorder="1" applyAlignment="1" applyProtection="1">
      <alignment horizontal="center" vertical="center" shrinkToFit="1"/>
      <protection locked="0"/>
    </xf>
    <xf numFmtId="0" fontId="47" fillId="0" borderId="1" xfId="0" applyFont="1" applyBorder="1" applyAlignment="1" applyProtection="1">
      <alignment horizontal="right" vertical="center" wrapText="1"/>
      <protection locked="0"/>
    </xf>
    <xf numFmtId="0" fontId="44" fillId="0" borderId="2" xfId="0" applyFont="1" applyBorder="1" applyAlignment="1" applyProtection="1">
      <alignment horizontal="right" vertical="center" wrapText="1"/>
      <protection locked="0"/>
    </xf>
    <xf numFmtId="0" fontId="58" fillId="22" borderId="3" xfId="0" applyFont="1" applyFill="1" applyBorder="1" applyAlignment="1" applyProtection="1">
      <alignment horizontal="center" vertical="center" wrapText="1"/>
      <protection locked="0"/>
    </xf>
    <xf numFmtId="181" fontId="44" fillId="22" borderId="1" xfId="0" applyNumberFormat="1" applyFont="1" applyFill="1" applyBorder="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13">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60960</xdr:colOff>
      <xdr:row>19</xdr:row>
      <xdr:rowOff>0</xdr:rowOff>
    </xdr:from>
    <xdr:to>
      <xdr:col>19</xdr:col>
      <xdr:colOff>285148</xdr:colOff>
      <xdr:row>39</xdr:row>
      <xdr:rowOff>111782</xdr:rowOff>
    </xdr:to>
    <xdr:pic>
      <xdr:nvPicPr>
        <xdr:cNvPr id="2" name="图片 1">
          <a:extLst>
            <a:ext uri="{FF2B5EF4-FFF2-40B4-BE49-F238E27FC236}">
              <a16:creationId xmlns:a16="http://schemas.microsoft.com/office/drawing/2014/main" id="{34048022-6A05-C8CE-2256-5D147614A413}"/>
            </a:ext>
          </a:extLst>
        </xdr:cNvPr>
        <xdr:cNvPicPr>
          <a:picLocks noChangeAspect="1"/>
        </xdr:cNvPicPr>
      </xdr:nvPicPr>
      <xdr:blipFill>
        <a:blip xmlns:r="http://schemas.openxmlformats.org/officeDocument/2006/relationships" r:embed="rId1"/>
        <a:stretch>
          <a:fillRect/>
        </a:stretch>
      </xdr:blipFill>
      <xdr:spPr>
        <a:xfrm>
          <a:off x="10180320" y="4213860"/>
          <a:ext cx="4819048" cy="4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205740</xdr:colOff>
      <xdr:row>1</xdr:row>
      <xdr:rowOff>45720</xdr:rowOff>
    </xdr:from>
    <xdr:to>
      <xdr:col>26</xdr:col>
      <xdr:colOff>395378</xdr:colOff>
      <xdr:row>25</xdr:row>
      <xdr:rowOff>23945</xdr:rowOff>
    </xdr:to>
    <xdr:pic>
      <xdr:nvPicPr>
        <xdr:cNvPr id="2" name="图片 1">
          <a:extLst>
            <a:ext uri="{FF2B5EF4-FFF2-40B4-BE49-F238E27FC236}">
              <a16:creationId xmlns:a16="http://schemas.microsoft.com/office/drawing/2014/main" id="{49FFDAD1-499A-1202-00E3-C5CB7F7C28BE}"/>
            </a:ext>
          </a:extLst>
        </xdr:cNvPr>
        <xdr:cNvPicPr>
          <a:picLocks noChangeAspect="1"/>
        </xdr:cNvPicPr>
      </xdr:nvPicPr>
      <xdr:blipFill>
        <a:blip xmlns:r="http://schemas.openxmlformats.org/officeDocument/2006/relationships" r:embed="rId1"/>
        <a:stretch>
          <a:fillRect/>
        </a:stretch>
      </xdr:blipFill>
      <xdr:spPr>
        <a:xfrm>
          <a:off x="11300460" y="228600"/>
          <a:ext cx="6895238" cy="6561905"/>
        </a:xfrm>
        <a:prstGeom prst="rect">
          <a:avLst/>
        </a:prstGeom>
      </xdr:spPr>
    </xdr:pic>
    <xdr:clientData/>
  </xdr:twoCellAnchor>
  <xdr:twoCellAnchor editAs="oneCell">
    <xdr:from>
      <xdr:col>1</xdr:col>
      <xdr:colOff>1623060</xdr:colOff>
      <xdr:row>13</xdr:row>
      <xdr:rowOff>60960</xdr:rowOff>
    </xdr:from>
    <xdr:to>
      <xdr:col>11</xdr:col>
      <xdr:colOff>62054</xdr:colOff>
      <xdr:row>42</xdr:row>
      <xdr:rowOff>52678</xdr:rowOff>
    </xdr:to>
    <xdr:pic>
      <xdr:nvPicPr>
        <xdr:cNvPr id="3" name="图片 2">
          <a:extLst>
            <a:ext uri="{FF2B5EF4-FFF2-40B4-BE49-F238E27FC236}">
              <a16:creationId xmlns:a16="http://schemas.microsoft.com/office/drawing/2014/main" id="{E26D97B5-6595-C2E8-D257-DBB2AAF9548A}"/>
            </a:ext>
          </a:extLst>
        </xdr:cNvPr>
        <xdr:cNvPicPr>
          <a:picLocks noChangeAspect="1"/>
        </xdr:cNvPicPr>
      </xdr:nvPicPr>
      <xdr:blipFill>
        <a:blip xmlns:r="http://schemas.openxmlformats.org/officeDocument/2006/relationships" r:embed="rId2"/>
        <a:stretch>
          <a:fillRect/>
        </a:stretch>
      </xdr:blipFill>
      <xdr:spPr>
        <a:xfrm>
          <a:off x="2232660" y="4632960"/>
          <a:ext cx="6485714" cy="52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403860</xdr:colOff>
      <xdr:row>43</xdr:row>
      <xdr:rowOff>106680</xdr:rowOff>
    </xdr:from>
    <xdr:to>
      <xdr:col>29</xdr:col>
      <xdr:colOff>467582</xdr:colOff>
      <xdr:row>77</xdr:row>
      <xdr:rowOff>58023</xdr:rowOff>
    </xdr:to>
    <xdr:pic>
      <xdr:nvPicPr>
        <xdr:cNvPr id="3" name="图片 2">
          <a:extLst>
            <a:ext uri="{FF2B5EF4-FFF2-40B4-BE49-F238E27FC236}">
              <a16:creationId xmlns:a16="http://schemas.microsoft.com/office/drawing/2014/main" id="{536AD6C8-8682-9E7F-2871-687137717674}"/>
            </a:ext>
          </a:extLst>
        </xdr:cNvPr>
        <xdr:cNvPicPr>
          <a:picLocks noChangeAspect="1"/>
        </xdr:cNvPicPr>
      </xdr:nvPicPr>
      <xdr:blipFill>
        <a:blip xmlns:r="http://schemas.openxmlformats.org/officeDocument/2006/relationships" r:embed="rId1"/>
        <a:stretch>
          <a:fillRect/>
        </a:stretch>
      </xdr:blipFill>
      <xdr:spPr>
        <a:xfrm>
          <a:off x="10767060" y="7970520"/>
          <a:ext cx="7378922" cy="6169263"/>
        </a:xfrm>
        <a:prstGeom prst="rect">
          <a:avLst/>
        </a:prstGeom>
      </xdr:spPr>
    </xdr:pic>
    <xdr:clientData/>
  </xdr:twoCellAnchor>
  <xdr:twoCellAnchor editAs="oneCell">
    <xdr:from>
      <xdr:col>0</xdr:col>
      <xdr:colOff>0</xdr:colOff>
      <xdr:row>69</xdr:row>
      <xdr:rowOff>137160</xdr:rowOff>
    </xdr:from>
    <xdr:to>
      <xdr:col>12</xdr:col>
      <xdr:colOff>103601</xdr:colOff>
      <xdr:row>105</xdr:row>
      <xdr:rowOff>109630</xdr:rowOff>
    </xdr:to>
    <xdr:pic>
      <xdr:nvPicPr>
        <xdr:cNvPr id="4" name="图片 3">
          <a:extLst>
            <a:ext uri="{FF2B5EF4-FFF2-40B4-BE49-F238E27FC236}">
              <a16:creationId xmlns:a16="http://schemas.microsoft.com/office/drawing/2014/main" id="{EED32BC5-A7A3-2EDB-41AE-C29EC76727AD}"/>
            </a:ext>
          </a:extLst>
        </xdr:cNvPr>
        <xdr:cNvPicPr>
          <a:picLocks noChangeAspect="1"/>
        </xdr:cNvPicPr>
      </xdr:nvPicPr>
      <xdr:blipFill>
        <a:blip xmlns:r="http://schemas.openxmlformats.org/officeDocument/2006/relationships" r:embed="rId2"/>
        <a:stretch>
          <a:fillRect/>
        </a:stretch>
      </xdr:blipFill>
      <xdr:spPr>
        <a:xfrm>
          <a:off x="0" y="12755880"/>
          <a:ext cx="7418801" cy="6556150"/>
        </a:xfrm>
        <a:prstGeom prst="rect">
          <a:avLst/>
        </a:prstGeom>
      </xdr:spPr>
    </xdr:pic>
    <xdr:clientData/>
  </xdr:twoCellAnchor>
  <xdr:twoCellAnchor editAs="oneCell">
    <xdr:from>
      <xdr:col>0</xdr:col>
      <xdr:colOff>0</xdr:colOff>
      <xdr:row>0</xdr:row>
      <xdr:rowOff>0</xdr:rowOff>
    </xdr:from>
    <xdr:to>
      <xdr:col>12</xdr:col>
      <xdr:colOff>418849</xdr:colOff>
      <xdr:row>37</xdr:row>
      <xdr:rowOff>170538</xdr:rowOff>
    </xdr:to>
    <xdr:pic>
      <xdr:nvPicPr>
        <xdr:cNvPr id="5" name="图片 4">
          <a:extLst>
            <a:ext uri="{FF2B5EF4-FFF2-40B4-BE49-F238E27FC236}">
              <a16:creationId xmlns:a16="http://schemas.microsoft.com/office/drawing/2014/main" id="{603ADBF3-F4A1-D6D2-9D3A-7D847796E901}"/>
            </a:ext>
          </a:extLst>
        </xdr:cNvPr>
        <xdr:cNvPicPr>
          <a:picLocks noChangeAspect="1"/>
        </xdr:cNvPicPr>
      </xdr:nvPicPr>
      <xdr:blipFill>
        <a:blip xmlns:r="http://schemas.openxmlformats.org/officeDocument/2006/relationships" r:embed="rId3"/>
        <a:stretch>
          <a:fillRect/>
        </a:stretch>
      </xdr:blipFill>
      <xdr:spPr>
        <a:xfrm>
          <a:off x="0" y="0"/>
          <a:ext cx="7734049" cy="6937098"/>
        </a:xfrm>
        <a:prstGeom prst="rect">
          <a:avLst/>
        </a:prstGeom>
      </xdr:spPr>
    </xdr:pic>
    <xdr:clientData/>
  </xdr:twoCellAnchor>
  <xdr:twoCellAnchor editAs="oneCell">
    <xdr:from>
      <xdr:col>0</xdr:col>
      <xdr:colOff>0</xdr:colOff>
      <xdr:row>38</xdr:row>
      <xdr:rowOff>0</xdr:rowOff>
    </xdr:from>
    <xdr:to>
      <xdr:col>12</xdr:col>
      <xdr:colOff>589562</xdr:colOff>
      <xdr:row>77</xdr:row>
      <xdr:rowOff>77204</xdr:rowOff>
    </xdr:to>
    <xdr:pic>
      <xdr:nvPicPr>
        <xdr:cNvPr id="6" name="图片 5">
          <a:extLst>
            <a:ext uri="{FF2B5EF4-FFF2-40B4-BE49-F238E27FC236}">
              <a16:creationId xmlns:a16="http://schemas.microsoft.com/office/drawing/2014/main" id="{05C1C9C3-BE81-817B-2A12-77C1DC74A800}"/>
            </a:ext>
          </a:extLst>
        </xdr:cNvPr>
        <xdr:cNvPicPr>
          <a:picLocks noChangeAspect="1"/>
        </xdr:cNvPicPr>
      </xdr:nvPicPr>
      <xdr:blipFill>
        <a:blip xmlns:r="http://schemas.openxmlformats.org/officeDocument/2006/relationships" r:embed="rId4"/>
        <a:stretch>
          <a:fillRect/>
        </a:stretch>
      </xdr:blipFill>
      <xdr:spPr>
        <a:xfrm>
          <a:off x="0" y="6949440"/>
          <a:ext cx="7904762" cy="7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北京市房山区辰光东路16号院5号楼10层1001等共计9套房地产抵押价值预评估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受贵公司委托，我公司对北京市房山区辰光东路16号院5号楼10层1001等共计9套房地产抵押价值进行了预评估。</v>
      </c>
    </row>
    <row r="7" spans="1:2">
      <c r="A7" s="1119" t="s">
        <v>566</v>
      </c>
      <c r="B7" s="1120" t="str">
        <f>'预评函-1'!A7</f>
        <v>估价对象为北京市房山区辰光东路16号院5号楼10层1001等共计9套房地产，为北京同创世纪管理顾问有限公司所有。根据《国有土地使用证》[]，估价对象（分摊）出让国有建设用地使用权面积为0平方米，建筑面积为94.78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山区辰光东路16号院5号楼10层1001等共计9套房地产,属北京同创世纪管理顾问有限公司开发建设的办公项目，该项目尚在开发建设中。根据《国有土地使用证》[]，估价对象（分摊）出让国有建设用地使用权面积为0平方米，规划建筑面积为94.78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山区辰光东路16号院5号楼10层1001等共计9套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2025年6月20日（评估专业人员实地查勘之日）</v>
      </c>
    </row>
    <row r="13" spans="1:2">
      <c r="A13" s="1119" t="s">
        <v>529</v>
      </c>
      <c r="B13" s="1120" t="str">
        <f>'预评函-1'!A18</f>
        <v>本次估价的“房地产价值”是指在正常市场情况下，在价值时点2025年6月20日，估价对象规划用途为商务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95.784700000000001</v>
      </c>
    </row>
    <row r="21" spans="1:2">
      <c r="A21" s="1119" t="s">
        <v>537</v>
      </c>
      <c r="B21" s="1120">
        <f ca="1">'预评函-2'!D7</f>
        <v>10106</v>
      </c>
    </row>
    <row r="22" spans="1:2">
      <c r="A22" s="1119" t="s">
        <v>538</v>
      </c>
      <c r="B22" s="1120" t="str">
        <f ca="1">'预评函-2'!D6</f>
        <v>玖拾伍万柒仟捌佰肆拾柒元整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95.784700000000001</v>
      </c>
    </row>
    <row r="31" spans="1:2">
      <c r="A31" s="1119" t="s">
        <v>576</v>
      </c>
      <c r="B31" s="1120">
        <f ca="1">'预评函-2'!D15</f>
        <v>10106</v>
      </c>
    </row>
    <row r="32" spans="1:2">
      <c r="A32" s="1119" t="s">
        <v>543</v>
      </c>
      <c r="B32" s="1120" t="str">
        <f ca="1">'预评函-2'!D14</f>
        <v>玖拾伍万柒仟捌佰肆拾柒元整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95.736800000000002</v>
      </c>
    </row>
    <row r="39" spans="1:2">
      <c r="A39" s="1119" t="s">
        <v>545</v>
      </c>
      <c r="B39" s="1120">
        <f ca="1">'预评函-2'!D21</f>
        <v>10101</v>
      </c>
    </row>
    <row r="40" spans="1:2">
      <c r="A40" s="1119" t="s">
        <v>546</v>
      </c>
      <c r="B40" s="1120" t="str">
        <f ca="1">'预评函-2'!D20</f>
        <v>玖拾伍万柒仟叁佰陆拾捌元整</v>
      </c>
    </row>
    <row r="41" spans="1:2">
      <c r="A41" s="1119" t="s">
        <v>592</v>
      </c>
      <c r="B41" s="1120" t="str">
        <f>'预评函-3'!A4</f>
        <v>北京市房山区辰光东路16号院5号楼10层1001等共计9套房地产</v>
      </c>
    </row>
    <row r="42" spans="1:2" ht="31.2">
      <c r="A42" s="1119" t="s">
        <v>590</v>
      </c>
      <c r="B42" s="1120" t="str">
        <f>'预评函-3'!B2</f>
        <v>建筑面积</v>
      </c>
    </row>
    <row r="43" spans="1:2">
      <c r="A43" s="1119" t="s">
        <v>591</v>
      </c>
      <c r="B43" s="1120">
        <f>'预评函-3'!B4</f>
        <v>94.78</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2575</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2576</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辰光东路16号院5号楼10层1001等共计9套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29"/>
      <c r="B54" s="1447" t="s">
        <v>385</v>
      </c>
      <c r="C54" s="1445" t="s">
        <v>583</v>
      </c>
    </row>
    <row r="55" spans="1:4">
      <c r="A55" s="3229"/>
      <c r="B55" s="1447" t="s">
        <v>386</v>
      </c>
      <c r="C55" s="1445" t="s">
        <v>584</v>
      </c>
    </row>
    <row r="56" spans="1:4">
      <c r="A56" s="3229"/>
      <c r="B56" s="1447" t="s">
        <v>387</v>
      </c>
      <c r="C56" s="1445" t="s">
        <v>588</v>
      </c>
    </row>
    <row r="57" spans="1:4">
      <c r="A57" s="322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2498</v>
      </c>
      <c r="B1" s="2752"/>
      <c r="C1" s="2752"/>
      <c r="D1" s="2752"/>
      <c r="E1" s="2752"/>
      <c r="F1" s="2753"/>
      <c r="I1" s="3130" t="s">
        <v>2591</v>
      </c>
      <c r="J1" s="2778"/>
      <c r="K1" s="2778"/>
      <c r="L1" s="2778"/>
      <c r="M1" s="2778"/>
      <c r="N1" s="2963"/>
      <c r="O1" s="2963"/>
      <c r="P1" s="2963"/>
      <c r="Q1" s="2963"/>
      <c r="R1" s="2963"/>
    </row>
    <row r="2" spans="1:18">
      <c r="A2" s="2755"/>
      <c r="B2" s="2756"/>
      <c r="C2" s="2756"/>
      <c r="D2" s="2756"/>
      <c r="E2" s="2756"/>
      <c r="F2" s="2757"/>
      <c r="I2" s="3230" t="s">
        <v>2578</v>
      </c>
      <c r="J2" s="3230"/>
      <c r="K2" s="3230"/>
      <c r="L2" s="3230"/>
      <c r="M2" s="3230"/>
      <c r="N2" s="3230"/>
      <c r="O2" s="3230"/>
      <c r="P2" s="3230"/>
      <c r="Q2" s="3230"/>
      <c r="R2" s="3230"/>
    </row>
    <row r="3" spans="1:18">
      <c r="A3" s="2758" t="s">
        <v>2499</v>
      </c>
      <c r="B3" s="2759">
        <f>项目基本情况!D3</f>
        <v>45828</v>
      </c>
      <c r="C3" s="2761"/>
      <c r="D3" s="2761"/>
      <c r="E3" s="2761"/>
      <c r="F3" s="2757"/>
      <c r="I3" s="2773"/>
      <c r="J3" s="2773" t="s">
        <v>2582</v>
      </c>
      <c r="K3" s="2773" t="s">
        <v>2583</v>
      </c>
      <c r="L3" s="2773" t="s">
        <v>2584</v>
      </c>
      <c r="M3" s="2773" t="s">
        <v>2585</v>
      </c>
      <c r="N3" s="3131" t="s">
        <v>2586</v>
      </c>
      <c r="O3" s="3131" t="s">
        <v>2587</v>
      </c>
      <c r="P3" s="3131" t="s">
        <v>2588</v>
      </c>
      <c r="Q3" s="3131" t="s">
        <v>2589</v>
      </c>
      <c r="R3" s="3131" t="s">
        <v>2590</v>
      </c>
    </row>
    <row r="4" spans="1:18">
      <c r="A4" s="2758" t="s">
        <v>2500</v>
      </c>
      <c r="B4" s="2761" t="s">
        <v>2501</v>
      </c>
      <c r="C4" s="2761" t="s">
        <v>2502</v>
      </c>
      <c r="D4" s="2761" t="s">
        <v>2503</v>
      </c>
      <c r="E4" s="2761" t="s">
        <v>2504</v>
      </c>
      <c r="F4" s="2757"/>
      <c r="I4" s="2773" t="s">
        <v>2579</v>
      </c>
      <c r="J4" s="2773">
        <v>80</v>
      </c>
      <c r="K4" s="2773">
        <v>70</v>
      </c>
      <c r="L4" s="2773">
        <v>20</v>
      </c>
      <c r="M4" s="2773">
        <v>30</v>
      </c>
      <c r="N4" s="2761">
        <v>45</v>
      </c>
      <c r="O4" s="2761">
        <v>60</v>
      </c>
      <c r="P4" s="2761">
        <v>50</v>
      </c>
      <c r="Q4" s="2761">
        <v>20</v>
      </c>
      <c r="R4" s="2761">
        <v>375</v>
      </c>
    </row>
    <row r="5" spans="1:18">
      <c r="A5" s="2762">
        <v>40</v>
      </c>
      <c r="B5" s="2759">
        <v>46375</v>
      </c>
      <c r="C5" s="2761">
        <f>ROUNDDOWN(MIN((B5-B3)/365,A5),2)</f>
        <v>1.49</v>
      </c>
      <c r="D5" s="2763">
        <f>IF(ISERROR(ROUND(POWER(1+E5,A5-C5)*(POWER(1+E5,C5)-1)/(POWER(1+E5,A5)-1),3)),0,ROUND(POWER(1+E5,A5-C5)*(POWER(1+E5,C5)-1)/(POWER(1+E5,A5)-1),4))</f>
        <v>7.17E-2</v>
      </c>
      <c r="E5" s="2764">
        <v>0.04</v>
      </c>
      <c r="F5" s="2757"/>
      <c r="I5" s="2773" t="s">
        <v>2580</v>
      </c>
      <c r="J5" s="2773">
        <v>70</v>
      </c>
      <c r="K5" s="2773">
        <v>60</v>
      </c>
      <c r="L5" s="2773">
        <v>15</v>
      </c>
      <c r="M5" s="2773">
        <v>25</v>
      </c>
      <c r="N5" s="2761">
        <v>40</v>
      </c>
      <c r="O5" s="2761">
        <v>50</v>
      </c>
      <c r="P5" s="2761">
        <v>40</v>
      </c>
      <c r="Q5" s="2761">
        <v>15</v>
      </c>
      <c r="R5" s="2761">
        <v>315</v>
      </c>
    </row>
    <row r="6" spans="1:18">
      <c r="A6" s="2762">
        <v>50</v>
      </c>
      <c r="B6" s="2759">
        <v>50028</v>
      </c>
      <c r="C6" s="2761">
        <f>ROUNDDOWN(MIN((B6-B3)/365,A6),2)</f>
        <v>11.5</v>
      </c>
      <c r="D6" s="2763">
        <f>IF(ISERROR(ROUND(POWER(1+E6,A6-C6)*(POWER(1+E6,C6)-1)/(POWER(1+E6,A6)-1),3)),0,ROUND(POWER(1+E6,A6-C6)*(POWER(1+E6,C6)-1)/(POWER(1+E6,A6)-1),4))</f>
        <v>0.42249999999999999</v>
      </c>
      <c r="E6" s="2764">
        <v>0.04</v>
      </c>
      <c r="F6" s="2757"/>
      <c r="I6" s="2773" t="s">
        <v>2581</v>
      </c>
      <c r="J6" s="2773">
        <v>60</v>
      </c>
      <c r="K6" s="2773">
        <v>50</v>
      </c>
      <c r="L6" s="2773">
        <v>10</v>
      </c>
      <c r="M6" s="2773">
        <v>20</v>
      </c>
      <c r="N6" s="2761">
        <v>35</v>
      </c>
      <c r="O6" s="2761">
        <v>40</v>
      </c>
      <c r="P6" s="2761">
        <v>30</v>
      </c>
      <c r="Q6" s="2761">
        <v>10</v>
      </c>
      <c r="R6" s="2761">
        <v>255</v>
      </c>
    </row>
    <row r="7" spans="1:18">
      <c r="A7" s="2762">
        <v>70</v>
      </c>
      <c r="B7" s="2759">
        <v>57333</v>
      </c>
      <c r="C7" s="2761">
        <f>ROUNDDOWN(MIN((B7-B3)/365,A7),2)</f>
        <v>31.52</v>
      </c>
      <c r="D7" s="2763">
        <f>IF(ISERROR(ROUND(POWER(1+E7,A7-C7)*(POWER(1+E7,C7)-1)/(POWER(1+E7,A7)-1),3)),0,ROUND(POWER(1+E7,A7-C7)*(POWER(1+E7,C7)-1)/(POWER(1+E7,A7)-1),4))</f>
        <v>0.75819999999999999</v>
      </c>
      <c r="E7" s="2764">
        <v>0.04</v>
      </c>
      <c r="F7" s="2757"/>
    </row>
    <row r="8" spans="1:18">
      <c r="A8" s="2755"/>
      <c r="B8" s="2756"/>
      <c r="C8" s="2756"/>
      <c r="D8" s="2756"/>
      <c r="E8" s="2756"/>
      <c r="F8" s="2757"/>
    </row>
    <row r="9" spans="1:18">
      <c r="A9" s="2758" t="s">
        <v>2505</v>
      </c>
      <c r="B9" s="2761"/>
      <c r="C9" s="2761"/>
      <c r="D9" s="2761"/>
      <c r="E9" s="2761"/>
      <c r="F9" s="2765"/>
    </row>
    <row r="10" spans="1:18">
      <c r="A10" s="2758" t="s">
        <v>2506</v>
      </c>
      <c r="B10" s="2761"/>
      <c r="C10" s="2761"/>
      <c r="D10" s="2761" t="s">
        <v>2504</v>
      </c>
      <c r="E10" s="2761"/>
      <c r="F10" s="2765" t="s">
        <v>2503</v>
      </c>
    </row>
    <row r="11" spans="1:18">
      <c r="A11" s="2758" t="s">
        <v>2507</v>
      </c>
      <c r="B11" s="2766">
        <v>70</v>
      </c>
      <c r="C11" s="2761" t="s">
        <v>2508</v>
      </c>
      <c r="D11" s="2766">
        <v>4.4999999999999998E-2</v>
      </c>
      <c r="E11" s="2761" t="s">
        <v>2509</v>
      </c>
      <c r="F11" s="2767">
        <f>ROUND(1-(1/(POWER(1+D11,B11))),4)</f>
        <v>0.95409999999999995</v>
      </c>
    </row>
    <row r="12" spans="1:18">
      <c r="A12" s="2758" t="s">
        <v>2510</v>
      </c>
      <c r="B12" s="2766">
        <v>40</v>
      </c>
      <c r="C12" s="2761" t="s">
        <v>2511</v>
      </c>
      <c r="D12" s="2766">
        <v>4.4999999999999998E-2</v>
      </c>
      <c r="E12" s="2761" t="s">
        <v>2512</v>
      </c>
      <c r="F12" s="2767">
        <f>ROUND(1-(1/(POWER(1+D12,B12))),4)</f>
        <v>0.82809999999999995</v>
      </c>
    </row>
    <row r="13" spans="1:18">
      <c r="A13" s="2758" t="s">
        <v>2513</v>
      </c>
      <c r="B13" s="2761"/>
      <c r="C13" s="2761"/>
      <c r="D13" s="2756"/>
      <c r="E13" s="2756"/>
      <c r="F13" s="2757"/>
    </row>
    <row r="14" spans="1:18">
      <c r="A14" s="2758" t="s">
        <v>2514</v>
      </c>
      <c r="B14" s="2766">
        <v>5000</v>
      </c>
      <c r="C14" s="2760"/>
      <c r="D14" s="2756"/>
      <c r="E14" s="2756"/>
      <c r="F14" s="2757"/>
    </row>
    <row r="15" spans="1:18">
      <c r="A15" s="2758" t="s">
        <v>2515</v>
      </c>
      <c r="B15" s="2761">
        <f>ROUND(B14*F12/F11,2)</f>
        <v>4339.6899999999996</v>
      </c>
      <c r="C15" s="2761">
        <f>ROUND(F12/F11,4)</f>
        <v>0.8679</v>
      </c>
      <c r="D15" s="2756"/>
      <c r="E15" s="2756"/>
      <c r="F15" s="2757"/>
    </row>
    <row r="16" spans="1:18">
      <c r="A16" s="2758" t="s">
        <v>2516</v>
      </c>
      <c r="B16" s="2761"/>
      <c r="C16" s="2761"/>
      <c r="D16" s="2756"/>
      <c r="E16" s="2756"/>
      <c r="F16" s="2757"/>
    </row>
    <row r="17" spans="1:14">
      <c r="A17" s="2758" t="s">
        <v>2515</v>
      </c>
      <c r="B17" s="2766">
        <v>4810</v>
      </c>
      <c r="C17" s="2760"/>
      <c r="D17" s="2756"/>
      <c r="E17" s="2756"/>
      <c r="F17" s="2757"/>
    </row>
    <row r="18" spans="1:14" ht="15" thickBot="1">
      <c r="A18" s="2768" t="s">
        <v>2514</v>
      </c>
      <c r="B18" s="2769">
        <f>ROUND(B17*F11/F12,2)</f>
        <v>5541.87</v>
      </c>
      <c r="C18" s="2769">
        <f>ROUND(F11/F12,4)</f>
        <v>1.1521999999999999</v>
      </c>
      <c r="D18" s="2770"/>
      <c r="E18" s="2770"/>
      <c r="F18" s="2771"/>
    </row>
    <row r="19" spans="1:14" ht="15" thickBot="1"/>
    <row r="20" spans="1:14" s="2804" customFormat="1" ht="15" thickTop="1">
      <c r="A20" s="2801" t="s">
        <v>2517</v>
      </c>
      <c r="B20" s="2802"/>
      <c r="C20" s="2802"/>
      <c r="D20" s="2802"/>
      <c r="E20" s="2802"/>
      <c r="F20" s="2802"/>
      <c r="G20" s="2803"/>
      <c r="I20" s="2805" t="s">
        <v>2562</v>
      </c>
      <c r="J20" s="2805" t="s">
        <v>2567</v>
      </c>
      <c r="K20" s="2805"/>
      <c r="L20" s="2805"/>
      <c r="M20" s="2805"/>
    </row>
    <row r="21" spans="1:14">
      <c r="A21" s="2772"/>
      <c r="B21" s="2773" t="s">
        <v>2518</v>
      </c>
      <c r="C21" s="2773" t="s">
        <v>2519</v>
      </c>
      <c r="D21" s="2773" t="s">
        <v>2520</v>
      </c>
      <c r="E21" s="2773" t="s">
        <v>2521</v>
      </c>
      <c r="F21" s="2773" t="s">
        <v>2522</v>
      </c>
      <c r="G21" s="2774" t="s">
        <v>2523</v>
      </c>
      <c r="I21" s="2795">
        <v>5</v>
      </c>
      <c r="J21" s="2795">
        <v>54.2</v>
      </c>
    </row>
    <row r="22" spans="1:14">
      <c r="A22" s="2772" t="s">
        <v>2524</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2525</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2565</v>
      </c>
      <c r="N23" s="3148" t="s">
        <v>2566</v>
      </c>
    </row>
    <row r="24" spans="1:14">
      <c r="A24" s="2772" t="s">
        <v>2526</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2564</v>
      </c>
      <c r="N24" s="3148">
        <v>10</v>
      </c>
    </row>
    <row r="25" spans="1:14">
      <c r="A25" s="2772" t="s">
        <v>2527</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2568</v>
      </c>
      <c r="N25" s="3148">
        <v>8</v>
      </c>
    </row>
    <row r="26" spans="1:14">
      <c r="A26" s="2777"/>
      <c r="B26" s="2778"/>
      <c r="C26" s="2778"/>
      <c r="D26" s="2778"/>
      <c r="E26" s="2778"/>
      <c r="F26" s="2778"/>
      <c r="G26" s="2779"/>
      <c r="I26" s="2795">
        <v>30</v>
      </c>
      <c r="J26" s="2795">
        <v>90.5</v>
      </c>
      <c r="K26" s="2795">
        <f t="shared" si="2"/>
        <v>4.2000000000000028</v>
      </c>
      <c r="L26" s="2795" t="s">
        <v>2569</v>
      </c>
      <c r="N26" s="3148">
        <v>5</v>
      </c>
    </row>
    <row r="27" spans="1:14">
      <c r="A27" s="2777" t="s">
        <v>2528</v>
      </c>
      <c r="B27" s="2778"/>
      <c r="C27" s="2778"/>
      <c r="D27" s="2778"/>
      <c r="E27" s="2778"/>
      <c r="F27" s="2778"/>
      <c r="G27" s="2779"/>
      <c r="I27" s="2795">
        <v>35</v>
      </c>
      <c r="J27" s="2795">
        <v>93.8</v>
      </c>
      <c r="K27" s="2795">
        <f t="shared" si="2"/>
        <v>3.2999999999999972</v>
      </c>
      <c r="L27" s="2795" t="s">
        <v>2570</v>
      </c>
      <c r="N27" s="3148">
        <v>3</v>
      </c>
    </row>
    <row r="28" spans="1:14">
      <c r="A28" s="2777" t="s">
        <v>2529</v>
      </c>
      <c r="B28" s="2778"/>
      <c r="C28" s="2778"/>
      <c r="D28" s="2778"/>
      <c r="E28" s="2778"/>
      <c r="F28" s="2778"/>
      <c r="G28" s="2779"/>
      <c r="I28" s="2795">
        <v>40</v>
      </c>
      <c r="J28" s="2795">
        <v>96.4</v>
      </c>
      <c r="K28" s="2795">
        <f t="shared" si="2"/>
        <v>2.6000000000000085</v>
      </c>
      <c r="L28" s="2795" t="s">
        <v>2571</v>
      </c>
      <c r="N28" s="3148">
        <v>2</v>
      </c>
    </row>
    <row r="29" spans="1:14">
      <c r="A29" s="2777" t="s">
        <v>2530</v>
      </c>
      <c r="B29" s="2778"/>
      <c r="C29" s="2778"/>
      <c r="D29" s="2778"/>
      <c r="E29" s="2778"/>
      <c r="F29" s="2778"/>
      <c r="G29" s="2779"/>
      <c r="I29" s="2795">
        <v>45</v>
      </c>
      <c r="J29" s="2795">
        <v>98.4</v>
      </c>
      <c r="K29" s="2795">
        <f t="shared" si="2"/>
        <v>2</v>
      </c>
    </row>
    <row r="30" spans="1:14">
      <c r="A30" s="2777" t="s">
        <v>2531</v>
      </c>
      <c r="B30" s="2778"/>
      <c r="C30" s="2778"/>
      <c r="D30" s="2778"/>
      <c r="E30" s="2778"/>
      <c r="F30" s="2778"/>
      <c r="G30" s="2779"/>
      <c r="I30" s="2795">
        <v>50</v>
      </c>
      <c r="J30" s="2795">
        <v>100</v>
      </c>
      <c r="K30" s="2795">
        <f t="shared" si="2"/>
        <v>1.5999999999999943</v>
      </c>
    </row>
    <row r="31" spans="1:14">
      <c r="A31" s="2777" t="s">
        <v>2532</v>
      </c>
      <c r="B31" s="2778"/>
      <c r="C31" s="2778"/>
      <c r="D31" s="2778"/>
      <c r="E31" s="2778"/>
      <c r="F31" s="2778"/>
      <c r="G31" s="2779"/>
      <c r="I31" s="2795" t="s">
        <v>2563</v>
      </c>
    </row>
    <row r="32" spans="1:14">
      <c r="A32" s="2777" t="s">
        <v>2533</v>
      </c>
      <c r="B32" s="2778"/>
      <c r="C32" s="2778"/>
      <c r="D32" s="2778"/>
      <c r="E32" s="2778"/>
      <c r="F32" s="2778"/>
      <c r="G32" s="2779"/>
    </row>
    <row r="33" spans="1:14">
      <c r="A33" s="2777" t="s">
        <v>2534</v>
      </c>
      <c r="B33" s="2778"/>
      <c r="C33" s="2778"/>
      <c r="D33" s="2778"/>
      <c r="E33" s="2778"/>
      <c r="F33" s="2778"/>
      <c r="G33" s="2779"/>
      <c r="I33" s="2795" t="s">
        <v>2562</v>
      </c>
      <c r="J33" s="2795" t="s">
        <v>2572</v>
      </c>
    </row>
    <row r="34" spans="1:14">
      <c r="A34" s="2777" t="s">
        <v>2535</v>
      </c>
      <c r="B34" s="2778"/>
      <c r="C34" s="2778"/>
      <c r="D34" s="2778"/>
      <c r="E34" s="2778"/>
      <c r="F34" s="2778"/>
      <c r="G34" s="2779"/>
      <c r="I34" s="2795">
        <v>5</v>
      </c>
      <c r="J34" s="2795">
        <v>55.1</v>
      </c>
    </row>
    <row r="35" spans="1:14">
      <c r="A35" s="2777" t="s">
        <v>2536</v>
      </c>
      <c r="B35" s="2778"/>
      <c r="C35" s="2778"/>
      <c r="D35" s="2778"/>
      <c r="E35" s="2778"/>
      <c r="F35" s="2778"/>
      <c r="G35" s="2779"/>
      <c r="I35" s="2795">
        <v>10</v>
      </c>
      <c r="J35" s="2795">
        <v>67</v>
      </c>
      <c r="K35" s="2795">
        <f>J35-J34</f>
        <v>11.899999999999999</v>
      </c>
    </row>
    <row r="36" spans="1:14">
      <c r="A36" s="2777" t="s">
        <v>2537</v>
      </c>
      <c r="B36" s="2778"/>
      <c r="C36" s="2778"/>
      <c r="D36" s="2778"/>
      <c r="E36" s="2778"/>
      <c r="F36" s="2778"/>
      <c r="G36" s="2779"/>
      <c r="I36" s="2795">
        <v>15</v>
      </c>
      <c r="J36" s="2795">
        <v>76.3</v>
      </c>
      <c r="K36" s="2795">
        <f t="shared" ref="K36:K41" si="3">J36-J35</f>
        <v>9.2999999999999972</v>
      </c>
      <c r="L36" s="2795" t="s">
        <v>2565</v>
      </c>
      <c r="N36" s="3148" t="s">
        <v>2566</v>
      </c>
    </row>
    <row r="37" spans="1:14">
      <c r="A37" s="2777" t="s">
        <v>2538</v>
      </c>
      <c r="B37" s="2778"/>
      <c r="C37" s="2778"/>
      <c r="D37" s="2778"/>
      <c r="E37" s="2778"/>
      <c r="F37" s="2778"/>
      <c r="G37" s="2779"/>
      <c r="I37" s="2795">
        <v>20</v>
      </c>
      <c r="J37" s="2795">
        <v>83.6</v>
      </c>
      <c r="K37" s="2795">
        <f t="shared" si="3"/>
        <v>7.2999999999999972</v>
      </c>
      <c r="L37" s="2795" t="s">
        <v>2564</v>
      </c>
      <c r="N37" s="3148">
        <v>10</v>
      </c>
    </row>
    <row r="38" spans="1:14">
      <c r="A38" s="2777" t="s">
        <v>2539</v>
      </c>
      <c r="B38" s="2778"/>
      <c r="C38" s="2778"/>
      <c r="D38" s="2778"/>
      <c r="E38" s="2778"/>
      <c r="F38" s="2778"/>
      <c r="G38" s="2779"/>
      <c r="I38" s="2795">
        <v>25</v>
      </c>
      <c r="J38" s="2795">
        <v>89.3</v>
      </c>
      <c r="K38" s="2795">
        <f t="shared" si="3"/>
        <v>5.7000000000000028</v>
      </c>
      <c r="L38" s="2795" t="s">
        <v>2568</v>
      </c>
      <c r="N38" s="3148">
        <v>8</v>
      </c>
    </row>
    <row r="39" spans="1:14">
      <c r="A39" s="2777"/>
      <c r="B39" s="2778"/>
      <c r="C39" s="2778"/>
      <c r="D39" s="2778"/>
      <c r="E39" s="2778"/>
      <c r="F39" s="2778"/>
      <c r="G39" s="2779"/>
      <c r="I39" s="2795">
        <v>30</v>
      </c>
      <c r="J39" s="2795">
        <v>93.8</v>
      </c>
      <c r="K39" s="2795">
        <f t="shared" si="3"/>
        <v>4.5</v>
      </c>
      <c r="L39" s="2795" t="s">
        <v>2569</v>
      </c>
      <c r="N39" s="3148">
        <v>6</v>
      </c>
    </row>
    <row r="40" spans="1:14">
      <c r="A40" s="2780" t="s">
        <v>2540</v>
      </c>
      <c r="B40" s="2781"/>
      <c r="C40" s="2781"/>
      <c r="D40" s="2781"/>
      <c r="E40" s="2781"/>
      <c r="F40" s="2781"/>
      <c r="G40" s="2782"/>
      <c r="I40" s="2795">
        <v>35</v>
      </c>
      <c r="J40" s="2795">
        <v>97.2</v>
      </c>
      <c r="K40" s="2795">
        <f t="shared" si="3"/>
        <v>3.4000000000000057</v>
      </c>
      <c r="L40" s="2795" t="s">
        <v>2570</v>
      </c>
      <c r="N40" s="3148">
        <v>3</v>
      </c>
    </row>
    <row r="41" spans="1:14">
      <c r="A41" s="2783" t="s">
        <v>2541</v>
      </c>
      <c r="B41" s="2784" t="s">
        <v>2542</v>
      </c>
      <c r="C41" s="2785" t="s">
        <v>2543</v>
      </c>
      <c r="D41" s="2785" t="s">
        <v>2544</v>
      </c>
      <c r="E41" s="2786"/>
      <c r="F41" s="2787"/>
      <c r="G41" s="2788"/>
      <c r="I41" s="2795">
        <v>40</v>
      </c>
      <c r="J41" s="2795">
        <v>100</v>
      </c>
      <c r="K41" s="2795">
        <f t="shared" si="3"/>
        <v>2.7999999999999972</v>
      </c>
    </row>
    <row r="42" spans="1:14">
      <c r="A42" s="2783" t="s">
        <v>2545</v>
      </c>
      <c r="B42" s="2784" t="s">
        <v>2546</v>
      </c>
      <c r="C42" s="2785" t="s">
        <v>2547</v>
      </c>
      <c r="D42" s="2789" t="s">
        <v>2548</v>
      </c>
      <c r="E42" s="2781" t="s">
        <v>2549</v>
      </c>
      <c r="F42" s="2781"/>
      <c r="G42" s="2782"/>
    </row>
    <row r="43" spans="1:14">
      <c r="A43" s="2783" t="s">
        <v>2550</v>
      </c>
      <c r="B43" s="2784" t="s">
        <v>2551</v>
      </c>
      <c r="C43" s="2785" t="s">
        <v>2552</v>
      </c>
      <c r="D43" s="2785" t="s">
        <v>2553</v>
      </c>
      <c r="E43" s="2786" t="s">
        <v>2554</v>
      </c>
      <c r="F43" s="2787"/>
      <c r="G43" s="2788"/>
      <c r="I43" s="2795" t="s">
        <v>2562</v>
      </c>
      <c r="J43" s="2795" t="s">
        <v>2573</v>
      </c>
    </row>
    <row r="44" spans="1:14">
      <c r="A44" s="2783" t="s">
        <v>2555</v>
      </c>
      <c r="B44" s="2784" t="s">
        <v>2556</v>
      </c>
      <c r="C44" s="2785" t="s">
        <v>2557</v>
      </c>
      <c r="D44" s="2789">
        <v>0.5</v>
      </c>
      <c r="E44" s="2786" t="s">
        <v>2558</v>
      </c>
      <c r="F44" s="2787"/>
      <c r="G44" s="2788"/>
      <c r="I44" s="2795">
        <v>30</v>
      </c>
      <c r="J44" s="2795">
        <v>81.7</v>
      </c>
    </row>
    <row r="45" spans="1:14" ht="15" thickBot="1">
      <c r="A45" s="2790" t="s">
        <v>2559</v>
      </c>
      <c r="B45" s="2791" t="s">
        <v>2546</v>
      </c>
      <c r="C45" s="2792" t="s">
        <v>2546</v>
      </c>
      <c r="D45" s="2792" t="s">
        <v>2560</v>
      </c>
      <c r="E45" s="2793" t="s">
        <v>2561</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3384</v>
      </c>
    </row>
    <row r="50" spans="1:4">
      <c r="A50" s="3140" t="s">
        <v>3385</v>
      </c>
      <c r="B50" s="3140" t="s">
        <v>3386</v>
      </c>
      <c r="C50" s="3140" t="s">
        <v>3387</v>
      </c>
      <c r="D50" s="3140" t="s">
        <v>3388</v>
      </c>
    </row>
    <row r="51" spans="1:4">
      <c r="A51" s="3140" t="s">
        <v>3389</v>
      </c>
      <c r="B51" s="2760">
        <f>B52+B53</f>
        <v>15000</v>
      </c>
      <c r="C51" s="3141">
        <f>D51/B51</f>
        <v>2666.6666666666665</v>
      </c>
      <c r="D51" s="2760">
        <f>D52+D53</f>
        <v>40000000</v>
      </c>
    </row>
    <row r="52" spans="1:4">
      <c r="A52" s="3142" t="s">
        <v>3390</v>
      </c>
      <c r="B52" s="3143">
        <v>10000</v>
      </c>
      <c r="C52" s="3143">
        <v>1500</v>
      </c>
      <c r="D52" s="3144">
        <f>C52*B52</f>
        <v>15000000</v>
      </c>
    </row>
    <row r="53" spans="1:4">
      <c r="A53" s="3142" t="s">
        <v>3391</v>
      </c>
      <c r="B53" s="3143">
        <v>5000</v>
      </c>
      <c r="C53" s="3143">
        <v>5000</v>
      </c>
      <c r="D53" s="3144">
        <f>C53*B53</f>
        <v>25000000</v>
      </c>
    </row>
    <row r="54" spans="1:4">
      <c r="A54" s="3140" t="s">
        <v>3392</v>
      </c>
      <c r="B54" s="2760">
        <f>B51</f>
        <v>15000</v>
      </c>
      <c r="C54" s="2766">
        <v>700</v>
      </c>
      <c r="D54" s="2760">
        <f t="shared" ref="D54:D55" si="5">C54*B54</f>
        <v>10500000</v>
      </c>
    </row>
    <row r="55" spans="1:4">
      <c r="A55" s="3140" t="s">
        <v>3393</v>
      </c>
      <c r="B55" s="2760">
        <f>B51</f>
        <v>15000</v>
      </c>
      <c r="C55" s="2766">
        <v>1500</v>
      </c>
      <c r="D55" s="2760">
        <f t="shared" si="5"/>
        <v>22500000</v>
      </c>
    </row>
    <row r="56" spans="1:4">
      <c r="A56" s="3140" t="s">
        <v>3394</v>
      </c>
      <c r="B56" s="2760">
        <f>B51</f>
        <v>15000</v>
      </c>
      <c r="C56" s="3145">
        <f>C51+C54+C55</f>
        <v>4866.6666666666661</v>
      </c>
      <c r="D56" s="2760">
        <f>D51+D54+D55</f>
        <v>73000000</v>
      </c>
    </row>
    <row r="58" spans="1:4">
      <c r="A58" s="3140" t="s">
        <v>3395</v>
      </c>
      <c r="B58" s="3146">
        <v>0.05</v>
      </c>
      <c r="C58" s="2760">
        <f>C56*(1+B58)</f>
        <v>5110</v>
      </c>
      <c r="D58" s="2760">
        <f>D56*B58</f>
        <v>3650000</v>
      </c>
    </row>
    <row r="60" spans="1:4">
      <c r="A60" s="3140" t="s">
        <v>3396</v>
      </c>
      <c r="B60" s="2766">
        <v>3500</v>
      </c>
      <c r="C60" s="2766">
        <f>C53</f>
        <v>5000</v>
      </c>
      <c r="D60" s="2760">
        <f>C60*B60</f>
        <v>17500000</v>
      </c>
    </row>
    <row r="62" spans="1:4">
      <c r="A62" s="3140" t="s">
        <v>3397</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L21" sqref="L2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09" customWidth="1"/>
    <col min="12" max="13" width="10" style="2410"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2166</v>
      </c>
      <c r="B1" s="3231" t="str">
        <f>IF(B10="北京市","北京市",C10)&amp;F10&amp;IF(结果表1001!G1="在建","出让国有建设用地使用权及在建建筑物",IF(结果表1001!G1="土地","出让国有建设用地使用权",))&amp;B9&amp;"预评估"</f>
        <v>北京市房山区辰光东路16号院5号楼10层1001等共计9套房地产抵押价值预评估</v>
      </c>
      <c r="C1" s="3232"/>
      <c r="D1" s="3232"/>
      <c r="E1" s="3232"/>
      <c r="F1" s="3232"/>
      <c r="G1" s="3232"/>
      <c r="H1" s="3232"/>
      <c r="I1" s="3233"/>
      <c r="J1" s="2244"/>
      <c r="K1" s="2183"/>
      <c r="L1" s="2184"/>
      <c r="M1" s="2184"/>
      <c r="N1" s="2182"/>
      <c r="O1" s="1466"/>
      <c r="P1" s="2182"/>
      <c r="Q1" s="2182"/>
      <c r="R1" s="2182"/>
      <c r="S1" s="1561" t="str">
        <f>IF(B10="北京市","北京市",C10)&amp;F10&amp;IF(结果表1001!G1="在建","出让国有建设用地使用权及在建建筑物房地产抵押价值",IF(结果表1001!G1="土地","出让国有建设用地使用权抵押价值",B9))</f>
        <v>北京市房山区辰光东路16号院5号楼10层1001等共计9套房地产抵押价值</v>
      </c>
      <c r="T1" s="1618"/>
      <c r="U1" s="1618"/>
      <c r="V1" s="1618"/>
      <c r="W1" s="1618"/>
      <c r="X1" s="1618"/>
      <c r="Y1" s="1618"/>
      <c r="Z1" s="1618"/>
      <c r="AA1" s="1618"/>
      <c r="AB1" s="1618"/>
    </row>
    <row r="2" spans="1:30">
      <c r="A2" s="2182" t="s">
        <v>2167</v>
      </c>
      <c r="B2" s="122"/>
      <c r="D2" s="2443"/>
      <c r="E2" s="2437"/>
      <c r="F2" s="2437"/>
      <c r="G2" s="2438"/>
      <c r="H2" s="2438"/>
      <c r="I2" s="2438"/>
      <c r="J2" s="2244"/>
      <c r="K2" s="2183"/>
      <c r="L2" s="2184"/>
      <c r="M2" s="2184"/>
      <c r="N2" s="2182"/>
      <c r="O2" s="1466"/>
      <c r="P2" s="2182"/>
      <c r="Q2" s="2182"/>
      <c r="R2" s="2182"/>
      <c r="S2" s="1561" t="str">
        <f>IF(B10="北京市","北京市",C10)&amp;F10&amp;IF(结果表1001!G1="在建","出让国有建设用地使用权及在建建筑物房地产",IF(结果表1001!G1="土地","出让国有建设用地使用权","房地产"))</f>
        <v>北京市房山区辰光东路16号院5号楼10层1001等共计9套房地产</v>
      </c>
      <c r="T2" s="1618"/>
      <c r="U2" s="1618"/>
      <c r="V2" s="1618"/>
      <c r="W2" s="1618"/>
      <c r="X2" s="1618"/>
      <c r="Y2" s="1618"/>
      <c r="Z2" s="1618"/>
      <c r="AA2" s="1618"/>
      <c r="AB2" s="1618"/>
    </row>
    <row r="3" spans="1:30">
      <c r="A3" s="294" t="s">
        <v>2168</v>
      </c>
      <c r="B3" s="2185">
        <v>45828</v>
      </c>
      <c r="C3" s="2186" t="s">
        <v>2169</v>
      </c>
      <c r="D3" s="2185">
        <f>B3</f>
        <v>45828</v>
      </c>
      <c r="E3" s="2438"/>
      <c r="F3" s="2438"/>
      <c r="G3" s="2438"/>
      <c r="H3" s="2438"/>
      <c r="I3" s="2438"/>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2171</v>
      </c>
      <c r="B5" s="2191"/>
      <c r="C5" s="2192"/>
      <c r="D5" s="2193"/>
      <c r="E5" s="2438"/>
      <c r="F5" s="2438"/>
      <c r="G5" s="2438"/>
      <c r="H5" s="2438"/>
      <c r="I5" s="2438"/>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37"/>
      <c r="F6" s="2438"/>
      <c r="G6" s="2438"/>
      <c r="H6" s="2438"/>
      <c r="I6" s="2438"/>
      <c r="J6" s="2244"/>
      <c r="K6" s="2397" t="str">
        <f>IF(COUNTIF(B6,"*上海银行*"),"上海银行","")</f>
        <v/>
      </c>
      <c r="L6" s="2395"/>
      <c r="M6" s="2395"/>
      <c r="N6" s="2244"/>
      <c r="O6" s="1670"/>
      <c r="P6" s="2244"/>
      <c r="Q6" s="2244"/>
      <c r="R6" s="2244"/>
    </row>
    <row r="7" spans="1:30">
      <c r="A7" s="2194" t="s">
        <v>2173</v>
      </c>
      <c r="B7" s="2198"/>
      <c r="C7" s="2196"/>
      <c r="D7" s="2197"/>
      <c r="E7" s="2437"/>
      <c r="F7" s="2438"/>
      <c r="G7" s="2438"/>
      <c r="H7" s="2438"/>
      <c r="I7" s="2438"/>
      <c r="J7" s="2244"/>
      <c r="K7" s="2398"/>
      <c r="L7" s="2395"/>
      <c r="M7" s="2395"/>
      <c r="N7" s="2244"/>
      <c r="O7" s="1670"/>
      <c r="P7" s="2244"/>
      <c r="Q7" s="2244"/>
      <c r="R7" s="2244"/>
    </row>
    <row r="8" spans="1:30">
      <c r="A8" s="2199" t="s">
        <v>2174</v>
      </c>
      <c r="B8" s="2200" t="s">
        <v>3437</v>
      </c>
      <c r="C8" s="2201"/>
      <c r="D8" s="3234" t="s">
        <v>2175</v>
      </c>
      <c r="E8" s="2202" t="s">
        <v>3438</v>
      </c>
      <c r="F8" s="2203"/>
      <c r="G8" s="2438"/>
      <c r="H8" s="2438"/>
      <c r="I8" s="2438"/>
      <c r="J8" s="2244"/>
      <c r="K8" s="2396"/>
      <c r="L8" s="2395"/>
      <c r="M8" s="2395"/>
      <c r="N8" s="2244"/>
      <c r="O8" s="1670"/>
      <c r="P8" s="2244"/>
      <c r="Q8" s="2244"/>
      <c r="R8" s="2244"/>
    </row>
    <row r="9" spans="1:30" ht="13.8" thickBot="1">
      <c r="A9" s="2204" t="s">
        <v>2176</v>
      </c>
      <c r="B9" s="2205" t="s">
        <v>3438</v>
      </c>
      <c r="C9" s="2206"/>
      <c r="D9" s="3235"/>
      <c r="E9" s="2205" t="s">
        <v>587</v>
      </c>
      <c r="F9" s="2207"/>
      <c r="G9" s="2439"/>
      <c r="H9" s="2439"/>
      <c r="I9" s="2439"/>
      <c r="J9" s="2244"/>
      <c r="K9" s="2398"/>
      <c r="L9" s="2395"/>
      <c r="M9" s="2395"/>
      <c r="N9" s="2244"/>
      <c r="O9" s="1670"/>
      <c r="P9" s="2244"/>
      <c r="Q9" s="2244"/>
      <c r="R9" s="2244"/>
    </row>
    <row r="10" spans="1:30" ht="13.8" thickTop="1">
      <c r="A10" s="2208" t="s">
        <v>2177</v>
      </c>
      <c r="B10" s="2209" t="s">
        <v>3439</v>
      </c>
      <c r="C10" s="2210"/>
      <c r="D10" s="2193"/>
      <c r="E10" s="2211" t="s">
        <v>2178</v>
      </c>
      <c r="F10" s="3162" t="s">
        <v>3441</v>
      </c>
      <c r="G10" s="2440"/>
      <c r="H10" s="2441"/>
      <c r="I10" s="2442"/>
      <c r="J10" s="2244"/>
      <c r="K10" s="2398"/>
      <c r="L10" s="2395"/>
      <c r="M10" s="2395"/>
      <c r="N10" s="2244"/>
      <c r="O10" s="1670"/>
      <c r="P10" s="2244"/>
      <c r="Q10" s="2244"/>
      <c r="R10" s="2244"/>
    </row>
    <row r="11" spans="1:30" ht="36">
      <c r="A11" s="2212" t="s">
        <v>2179</v>
      </c>
      <c r="B11" s="2213" t="s">
        <v>3440</v>
      </c>
      <c r="C11" s="3163" t="s">
        <v>3442</v>
      </c>
      <c r="D11" s="2214"/>
      <c r="E11" s="2182"/>
      <c r="F11" s="2182"/>
      <c r="G11" s="2182"/>
      <c r="H11" s="2182"/>
      <c r="I11" s="2182"/>
      <c r="J11" s="2797"/>
      <c r="K11" s="2395"/>
      <c r="L11" s="2395"/>
      <c r="M11" s="2395"/>
      <c r="N11" s="2244"/>
      <c r="O11" s="1670"/>
      <c r="P11" s="2244"/>
      <c r="Q11" s="2244"/>
      <c r="R11" s="2244"/>
    </row>
    <row r="12" spans="1:30">
      <c r="A12" s="2215" t="s">
        <v>2180</v>
      </c>
      <c r="B12" s="315" t="s">
        <v>2181</v>
      </c>
      <c r="C12" s="2216" t="s">
        <v>2182</v>
      </c>
      <c r="D12" s="2216" t="s">
        <v>2183</v>
      </c>
      <c r="E12" s="2216" t="s">
        <v>2184</v>
      </c>
      <c r="F12" s="2216" t="s">
        <v>2185</v>
      </c>
      <c r="G12" s="2216" t="s">
        <v>2186</v>
      </c>
      <c r="H12" s="2216" t="s">
        <v>2187</v>
      </c>
      <c r="I12" s="2796" t="s">
        <v>2574</v>
      </c>
      <c r="J12" s="2798"/>
      <c r="K12" s="2395"/>
      <c r="L12" s="2395"/>
      <c r="M12" s="2244"/>
      <c r="N12" s="1670"/>
      <c r="O12" s="2244"/>
      <c r="P12" s="2244"/>
      <c r="Q12" s="2244"/>
      <c r="AD12" s="1618"/>
    </row>
    <row r="13" spans="1:30">
      <c r="A13" s="3117" t="s">
        <v>3329</v>
      </c>
      <c r="B13" s="2217" t="s">
        <v>2188</v>
      </c>
      <c r="C13" s="803"/>
      <c r="D13" s="803"/>
      <c r="E13" s="3525">
        <v>59636</v>
      </c>
      <c r="F13" s="3168" t="s">
        <v>3457</v>
      </c>
      <c r="G13" s="803"/>
      <c r="H13" s="803"/>
      <c r="I13" s="803"/>
      <c r="J13" s="2798"/>
      <c r="K13" s="2395"/>
      <c r="L13" s="2395"/>
      <c r="M13" s="2244"/>
      <c r="N13" s="1670"/>
      <c r="O13" s="2244"/>
      <c r="P13" s="2244"/>
      <c r="Q13" s="2244"/>
      <c r="AD13" s="1618"/>
    </row>
    <row r="14" spans="1:30">
      <c r="A14" s="1018"/>
      <c r="B14" s="2217" t="s">
        <v>2189</v>
      </c>
      <c r="C14" s="2218"/>
      <c r="D14" s="2218"/>
      <c r="E14" s="2218">
        <v>50</v>
      </c>
      <c r="F14" s="2218"/>
      <c r="G14" s="2218"/>
      <c r="H14" s="2218"/>
      <c r="I14" s="2218"/>
      <c r="J14" s="2799"/>
      <c r="K14" s="2395"/>
      <c r="L14" s="2395"/>
      <c r="M14" s="2244"/>
      <c r="N14" s="1670"/>
      <c r="O14" s="2244"/>
      <c r="P14" s="2244"/>
      <c r="Q14" s="2244"/>
      <c r="AD14" s="1618"/>
    </row>
    <row r="15" spans="1:30">
      <c r="A15" s="312"/>
      <c r="B15" s="2219" t="s">
        <v>2190</v>
      </c>
      <c r="C15" s="2220" t="str">
        <f>IF(A13="出让",IF(C13="","",ROUNDDOWN(MIN((C13-$D$3)/365,C14),2)),C14)</f>
        <v/>
      </c>
      <c r="D15" s="2220" t="str">
        <f>IF(A13="出让",IF(D13="","",ROUNDDOWN(MIN((D13-$D$3)/365,D14),2)),D14)</f>
        <v/>
      </c>
      <c r="E15" s="2220">
        <f>IF(A13="出让",IF(E13="","",ROUNDDOWN(MIN((E13-$D$3)/365,E14),2)),E14)</f>
        <v>37.83</v>
      </c>
      <c r="F15" s="2220" t="e">
        <f>IF(A13="出让",IF(F13="","",ROUNDDOWN(MIN((F13-$D$3)/365,F14),2)),F14)</f>
        <v>#VALUE!</v>
      </c>
      <c r="G15" s="2220" t="str">
        <f>IF(A13="出让",IF(G13="","",ROUNDDOWN(MIN((G13-$D$3)/365,G14),2)),G14)</f>
        <v/>
      </c>
      <c r="H15" s="2220" t="str">
        <f>IF(A13="出让",IF(H13="","",ROUNDDOWN(MIN((H13-$D$3)/365,H14),2)),H14)</f>
        <v/>
      </c>
      <c r="I15" s="2220" t="str">
        <f>IF(A13="出让",IF(I13="","",ROUNDDOWN(MIN((I13-$D$3)/365,I14),2)),I14)</f>
        <v/>
      </c>
      <c r="J15" s="2800"/>
      <c r="K15" s="1670"/>
      <c r="L15" s="1670"/>
      <c r="M15" s="2244"/>
      <c r="N15" s="1670"/>
      <c r="O15" s="2244"/>
      <c r="P15" s="2244"/>
      <c r="Q15" s="2244"/>
      <c r="AD15" s="1618"/>
    </row>
    <row r="16" spans="1:30">
      <c r="A16" s="2211" t="s">
        <v>2191</v>
      </c>
      <c r="B16" s="3241" t="s">
        <v>3445</v>
      </c>
      <c r="C16" s="3242"/>
      <c r="D16" s="3243"/>
      <c r="E16" s="2221" t="s">
        <v>2192</v>
      </c>
      <c r="F16" s="3244"/>
      <c r="G16" s="3245"/>
      <c r="H16" s="3245"/>
      <c r="I16" s="3246"/>
      <c r="J16" s="2244"/>
      <c r="K16" s="2399"/>
      <c r="L16" s="1670"/>
      <c r="M16" s="1670"/>
      <c r="N16" s="2244"/>
      <c r="O16" s="1670"/>
      <c r="P16" s="2244"/>
      <c r="Q16" s="2244"/>
      <c r="R16" s="2244"/>
    </row>
    <row r="17" spans="1:28">
      <c r="A17" s="305" t="s">
        <v>2193</v>
      </c>
      <c r="B17" s="294" t="s">
        <v>2194</v>
      </c>
      <c r="C17" s="8">
        <f>'数据-汇总表'!E3</f>
        <v>94.78</v>
      </c>
      <c r="D17" s="1256" t="s">
        <v>2195</v>
      </c>
      <c r="E17" s="3247" t="s">
        <v>2196</v>
      </c>
      <c r="F17" s="3248"/>
      <c r="G17" s="3248"/>
      <c r="H17" s="3248"/>
      <c r="I17" s="3249"/>
      <c r="J17" s="2244"/>
      <c r="K17" s="2400"/>
      <c r="L17" s="1670"/>
      <c r="M17" s="1670"/>
      <c r="N17" s="2244"/>
      <c r="O17" s="1670"/>
      <c r="P17" s="2244"/>
      <c r="Q17" s="2244"/>
      <c r="R17" s="2244"/>
      <c r="S17" s="2244"/>
      <c r="T17" s="2244"/>
      <c r="U17" s="2244"/>
      <c r="V17" s="2244"/>
    </row>
    <row r="18" spans="1:28" ht="24.6" thickBot="1">
      <c r="A18" s="2222" t="s">
        <v>2197</v>
      </c>
      <c r="B18" s="1027" t="s">
        <v>2198</v>
      </c>
      <c r="C18" s="2223">
        <f>'数据-汇总表'!D3</f>
        <v>0</v>
      </c>
      <c r="D18" s="1029" t="s">
        <v>2199</v>
      </c>
      <c r="E18" s="3250" t="s">
        <v>2200</v>
      </c>
      <c r="F18" s="3251"/>
      <c r="G18" s="3251"/>
      <c r="H18" s="3251"/>
      <c r="I18" s="3252"/>
      <c r="J18" s="2244"/>
      <c r="K18" s="2400"/>
      <c r="L18" s="1670"/>
      <c r="M18" s="1670"/>
      <c r="N18" s="2244"/>
      <c r="O18" s="1670"/>
      <c r="P18" s="2244"/>
      <c r="Q18" s="2244"/>
      <c r="R18" s="2244"/>
      <c r="S18" s="2244"/>
      <c r="T18" s="2244"/>
      <c r="U18" s="2244"/>
      <c r="V18" s="2244"/>
    </row>
    <row r="19" spans="1:28" ht="37.200000000000003" thickTop="1" thickBot="1">
      <c r="A19" s="319" t="s">
        <v>1055</v>
      </c>
      <c r="B19" s="299" t="s">
        <v>2201</v>
      </c>
      <c r="C19" s="1455" t="s">
        <v>3443</v>
      </c>
      <c r="D19" s="1456" t="s">
        <v>2202</v>
      </c>
      <c r="E19" s="1457"/>
      <c r="F19" s="1458" t="str">
        <f>IF(AND(C19="是",E19="否"),"是否提供他项权证或相关说明","")</f>
        <v/>
      </c>
      <c r="G19" s="1459"/>
      <c r="H19" s="2438"/>
      <c r="I19" s="2438"/>
      <c r="J19" s="2244"/>
      <c r="K19" s="2398"/>
      <c r="L19" s="2395"/>
      <c r="M19" s="2395"/>
      <c r="N19" s="2244"/>
      <c r="O19" s="1670"/>
      <c r="P19" s="2244"/>
      <c r="Q19" s="2244"/>
      <c r="R19" s="2244"/>
      <c r="S19" s="2244"/>
      <c r="T19" s="2244"/>
      <c r="U19" s="2244"/>
      <c r="V19" s="2244"/>
    </row>
    <row r="20" spans="1:28">
      <c r="A20" s="2413" t="s">
        <v>2203</v>
      </c>
      <c r="B20" s="3237" t="s">
        <v>2204</v>
      </c>
      <c r="C20" s="3238"/>
      <c r="D20" s="3239" t="s">
        <v>2205</v>
      </c>
      <c r="E20" s="3240"/>
      <c r="F20" s="2426" t="s">
        <v>1056</v>
      </c>
      <c r="G20" s="2438"/>
      <c r="H20" s="2438"/>
      <c r="I20" s="2438"/>
      <c r="J20" s="2244"/>
      <c r="K20" s="323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3"/>
      <c r="B21" s="2414" t="s">
        <v>2207</v>
      </c>
      <c r="C21" s="2295" t="s">
        <v>1057</v>
      </c>
      <c r="D21" s="1460" t="s">
        <v>2208</v>
      </c>
      <c r="E21" s="2415" t="s">
        <v>1057</v>
      </c>
      <c r="F21" s="2427"/>
      <c r="G21" s="2438"/>
      <c r="H21" s="2438"/>
      <c r="I21" s="2438"/>
      <c r="J21" s="2244"/>
      <c r="K21" s="32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3"/>
      <c r="B22" s="2416" t="s">
        <v>2209</v>
      </c>
      <c r="C22" s="2295" t="s">
        <v>1058</v>
      </c>
      <c r="D22" s="2438"/>
      <c r="E22" s="2438"/>
      <c r="F22" s="2438"/>
      <c r="G22" s="2438"/>
      <c r="H22" s="2438"/>
      <c r="I22" s="2438"/>
      <c r="J22" s="2244"/>
      <c r="K22" s="3236"/>
      <c r="L22" s="646" t="str">
        <f>IF(E19="否","",IF(结果表1001!D36="同一抵押权人同一抵押物续贷","由于本次评估为同一抵押权人的续贷房地产抵押估价，故未将已抵押担保的债权数额（"&amp;C26&amp;"）作为法定优先受偿款予以扣减。",IF(结果表1001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7" t="s">
        <v>2210</v>
      </c>
      <c r="B23" s="2292" t="s">
        <v>2211</v>
      </c>
      <c r="C23" s="2418"/>
      <c r="D23" s="2419" t="s">
        <v>2211</v>
      </c>
      <c r="E23" s="2420"/>
      <c r="F23" s="2438"/>
      <c r="G23" s="2438"/>
      <c r="H23" s="2438"/>
      <c r="I23" s="2438"/>
      <c r="J23" s="2244"/>
      <c r="K23" s="2397"/>
      <c r="L23" s="121"/>
      <c r="M23" s="2395"/>
      <c r="N23" s="2244"/>
      <c r="O23" s="1670"/>
      <c r="P23" s="2244"/>
      <c r="Q23" s="2244"/>
      <c r="R23" s="2244"/>
      <c r="S23" s="2244"/>
      <c r="T23" s="2244"/>
      <c r="U23" s="2244"/>
      <c r="V23" s="2244"/>
    </row>
    <row r="24" spans="1:28">
      <c r="A24" s="2417"/>
      <c r="B24" s="2292" t="s">
        <v>1059</v>
      </c>
      <c r="C24" s="2270"/>
      <c r="D24" s="2417" t="s">
        <v>1059</v>
      </c>
      <c r="E24" s="2421"/>
      <c r="F24" s="2438"/>
      <c r="G24" s="2438"/>
      <c r="H24" s="2438"/>
      <c r="I24" s="2438"/>
      <c r="J24" s="2244"/>
      <c r="K24" s="2397"/>
      <c r="L24" s="121"/>
      <c r="M24" s="2395"/>
      <c r="N24" s="2244"/>
      <c r="O24" s="1670"/>
      <c r="P24" s="2244"/>
      <c r="Q24" s="2244"/>
      <c r="R24" s="2244"/>
      <c r="S24" s="2244"/>
      <c r="T24" s="2244"/>
      <c r="U24" s="2244"/>
      <c r="V24" s="2244"/>
    </row>
    <row r="25" spans="1:28">
      <c r="A25" s="2417"/>
      <c r="B25" s="2292" t="s">
        <v>1060</v>
      </c>
      <c r="C25" s="2270"/>
      <c r="D25" s="2417" t="s">
        <v>1060</v>
      </c>
      <c r="E25" s="2421"/>
      <c r="F25" s="2438"/>
      <c r="G25" s="2438"/>
      <c r="H25" s="2438"/>
      <c r="I25" s="2438"/>
      <c r="J25" s="2244"/>
      <c r="K25" s="2398"/>
      <c r="L25" s="2395"/>
      <c r="M25" s="2395"/>
      <c r="N25" s="2244"/>
      <c r="O25" s="1670"/>
      <c r="P25" s="2244"/>
      <c r="Q25" s="2244"/>
      <c r="R25" s="2244"/>
      <c r="S25" s="2244"/>
      <c r="T25" s="2244"/>
      <c r="U25" s="2244"/>
      <c r="V25" s="2244"/>
    </row>
    <row r="26" spans="1:28" ht="13.8" thickBot="1">
      <c r="A26" s="2422"/>
      <c r="B26" s="2423" t="s">
        <v>1061</v>
      </c>
      <c r="C26" s="2424"/>
      <c r="D26" s="2422" t="s">
        <v>1061</v>
      </c>
      <c r="E26" s="2425"/>
      <c r="F26" s="2439"/>
      <c r="G26" s="2439"/>
      <c r="H26" s="2439"/>
      <c r="I26" s="2439"/>
      <c r="J26" s="2244"/>
      <c r="K26" s="2398"/>
      <c r="L26" s="2395"/>
      <c r="M26" s="2395"/>
      <c r="N26" s="2244"/>
      <c r="O26" s="1670"/>
      <c r="P26" s="2244"/>
      <c r="Q26" s="2244"/>
      <c r="R26" s="2244"/>
      <c r="S26" s="2244"/>
      <c r="T26" s="2244"/>
      <c r="U26" s="2244"/>
      <c r="V26" s="2244"/>
    </row>
    <row r="27" spans="1:28" ht="13.8" thickTop="1">
      <c r="A27" s="3254" t="s">
        <v>2212</v>
      </c>
      <c r="B27" s="312" t="s">
        <v>2213</v>
      </c>
      <c r="C27" s="2224" t="s">
        <v>3446</v>
      </c>
      <c r="D27" s="2225"/>
      <c r="E27" s="2438"/>
      <c r="F27" s="2438"/>
      <c r="G27" s="2438"/>
      <c r="H27" s="2438"/>
      <c r="I27" s="2438"/>
      <c r="J27" s="2244"/>
      <c r="K27" s="2399"/>
      <c r="L27" s="1670"/>
      <c r="M27" s="1670"/>
      <c r="N27" s="2244"/>
      <c r="O27" s="1670"/>
      <c r="P27" s="2244"/>
      <c r="Q27" s="2244"/>
      <c r="R27" s="2244"/>
      <c r="S27" s="2244"/>
      <c r="T27" s="2244"/>
      <c r="U27" s="2244"/>
      <c r="V27" s="2244"/>
    </row>
    <row r="28" spans="1:28">
      <c r="A28" s="3254"/>
      <c r="B28" s="294" t="s">
        <v>2214</v>
      </c>
      <c r="C28" s="2226"/>
      <c r="D28" s="2227"/>
      <c r="E28" s="2438"/>
      <c r="F28" s="2438"/>
      <c r="G28" s="2438"/>
      <c r="H28" s="2438"/>
      <c r="I28" s="2438"/>
      <c r="J28" s="2244"/>
      <c r="K28" s="2398"/>
      <c r="L28" s="2395"/>
      <c r="M28" s="2395"/>
      <c r="N28" s="2244"/>
      <c r="O28" s="1670"/>
      <c r="P28" s="2244"/>
      <c r="Q28" s="2244"/>
      <c r="R28" s="2244"/>
      <c r="S28" s="2244"/>
      <c r="T28" s="2244"/>
      <c r="U28" s="2244"/>
      <c r="V28" s="2244"/>
    </row>
    <row r="29" spans="1:28">
      <c r="A29" s="3254"/>
      <c r="B29" s="294" t="s">
        <v>2215</v>
      </c>
      <c r="C29" s="2228"/>
      <c r="D29" s="2229"/>
      <c r="E29" s="2438"/>
      <c r="F29" s="2438"/>
      <c r="G29" s="2438"/>
      <c r="H29" s="2438"/>
      <c r="I29" s="2438"/>
      <c r="J29" s="2244"/>
      <c r="K29" s="2398"/>
      <c r="L29" s="2395"/>
      <c r="M29" s="2395"/>
      <c r="N29" s="2244"/>
      <c r="O29" s="1670"/>
      <c r="P29" s="2244"/>
      <c r="Q29" s="2244"/>
      <c r="R29" s="2244"/>
      <c r="S29" s="2244"/>
      <c r="T29" s="2244"/>
      <c r="U29" s="2244"/>
      <c r="V29" s="2244"/>
    </row>
    <row r="30" spans="1:28">
      <c r="A30" s="3255"/>
      <c r="B30" s="294" t="s">
        <v>2216</v>
      </c>
      <c r="C30" s="3256"/>
      <c r="D30" s="3257"/>
      <c r="E30" s="2438"/>
      <c r="F30" s="2438"/>
      <c r="G30" s="2438"/>
      <c r="H30" s="2438"/>
      <c r="I30" s="2438"/>
      <c r="J30" s="2244"/>
      <c r="K30" s="2398"/>
      <c r="L30" s="2395"/>
      <c r="M30" s="2395"/>
      <c r="N30" s="2244"/>
      <c r="O30" s="1670"/>
      <c r="P30" s="2244"/>
      <c r="Q30" s="2244"/>
      <c r="R30" s="2244"/>
      <c r="S30" s="2244"/>
      <c r="T30" s="2244"/>
      <c r="U30" s="2244"/>
      <c r="V30" s="2244"/>
    </row>
    <row r="31" spans="1:28">
      <c r="A31" s="3258" t="s">
        <v>2217</v>
      </c>
      <c r="B31" s="2230" t="s">
        <v>3447</v>
      </c>
      <c r="C31" s="12" t="str">
        <f>IF(B31="现房","成新及维护状况正常否",IF(B31="在建","工程状态是否正常",IF(B31="土地","是否闲置","-")))</f>
        <v>成新及维护状况正常否</v>
      </c>
      <c r="D31" s="1281"/>
      <c r="E31" s="2231"/>
      <c r="F31" s="2438"/>
      <c r="G31" s="2438"/>
      <c r="H31" s="2438"/>
      <c r="I31" s="2438"/>
      <c r="J31" s="2244"/>
      <c r="K31" s="2397"/>
      <c r="L31" s="2395"/>
      <c r="M31" s="2395"/>
      <c r="N31" s="2244"/>
      <c r="O31" s="1670"/>
      <c r="P31" s="2244"/>
      <c r="Q31" s="2244"/>
      <c r="R31" s="2244"/>
      <c r="S31" s="2244"/>
      <c r="T31" s="2244"/>
      <c r="U31" s="2244"/>
      <c r="V31" s="2244"/>
    </row>
    <row r="32" spans="1:28">
      <c r="A32" s="3259"/>
      <c r="B32" s="2230"/>
      <c r="C32" s="12" t="str">
        <f>IF(B32="现房","成新及维护状况是否正常",IF(B32="在建","工程状态是否正常",IF(B32="土地","是否闲置","-")))</f>
        <v>-</v>
      </c>
      <c r="D32" s="1281"/>
      <c r="E32" s="2231"/>
      <c r="F32" s="2438"/>
      <c r="G32" s="2438"/>
      <c r="H32" s="2438"/>
      <c r="I32" s="2438"/>
      <c r="J32" s="2244"/>
      <c r="K32" s="2398"/>
      <c r="L32" s="2395"/>
      <c r="M32" s="2395"/>
      <c r="N32" s="2244"/>
      <c r="O32" s="1670"/>
      <c r="P32" s="2244"/>
      <c r="Q32" s="2244"/>
      <c r="R32" s="2244"/>
      <c r="S32" s="2244"/>
      <c r="T32" s="2244"/>
      <c r="U32" s="2244"/>
      <c r="V32" s="2244"/>
    </row>
    <row r="33" spans="1:30">
      <c r="A33" s="3259"/>
      <c r="B33" s="2233"/>
      <c r="C33" s="1478" t="str">
        <f>IF(B33="现房","成新及维护状况是否正常",IF(B33="在建","工程状态是否正常",IF(B33="土地","是否闲置","-")))</f>
        <v>-</v>
      </c>
      <c r="D33" s="1274"/>
      <c r="E33" s="2234"/>
      <c r="F33" s="2438"/>
      <c r="G33" s="2438"/>
      <c r="H33" s="2438"/>
      <c r="I33" s="2438"/>
      <c r="J33" s="2244"/>
      <c r="K33" s="2398"/>
      <c r="L33" s="2395"/>
      <c r="M33" s="2395"/>
      <c r="N33" s="2244"/>
      <c r="O33" s="1670"/>
      <c r="P33" s="2244"/>
      <c r="Q33" s="2244"/>
      <c r="R33" s="2244"/>
      <c r="S33" s="2244"/>
      <c r="T33" s="2244"/>
      <c r="U33" s="2244"/>
      <c r="V33" s="2244"/>
    </row>
    <row r="34" spans="1:30">
      <c r="A34" s="294" t="s">
        <v>2218</v>
      </c>
      <c r="B34" s="1870"/>
      <c r="C34" s="1870"/>
      <c r="D34" s="1870"/>
      <c r="E34" s="1870"/>
      <c r="F34" s="1870"/>
      <c r="G34" s="1870"/>
      <c r="H34" s="1870"/>
      <c r="I34" s="2438"/>
      <c r="J34" s="2244"/>
      <c r="K34" s="8">
        <f>COUNTIF(B34:H34,"——")</f>
        <v>0</v>
      </c>
      <c r="L34" s="315" t="s">
        <v>2219</v>
      </c>
      <c r="M34" s="315" t="s">
        <v>2220</v>
      </c>
      <c r="N34" s="315" t="s">
        <v>2221</v>
      </c>
      <c r="O34" s="315" t="s">
        <v>2222</v>
      </c>
      <c r="P34" s="315" t="s">
        <v>2223</v>
      </c>
      <c r="Q34" s="315" t="s">
        <v>2224</v>
      </c>
      <c r="R34" s="315" t="s">
        <v>2225</v>
      </c>
      <c r="S34" s="3253" t="s">
        <v>2226</v>
      </c>
      <c r="T34" s="315" t="str">
        <f>NUMBERSTRING(7-K34,1)&amp;"通"</f>
        <v>七通</v>
      </c>
      <c r="U34" s="2244"/>
      <c r="V34" s="2244"/>
    </row>
    <row r="35" spans="1:30">
      <c r="A35" s="2235"/>
      <c r="B35" s="3253" t="s">
        <v>2227</v>
      </c>
      <c r="C35" s="3253"/>
      <c r="D35" s="3253"/>
      <c r="E35" s="3253"/>
      <c r="F35" s="8">
        <f>C10</f>
        <v>0</v>
      </c>
      <c r="G35" s="2438"/>
      <c r="H35" s="2438"/>
      <c r="I35" s="2438"/>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3"/>
      <c r="T35" s="138" t="str">
        <f>IF(T34="一通",L35,IF(T34="二通",M35,IF(T34="三通",N35,IF(T34="四通",O35,IF(T34="五通",P35,IF(T34="六通",Q35,R35))))))</f>
        <v>、、、、、、</v>
      </c>
      <c r="U35" s="2244"/>
      <c r="V35" s="2244"/>
    </row>
    <row r="36" spans="1:30">
      <c r="A36" s="2183"/>
      <c r="B36" s="8" t="s">
        <v>2183</v>
      </c>
      <c r="C36" s="8" t="s">
        <v>2184</v>
      </c>
      <c r="D36" s="8" t="s">
        <v>2182</v>
      </c>
      <c r="E36" s="8" t="s">
        <v>2187</v>
      </c>
      <c r="F36" s="2796" t="s">
        <v>2577</v>
      </c>
      <c r="G36" s="2438"/>
      <c r="H36" s="2438"/>
      <c r="I36" s="2438"/>
      <c r="J36" s="2244"/>
      <c r="K36" s="2398"/>
      <c r="L36" s="2395"/>
      <c r="M36" s="2395"/>
      <c r="N36" s="2244"/>
      <c r="O36" s="1670"/>
      <c r="P36" s="2244"/>
      <c r="Q36" s="2244"/>
      <c r="R36" s="2244"/>
      <c r="S36" s="2244"/>
      <c r="T36" s="2244"/>
      <c r="U36" s="2244"/>
      <c r="V36" s="2244"/>
    </row>
    <row r="37" spans="1:30">
      <c r="A37" s="2411" t="s">
        <v>2228</v>
      </c>
      <c r="B37" s="2236"/>
      <c r="C37" s="2236" t="s">
        <v>304</v>
      </c>
      <c r="D37" s="2236"/>
      <c r="E37" s="2236"/>
      <c r="F37" s="2236"/>
      <c r="G37" s="2438"/>
      <c r="H37" s="2438"/>
      <c r="I37" s="2438"/>
      <c r="J37" s="2244"/>
      <c r="K37" s="2398"/>
      <c r="L37" s="2395"/>
      <c r="M37" s="2395"/>
      <c r="N37" s="2244"/>
      <c r="O37" s="1670"/>
      <c r="P37" s="2244"/>
      <c r="Q37" s="2244"/>
      <c r="R37" s="2244"/>
      <c r="S37" s="2244"/>
      <c r="T37" s="2244"/>
      <c r="U37" s="2244"/>
      <c r="V37" s="2244"/>
    </row>
    <row r="38" spans="1:30" ht="13.8" thickBot="1">
      <c r="A38" s="2412" t="s">
        <v>2229</v>
      </c>
      <c r="B38" s="2237"/>
      <c r="C38" s="2237" t="s">
        <v>3448</v>
      </c>
      <c r="D38" s="2237"/>
      <c r="E38" s="2237"/>
      <c r="F38" s="2237"/>
      <c r="G38" s="2439"/>
      <c r="H38" s="2439"/>
      <c r="I38" s="2439"/>
      <c r="J38" s="2244"/>
      <c r="K38" s="2398"/>
      <c r="L38" s="2395"/>
      <c r="M38" s="2395"/>
      <c r="N38" s="2244"/>
      <c r="O38" s="1670"/>
      <c r="P38" s="2244"/>
      <c r="Q38" s="2244"/>
      <c r="R38" s="2244"/>
      <c r="S38" s="2244"/>
      <c r="T38" s="2244"/>
      <c r="U38" s="2244"/>
      <c r="V38" s="2244"/>
    </row>
    <row r="39" spans="1:30" s="2240" customFormat="1" ht="14.4" thickTop="1" thickBot="1">
      <c r="A39" s="2238" t="s">
        <v>2230</v>
      </c>
      <c r="B39" s="2239"/>
      <c r="C39" s="2239"/>
      <c r="D39" s="2239"/>
      <c r="E39" s="2239"/>
      <c r="F39" s="2239"/>
      <c r="G39" s="2239"/>
      <c r="H39" s="2239"/>
      <c r="I39" s="2239"/>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2"/>
      <c r="B40" s="2182"/>
      <c r="C40" s="2182"/>
      <c r="D40" s="2182"/>
      <c r="E40" s="2182"/>
      <c r="F40" s="2182"/>
      <c r="G40" s="2182"/>
      <c r="H40" s="2182"/>
      <c r="I40" s="1466"/>
      <c r="J40" s="2244"/>
      <c r="K40" s="2397"/>
      <c r="L40" s="1670"/>
      <c r="M40" s="1670"/>
      <c r="N40" s="2244"/>
      <c r="O40" s="1670"/>
      <c r="P40" s="2244"/>
      <c r="Q40" s="2244"/>
      <c r="R40" s="2244"/>
      <c r="S40" s="2244"/>
      <c r="T40" s="2244"/>
      <c r="U40" s="2244"/>
      <c r="V40" s="2244"/>
    </row>
    <row r="41" spans="1:30">
      <c r="A41" s="2241" t="s">
        <v>2231</v>
      </c>
      <c r="B41" s="1627"/>
      <c r="C41" s="1281"/>
      <c r="D41" s="2182"/>
      <c r="E41" s="2182"/>
      <c r="F41" s="2182"/>
      <c r="G41" s="2182"/>
      <c r="H41" s="2182"/>
      <c r="I41" s="1466"/>
      <c r="J41" s="2244"/>
      <c r="K41" s="2398"/>
      <c r="L41" s="2395"/>
      <c r="M41" s="2395"/>
      <c r="N41" s="2244"/>
      <c r="O41" s="1670"/>
      <c r="P41" s="2244"/>
      <c r="Q41" s="2244"/>
      <c r="R41" s="2244"/>
      <c r="S41" s="2244"/>
      <c r="T41" s="2244"/>
      <c r="U41" s="2244"/>
      <c r="V41" s="2244"/>
    </row>
    <row r="42" spans="1:30" ht="25.2">
      <c r="A42" s="315" t="s">
        <v>2232</v>
      </c>
      <c r="B42" s="8" t="s">
        <v>2233</v>
      </c>
      <c r="C42" s="8" t="s">
        <v>2234</v>
      </c>
      <c r="D42" s="8" t="s">
        <v>2235</v>
      </c>
      <c r="E42" s="8" t="s">
        <v>2236</v>
      </c>
      <c r="F42" s="8" t="s">
        <v>2237</v>
      </c>
      <c r="G42" s="8" t="s">
        <v>2238</v>
      </c>
      <c r="H42" s="8" t="s">
        <v>2239</v>
      </c>
      <c r="I42" s="8" t="s">
        <v>2240</v>
      </c>
      <c r="J42" s="2407" t="s">
        <v>2241</v>
      </c>
      <c r="K42" s="2408" t="s">
        <v>2242</v>
      </c>
      <c r="L42" s="2408" t="s">
        <v>2243</v>
      </c>
      <c r="M42" s="2408" t="s">
        <v>2244</v>
      </c>
      <c r="N42" s="2401" t="s">
        <v>2245</v>
      </c>
      <c r="O42" s="2401" t="s">
        <v>2246</v>
      </c>
      <c r="P42" s="2401" t="s">
        <v>2247</v>
      </c>
      <c r="Q42" s="2402" t="s">
        <v>2248</v>
      </c>
      <c r="R42" s="2402" t="s">
        <v>2249</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911.72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911.72</v>
      </c>
      <c r="H5" s="13">
        <f t="shared" ref="H5:AT5" si="0">SUM(H13:H656)</f>
        <v>911.72</v>
      </c>
      <c r="I5" s="13">
        <f t="shared" si="0"/>
        <v>911.72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94.78</v>
      </c>
      <c r="BA5" s="15">
        <f t="shared" si="1"/>
        <v>94.78</v>
      </c>
      <c r="BB5" s="15">
        <f t="shared" si="1"/>
        <v>94.78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3449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3526">
        <f>面积信息!$G$2</f>
        <v>1001</v>
      </c>
      <c r="D13" s="1513" t="s">
        <v>3443</v>
      </c>
      <c r="E13" s="13">
        <f>IF($C$3="是",ROUND($A$3*G13/$B$3,2),ROUND($A$3*(G13-AT13)/$B$3,2))</f>
        <v>0</v>
      </c>
      <c r="F13" s="29"/>
      <c r="G13" s="30">
        <f>H13+AC13+AT13</f>
        <v>94.78</v>
      </c>
      <c r="H13" s="17">
        <f>SUMIF(I$12:AB$12,"总值",I13:AB13)</f>
        <v>94.78</v>
      </c>
      <c r="I13" s="1514">
        <f>面积信息!$H$2</f>
        <v>94.78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1001</v>
      </c>
      <c r="AY13" s="1260">
        <f>ROUND($AY$6*AZ13/$AZ$5,2)</f>
        <v>0</v>
      </c>
      <c r="AZ13" s="13">
        <f>BA13+BL13</f>
        <v>94.78</v>
      </c>
      <c r="BA13" s="13">
        <f>SUM(BB13:BK13)</f>
        <v>94.78</v>
      </c>
      <c r="BB13" s="13">
        <f>IF($D13="是",I13-J13,0)</f>
        <v>94.78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3526">
        <f>面积信息!$G$3</f>
        <v>1002</v>
      </c>
      <c r="D14" s="1513"/>
      <c r="E14" s="13">
        <f>IF($C$3="是",ROUND($A$3*G14/$B$3,2),ROUND($A$3*(G14-AT14)/$B$3,2))</f>
        <v>0</v>
      </c>
      <c r="F14" s="29"/>
      <c r="G14" s="30">
        <f>H14+AC14+AT14</f>
        <v>88.79</v>
      </c>
      <c r="H14" s="17">
        <f>SUMIF(I$12:AB$12,"总值",I14:AB14)</f>
        <v>88.79</v>
      </c>
      <c r="I14" s="1514">
        <f>面积信息!$H$3</f>
        <v>88.79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1002</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3526">
        <f>面积信息!$G$4</f>
        <v>1004</v>
      </c>
      <c r="D15" s="1513"/>
      <c r="E15" s="13">
        <f>IF($C$3="是",ROUND($A$3*G15/$B$3,2),ROUND($A$3*(G15-AT15)/$B$3,2))</f>
        <v>0</v>
      </c>
      <c r="F15" s="29"/>
      <c r="G15" s="30">
        <f>H15+AC15+AT15</f>
        <v>89.13</v>
      </c>
      <c r="H15" s="17">
        <f>SUMIF(I$12:AB$12,"总值",I15:AB15)</f>
        <v>89.13</v>
      </c>
      <c r="I15" s="1514">
        <f>面积信息!$H$4</f>
        <v>89.13</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1004</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3526">
        <f>面积信息!$G$5</f>
        <v>1005</v>
      </c>
      <c r="D16" s="1513"/>
      <c r="E16" s="13">
        <f>IF($C$3="是",ROUND($A$3*G16/$B$3,2),ROUND($A$3*(G16-AT16)/$B$3,2))</f>
        <v>0</v>
      </c>
      <c r="F16" s="29"/>
      <c r="G16" s="30">
        <f>H16+AC16+AT16</f>
        <v>94.45</v>
      </c>
      <c r="H16" s="17">
        <f>SUMIF(I$12:AB$12,"总值",I16:AB16)</f>
        <v>94.45</v>
      </c>
      <c r="I16" s="1514">
        <f>面积信息!$H$5</f>
        <v>94.45</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1005</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3526">
        <f>面积信息!$G$6</f>
        <v>1006</v>
      </c>
      <c r="D17" s="1513"/>
      <c r="E17" s="13">
        <f>IF($C$3="是",ROUND($A$3*G17/$B$3,2),ROUND($A$3*(G17-AT17)/$B$3,2))</f>
        <v>0</v>
      </c>
      <c r="F17" s="29"/>
      <c r="G17" s="30">
        <f>H17+AC17+AT17</f>
        <v>132.94</v>
      </c>
      <c r="H17" s="17">
        <f>SUMIF(I$12:AB$12,"总值",I17:AB17)</f>
        <v>132.94</v>
      </c>
      <c r="I17" s="1514">
        <f>面积信息!$H$6</f>
        <v>132.94</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1006</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527">
        <f>面积信息!$G$7</f>
        <v>1007</v>
      </c>
      <c r="D18" s="1516"/>
      <c r="E18" s="32">
        <f t="shared" ref="E18:E112" si="7">IF($C$3="是",ROUND($A$3*G18/$B$3,2),ROUND($A$3*(G18-AT18)/$B$3,2))</f>
        <v>0</v>
      </c>
      <c r="F18" s="33"/>
      <c r="G18" s="34">
        <f t="shared" ref="G18:G109" si="8">H18+AC18+AT18</f>
        <v>94.78</v>
      </c>
      <c r="H18" s="35">
        <f t="shared" ref="H18:H109" si="9">SUMIF(I$12:AB$12,"总值",I18:AB18)</f>
        <v>94.78</v>
      </c>
      <c r="I18" s="1514">
        <f>面积信息!$H$7</f>
        <v>94.78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1007</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527">
        <f>面积信息!$G$8</f>
        <v>1010</v>
      </c>
      <c r="D19" s="1516"/>
      <c r="E19" s="32">
        <f t="shared" si="7"/>
        <v>0</v>
      </c>
      <c r="F19" s="33"/>
      <c r="G19" s="34">
        <f t="shared" si="8"/>
        <v>89.13</v>
      </c>
      <c r="H19" s="35">
        <f t="shared" si="9"/>
        <v>89.13</v>
      </c>
      <c r="I19" s="1514">
        <f>面积信息!$H$8</f>
        <v>89.13</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1010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527">
        <f>面积信息!$G$9</f>
        <v>1011</v>
      </c>
      <c r="D20" s="1516"/>
      <c r="E20" s="32">
        <f t="shared" si="7"/>
        <v>0</v>
      </c>
      <c r="F20" s="33"/>
      <c r="G20" s="34">
        <f t="shared" si="8"/>
        <v>94.78</v>
      </c>
      <c r="H20" s="35">
        <f t="shared" si="9"/>
        <v>94.78</v>
      </c>
      <c r="I20" s="1514">
        <f>面积信息!$H$9</f>
        <v>94.78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1011</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527">
        <f>面积信息!$G$10</f>
        <v>1012</v>
      </c>
      <c r="D21" s="1516"/>
      <c r="E21" s="32">
        <f t="shared" si="7"/>
        <v>0</v>
      </c>
      <c r="F21" s="33"/>
      <c r="G21" s="34">
        <f t="shared" si="8"/>
        <v>132.94</v>
      </c>
      <c r="H21" s="35">
        <f t="shared" si="9"/>
        <v>132.94</v>
      </c>
      <c r="I21" s="36">
        <f>面积信息!$H$10</f>
        <v>132.94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1012</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9" t="s">
        <v>1131</v>
      </c>
      <c r="B2" s="3269"/>
      <c r="C2" s="3269"/>
      <c r="D2" s="748" t="s">
        <v>1107</v>
      </c>
      <c r="E2" s="1523" t="s">
        <v>1108</v>
      </c>
      <c r="F2" s="2435"/>
      <c r="G2" s="2428"/>
      <c r="H2" s="2429"/>
      <c r="I2" s="2146" t="s">
        <v>1132</v>
      </c>
      <c r="J2" s="2435"/>
      <c r="K2" s="2435"/>
      <c r="L2" s="2435"/>
      <c r="M2" s="2435"/>
      <c r="N2" s="2436"/>
      <c r="O2" s="2435"/>
      <c r="P2" s="2435"/>
    </row>
    <row r="3" spans="1:16" ht="15" thickBot="1">
      <c r="A3" s="3270" t="s">
        <v>1105</v>
      </c>
      <c r="B3" s="3270"/>
      <c r="C3" s="3270"/>
      <c r="D3" s="41">
        <f>'数据-基础表'!AY6</f>
        <v>0</v>
      </c>
      <c r="E3" s="41">
        <f>'数据-基础表'!AZ5</f>
        <v>94.78</v>
      </c>
      <c r="F3" s="2435"/>
      <c r="G3" s="42"/>
      <c r="H3" s="43" t="s">
        <v>1106</v>
      </c>
      <c r="I3" s="802" t="e">
        <f>ROUND('数据-基础表'!B3/'数据-基础表'!A3,2)</f>
        <v>#DIV/0!</v>
      </c>
      <c r="J3" s="2435"/>
      <c r="K3" s="2435"/>
      <c r="L3" s="2435"/>
      <c r="M3" s="2435"/>
      <c r="N3" s="2436"/>
      <c r="O3" s="2435"/>
      <c r="P3" s="2435"/>
    </row>
    <row r="4" spans="1:16" ht="14.4">
      <c r="A4" s="3271"/>
      <c r="B4" s="3272"/>
      <c r="C4" s="3273"/>
      <c r="D4" s="1524" t="s">
        <v>1107</v>
      </c>
      <c r="E4" s="1525" t="s">
        <v>1108</v>
      </c>
      <c r="F4" s="2435"/>
      <c r="G4" s="2430" t="s">
        <v>1133</v>
      </c>
      <c r="H4" s="43" t="s">
        <v>1113</v>
      </c>
      <c r="I4" s="802" t="e">
        <f>ROUND(SUMIF('数据-基础表'!I9:AS9,"地上",'数据-基础表'!I5:AS5)/'数据-基础表'!A3,2)</f>
        <v>#DIV/0!</v>
      </c>
      <c r="J4" s="2435"/>
      <c r="K4" s="2435"/>
      <c r="L4" s="2435"/>
      <c r="M4" s="2435"/>
      <c r="N4" s="2436"/>
      <c r="O4" s="2435"/>
      <c r="P4" s="2435"/>
    </row>
    <row r="5" spans="1:16" ht="14.4">
      <c r="A5" s="42" t="s">
        <v>1109</v>
      </c>
      <c r="B5" s="3274" t="s">
        <v>1110</v>
      </c>
      <c r="C5" s="3274"/>
      <c r="D5" s="43">
        <f>ROUND($D$3*E5/$E$3,2)</f>
        <v>0</v>
      </c>
      <c r="E5" s="44">
        <f>SUMIF('数据-基础表'!$11:$11,"住宅",'数据-基础表'!$5:$5)</f>
        <v>0</v>
      </c>
      <c r="F5" s="2435"/>
      <c r="G5" s="42"/>
      <c r="H5" s="43" t="s">
        <v>1106</v>
      </c>
      <c r="I5" s="802" t="e">
        <f>ROUND(E31/D31,2)</f>
        <v>#DIV/0!</v>
      </c>
      <c r="J5" s="2435"/>
      <c r="K5" s="2435"/>
      <c r="L5" s="2435"/>
      <c r="M5" s="2435"/>
      <c r="N5" s="2435"/>
      <c r="O5" s="2435"/>
      <c r="P5" s="2435"/>
    </row>
    <row r="6" spans="1:16" ht="15" thickBot="1">
      <c r="A6" s="1527"/>
      <c r="B6" s="3274" t="s">
        <v>1111</v>
      </c>
      <c r="C6" s="3274"/>
      <c r="D6" s="43">
        <f>ROUND($D$3*E6/$E$3,2)</f>
        <v>0</v>
      </c>
      <c r="E6" s="44">
        <f>E3-E5</f>
        <v>94.78</v>
      </c>
      <c r="F6" s="2435"/>
      <c r="G6" s="1529" t="s">
        <v>1112</v>
      </c>
      <c r="H6" s="45" t="s">
        <v>1113</v>
      </c>
      <c r="I6" s="2431" t="e">
        <f>ROUND(F31/D31,2)</f>
        <v>#DIV/0!</v>
      </c>
      <c r="J6" s="2435"/>
      <c r="K6" s="2435"/>
      <c r="L6" s="2435"/>
      <c r="M6" s="2435"/>
      <c r="N6" s="2435"/>
      <c r="O6" s="2435"/>
      <c r="P6" s="2435"/>
    </row>
    <row r="7" spans="1:16" ht="15" thickBot="1">
      <c r="A7" s="3266"/>
      <c r="B7" s="3267"/>
      <c r="C7" s="3268"/>
      <c r="D7" s="1524" t="s">
        <v>1107</v>
      </c>
      <c r="E7" s="1528" t="s">
        <v>1114</v>
      </c>
      <c r="F7" s="2435"/>
      <c r="G7" s="2432" t="s">
        <v>1115</v>
      </c>
      <c r="H7" s="95"/>
      <c r="I7" s="2433">
        <v>3</v>
      </c>
      <c r="J7" s="3176" t="s">
        <v>3533</v>
      </c>
      <c r="K7" s="2435"/>
      <c r="L7" s="2435"/>
      <c r="M7" s="2435"/>
      <c r="N7" s="2435"/>
      <c r="O7" s="2435"/>
      <c r="P7" s="2435"/>
    </row>
    <row r="8" spans="1:16" ht="14.4">
      <c r="A8" s="42" t="s">
        <v>1116</v>
      </c>
      <c r="B8" s="45" t="s">
        <v>1117</v>
      </c>
      <c r="C8" s="43" t="s">
        <v>1118</v>
      </c>
      <c r="D8" s="43">
        <f t="shared" ref="D8:D15" si="0">ROUND($D$3*E8/$E$3,2)</f>
        <v>0</v>
      </c>
      <c r="E8" s="46">
        <f>SUMIF('数据-基础表'!BB10:BK10,"地上",'数据-基础表'!BB5:BK5)</f>
        <v>94.78</v>
      </c>
      <c r="F8" s="2435"/>
      <c r="G8" s="2435"/>
      <c r="H8" s="2435"/>
      <c r="I8" s="2435"/>
      <c r="J8" s="2435"/>
      <c r="K8" s="2435"/>
      <c r="L8" s="2435"/>
      <c r="M8" s="2435"/>
      <c r="N8" s="2435"/>
      <c r="O8" s="2435"/>
      <c r="P8" s="2435"/>
    </row>
    <row r="9" spans="1:16" ht="14.4">
      <c r="A9" s="1529"/>
      <c r="B9" s="1530"/>
      <c r="C9" s="43" t="s">
        <v>1119</v>
      </c>
      <c r="D9" s="43">
        <f t="shared" si="0"/>
        <v>0</v>
      </c>
      <c r="E9" s="47">
        <v>0</v>
      </c>
      <c r="F9" s="2435"/>
      <c r="G9" s="2435"/>
      <c r="H9" s="2435"/>
      <c r="I9" s="2435"/>
      <c r="J9" s="2435"/>
      <c r="K9" s="2435"/>
      <c r="L9" s="2435"/>
      <c r="M9" s="2435"/>
      <c r="N9" s="2435"/>
      <c r="O9" s="2435"/>
      <c r="P9" s="2435"/>
    </row>
    <row r="10" spans="1:16" ht="14.4">
      <c r="A10" s="1529"/>
      <c r="B10" s="1530"/>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9"/>
      <c r="B11" s="1530"/>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9"/>
      <c r="B12" s="1530"/>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9"/>
      <c r="B13" s="1530"/>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9"/>
      <c r="B14" s="1530"/>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9"/>
      <c r="B15" s="1530"/>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7"/>
      <c r="B16" s="1530"/>
      <c r="C16" s="45" t="s">
        <v>1123</v>
      </c>
      <c r="D16" s="45">
        <f>SUM(D8:D15)</f>
        <v>0</v>
      </c>
      <c r="E16" s="48">
        <f>SUM(E8:E15)</f>
        <v>94.78</v>
      </c>
      <c r="F16" s="2435"/>
      <c r="G16" s="2435"/>
      <c r="H16" s="1531" t="s">
        <v>1135</v>
      </c>
      <c r="I16" s="1532"/>
      <c r="J16" s="1071"/>
      <c r="K16" s="3263" t="s">
        <v>1135</v>
      </c>
      <c r="L16" s="3264"/>
      <c r="M16" s="3264"/>
      <c r="N16" s="3264"/>
      <c r="O16" s="3264"/>
      <c r="P16" s="3265"/>
    </row>
    <row r="17" spans="1:19" ht="14.4">
      <c r="A17" s="1533" t="s">
        <v>1136</v>
      </c>
      <c r="B17" s="1534" t="s">
        <v>1137</v>
      </c>
      <c r="C17" s="1535" t="s">
        <v>1138</v>
      </c>
      <c r="D17" s="1536" t="s">
        <v>1126</v>
      </c>
      <c r="E17" s="1537" t="s">
        <v>1127</v>
      </c>
      <c r="F17" s="1538"/>
      <c r="G17" s="1539"/>
      <c r="H17" s="1540" t="s">
        <v>1139</v>
      </c>
      <c r="I17" s="1541" t="s">
        <v>1124</v>
      </c>
      <c r="J17" s="1071"/>
      <c r="K17" s="3260" t="s">
        <v>1140</v>
      </c>
      <c r="L17" s="3261"/>
      <c r="M17" s="3262"/>
      <c r="N17" s="3260" t="s">
        <v>1141</v>
      </c>
      <c r="O17" s="3261"/>
      <c r="P17" s="326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1">
        <v>1001</v>
      </c>
      <c r="D19" s="43">
        <f>ROUND($D$3*E19/$E$3,2)</f>
        <v>0</v>
      </c>
      <c r="E19" s="51">
        <f t="shared" ref="E19:E26" si="1">SUM(F19:G19)</f>
        <v>94.78</v>
      </c>
      <c r="F19" s="2553">
        <f>'数据-基础表'!G13</f>
        <v>94.78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94.78</v>
      </c>
    </row>
    <row r="20" spans="1:19" ht="14.4">
      <c r="A20" s="1549"/>
      <c r="B20" s="45" t="s">
        <v>1153</v>
      </c>
      <c r="C20" s="3111"/>
      <c r="D20" s="43">
        <f t="shared" ref="D20:D26" si="6">ROUND($D$3*E20/$E$3,2)</f>
        <v>0</v>
      </c>
      <c r="E20" s="51">
        <f t="shared" si="1"/>
        <v>0</v>
      </c>
      <c r="F20" s="2553"/>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1"/>
      <c r="D21" s="43">
        <f t="shared" si="6"/>
        <v>0</v>
      </c>
      <c r="E21" s="51">
        <f t="shared" si="1"/>
        <v>0</v>
      </c>
      <c r="F21" s="2553"/>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94.78</v>
      </c>
      <c r="F27" s="1072">
        <f>IF(SUM(F19:F26)=E8,SUM(F19:F26),"地上面积有误")</f>
        <v>94.78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94.78</v>
      </c>
    </row>
    <row r="28" spans="1:19" ht="14.4">
      <c r="A28" s="1549"/>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9"/>
      <c r="B29" s="45" t="s">
        <v>1155</v>
      </c>
      <c r="C29" s="1555"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9"/>
      <c r="B30" s="45"/>
      <c r="C30" s="1556" t="s">
        <v>1154</v>
      </c>
      <c r="D30" s="1072">
        <f>SUM(D28:D29)</f>
        <v>0</v>
      </c>
      <c r="E30" s="1072">
        <f>SUM(E28:E29)</f>
        <v>0</v>
      </c>
      <c r="F30" s="1072">
        <f>SUM(F28:F29)</f>
        <v>0</v>
      </c>
      <c r="G30" s="1074">
        <f>SUM(G28:G29)</f>
        <v>0</v>
      </c>
      <c r="H30" s="2435"/>
      <c r="I30" s="2435"/>
      <c r="J30" s="2435"/>
      <c r="K30" s="2435"/>
      <c r="L30" s="2435"/>
      <c r="M30" s="2435"/>
      <c r="N30" s="2435"/>
      <c r="O30" s="2435"/>
      <c r="P30" s="2435"/>
    </row>
    <row r="31" spans="1:19" ht="15" thickBot="1">
      <c r="A31" s="1557"/>
      <c r="B31" s="96"/>
      <c r="C31" s="785" t="s">
        <v>1158</v>
      </c>
      <c r="D31" s="643">
        <f>D27+D30</f>
        <v>0</v>
      </c>
      <c r="E31" s="643">
        <f>E27+E30</f>
        <v>94.78</v>
      </c>
      <c r="F31" s="644">
        <f>F27+F30</f>
        <v>94.78</v>
      </c>
      <c r="G31" s="645">
        <f>G27+G30</f>
        <v>0</v>
      </c>
      <c r="H31" s="2435"/>
      <c r="I31" s="2435"/>
      <c r="J31" s="2435"/>
      <c r="K31" s="2435"/>
      <c r="L31" s="2435"/>
      <c r="M31" s="2435"/>
      <c r="N31" s="2435"/>
      <c r="O31" s="2435"/>
      <c r="P31" s="2435"/>
    </row>
    <row r="32" spans="1:19" ht="14.4">
      <c r="A32" s="1526"/>
      <c r="B32" s="1526" t="s">
        <v>1159</v>
      </c>
      <c r="C32" s="1526"/>
      <c r="D32" s="1526"/>
      <c r="E32" s="990">
        <f>SUMIF(C19:C26,"*住宅*",E19:E26)</f>
        <v>0</v>
      </c>
      <c r="F32" s="1526"/>
      <c r="G32" s="1526"/>
      <c r="H32" s="2435"/>
      <c r="I32" s="2435"/>
      <c r="J32" s="2435"/>
      <c r="K32" s="2435"/>
      <c r="L32" s="2435"/>
      <c r="M32" s="2435"/>
      <c r="N32" s="2435"/>
      <c r="O32" s="2435"/>
      <c r="P32" s="2435"/>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23" sqref="U23"/>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1" customFormat="1" ht="15" thickBot="1">
      <c r="A2" s="1562" t="s">
        <v>1161</v>
      </c>
      <c r="B2" s="984">
        <f>项目基本情况!D3</f>
        <v>45828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4"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5"/>
      <c r="AO4" s="2435"/>
      <c r="AP4" s="2435"/>
      <c r="AQ4" s="2435"/>
      <c r="AR4" s="2435"/>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1001</v>
      </c>
      <c r="B6" s="1587" t="str">
        <f>IF(A6=0,"","经营性")</f>
        <v>经营性</v>
      </c>
      <c r="C6" s="1588" t="s">
        <v>21</v>
      </c>
      <c r="D6" s="805">
        <f>SUMIF(项目基本情况!C$12:I$12,C6,项目基本情况!C$14:I$14)</f>
        <v>50</v>
      </c>
      <c r="E6" s="804">
        <f>IF(B6="","",SUMIF(项目基本情况!C$12:I$12,C6,项目基本情况!C$13:I$13))</f>
        <v>59636</v>
      </c>
      <c r="F6" s="61">
        <f>SUMIF(项目基本情况!C$12:I$12,C6,项目基本情况!C$15:I$15)</f>
        <v>37.83</v>
      </c>
      <c r="G6" s="62">
        <f>IF(ISERROR(ROUND(POWER(1+H6,D6-F6)*(POWER(1+H6,F6)-1)/(POWER(1+H6,D6)-1),3)),0,ROUND(POWER(1+H6,D6-F6)*(POWER(1+H6,F6)-1)/(POWER(1+H6,D6)-1),3))</f>
        <v>0.92300000000000004</v>
      </c>
      <c r="H6" s="691">
        <v>0.05</v>
      </c>
      <c r="I6" s="691">
        <v>5.5E-2</v>
      </c>
      <c r="J6" s="63">
        <v>7.0000000000000007E-2</v>
      </c>
      <c r="K6" s="970">
        <f>SUMIF('数据-汇总表'!C$19:C$33,A6,'数据-汇总表'!E$19:E$33)</f>
        <v>94.78</v>
      </c>
      <c r="L6" s="692">
        <v>4000</v>
      </c>
      <c r="M6" s="64">
        <f t="shared" ref="M6:M14" si="0">ROUND(K6*L6/10000,0)</f>
        <v>38</v>
      </c>
      <c r="N6" s="690">
        <f>N18</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2">
        <v>1.5</v>
      </c>
      <c r="V6" s="3529">
        <v>1.4999999999999999E-2</v>
      </c>
      <c r="W6" s="67">
        <v>0.1</v>
      </c>
      <c r="X6" s="979"/>
      <c r="Y6" s="68">
        <f>N6</f>
        <v>0.83</v>
      </c>
      <c r="Z6" s="69"/>
      <c r="AA6" s="63"/>
      <c r="AB6" s="63"/>
      <c r="AC6" s="979"/>
      <c r="AD6" s="70"/>
      <c r="AE6" s="980">
        <f ca="1">IF(AN6="",0,SUMIF(INDIRECT("'"&amp;AN6&amp;"'"&amp;"!E:E"),$AE$5,INDIRECT("'"&amp;AN6&amp;"'"&amp;"!F:F")))</f>
        <v>37.83</v>
      </c>
      <c r="AF6" s="74"/>
      <c r="AG6" s="130">
        <f>IF(AF6="",0,AE6-AF6)</f>
        <v>0</v>
      </c>
      <c r="AH6" s="71"/>
      <c r="AI6" s="73">
        <v>365</v>
      </c>
      <c r="AJ6" s="74"/>
      <c r="AK6" s="75">
        <v>3.0000000000000001E-3</v>
      </c>
      <c r="AL6" s="76">
        <v>1E-3</v>
      </c>
      <c r="AM6" s="77">
        <v>5.0000000000000001E-3</v>
      </c>
      <c r="AN6" s="1589" t="s">
        <v>3454</v>
      </c>
      <c r="AO6" s="50">
        <f ca="1">SUMIF(INDIRECT("'"&amp;AN6&amp;"'"&amp;"!A:A"),"总价",INDIRECT("'"&amp;AN6&amp;"'"&amp;"!B:B"))</f>
        <v>71.690899999999999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4"/>
      <c r="AO14" s="2435"/>
      <c r="AP14" s="2435"/>
      <c r="AQ14" s="2435"/>
      <c r="AR14" s="2435"/>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4"/>
      <c r="AO15" s="2435"/>
      <c r="AP15" s="2435"/>
      <c r="AQ15" s="2435"/>
      <c r="AR15" s="2435"/>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0.92300000000000004</v>
      </c>
      <c r="H16" s="84">
        <f>ROUND(SUMPRODUCT(H6:H13,K6:K13)/SUMPRODUCT((H6:H13&gt;0)*(K6:K13)),3)</f>
        <v>0.05</v>
      </c>
      <c r="I16" s="85"/>
      <c r="J16" s="85"/>
      <c r="K16" s="86">
        <f>SUM(K6:K15)</f>
        <v>94.78</v>
      </c>
      <c r="L16" s="87">
        <f>ROUND(M16*10000/SUM(K6:K14),0)</f>
        <v>4009</v>
      </c>
      <c r="M16" s="87">
        <f>SUM(M6:M14)</f>
        <v>38</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3"/>
      <c r="C17" s="2444"/>
      <c r="D17" s="2446"/>
      <c r="E17" s="2446"/>
      <c r="F17" s="2444"/>
      <c r="G17" s="2444"/>
      <c r="H17" s="2444"/>
      <c r="I17" s="2444"/>
      <c r="J17" s="2444"/>
      <c r="K17" s="2445"/>
      <c r="L17" s="2445"/>
      <c r="M17" s="3164" t="s">
        <v>3451</v>
      </c>
      <c r="N17" s="2444">
        <v>2015</v>
      </c>
      <c r="O17" s="3165" t="s">
        <v>3452</v>
      </c>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3167">
        <f>N17-B20+50</f>
        <v>2063</v>
      </c>
      <c r="L18" s="2445"/>
      <c r="M18" s="3164" t="s">
        <v>3453</v>
      </c>
      <c r="N18" s="2444">
        <f>ROUND(1-(1-0)*(2025-N17)/60,2)</f>
        <v>0.83</v>
      </c>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6" t="s">
        <v>1211</v>
      </c>
      <c r="B19" s="97">
        <v>0</v>
      </c>
      <c r="C19" s="2556" t="s">
        <v>2300</v>
      </c>
      <c r="D19" s="2447"/>
      <c r="E19" s="2435"/>
      <c r="F19" s="2435"/>
      <c r="G19" s="2435"/>
      <c r="H19" s="2435"/>
      <c r="I19" s="2435"/>
      <c r="J19" s="2435"/>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7" t="s">
        <v>1212</v>
      </c>
      <c r="B20" s="98">
        <v>2</v>
      </c>
      <c r="C20" s="2557" t="s">
        <v>2298</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8" t="s">
        <v>1213</v>
      </c>
      <c r="B21" s="98">
        <f>B20</f>
        <v>2</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7"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8"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9"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9"/>
      <c r="B25" s="1542"/>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2" t="s">
        <v>1217</v>
      </c>
      <c r="B26" s="1600"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601" t="s">
        <v>1220</v>
      </c>
      <c r="B27" s="101">
        <v>160</v>
      </c>
      <c r="C27" s="2558" t="s">
        <v>2302</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2"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3" t="s">
        <v>1222</v>
      </c>
      <c r="B29" s="105"/>
      <c r="C29" s="2559" t="s">
        <v>2292</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4"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2"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5"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601" t="s">
        <v>1226</v>
      </c>
      <c r="B33" s="640">
        <v>0.05</v>
      </c>
      <c r="C33" s="2560" t="s">
        <v>3380</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2" t="s">
        <v>1227</v>
      </c>
      <c r="B34" s="106">
        <v>0</v>
      </c>
      <c r="C34" s="2560" t="s">
        <v>2293</v>
      </c>
      <c r="D34" s="2455" t="s">
        <v>2299</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2" t="s">
        <v>1228</v>
      </c>
      <c r="B35" s="103">
        <v>200</v>
      </c>
      <c r="C35" s="2560" t="s">
        <v>2294</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3" t="s">
        <v>1229</v>
      </c>
      <c r="B36" s="107">
        <v>0.02</v>
      </c>
      <c r="C36" s="2560" t="s">
        <v>3398</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4" t="s">
        <v>1230</v>
      </c>
      <c r="B37" s="108">
        <v>0.02</v>
      </c>
      <c r="C37" s="2560" t="s">
        <v>3381</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2" t="s">
        <v>1231</v>
      </c>
      <c r="B38" s="106">
        <v>0.02</v>
      </c>
      <c r="C38" s="2560" t="s">
        <v>3382</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5"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2308</v>
      </c>
      <c r="B40" s="1015">
        <f ca="1">IF(A40="利息：取LPR",存贷款利率!G1,存贷款利率!G1+C40)</f>
        <v>0.03</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601"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6"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6" t="s">
        <v>1235</v>
      </c>
      <c r="B43" s="111">
        <f>B42*(B44+B45+B46)+B47</f>
        <v>6.000000000000001E-3</v>
      </c>
      <c r="C43" s="2449"/>
      <c r="D43" s="3166" t="s">
        <v>3455</v>
      </c>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7" t="s">
        <v>1236</v>
      </c>
      <c r="B44" s="112">
        <v>7.0000000000000007E-2</v>
      </c>
      <c r="C44" s="2560" t="s">
        <v>3383</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7" t="s">
        <v>1237</v>
      </c>
      <c r="B45" s="110">
        <v>0.03</v>
      </c>
      <c r="C45" s="2559" t="s">
        <v>2295</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7" t="s">
        <v>1238</v>
      </c>
      <c r="B46" s="110">
        <v>0.02</v>
      </c>
      <c r="C46" s="2559" t="s">
        <v>2296</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8" t="s">
        <v>1239</v>
      </c>
      <c r="B47" s="113"/>
      <c r="C47" s="2562" t="s">
        <v>2303</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9" t="s">
        <v>1240</v>
      </c>
      <c r="B48" s="114">
        <v>0.03</v>
      </c>
      <c r="C48" s="2559" t="s">
        <v>2295</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5" t="s">
        <v>1241</v>
      </c>
      <c r="B49" s="110">
        <v>5.0000000000000001E-4</v>
      </c>
      <c r="C49" s="2559" t="s">
        <v>2297</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10"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3"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10" t="s">
        <v>1244</v>
      </c>
      <c r="B52" s="117">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2" t="s">
        <v>1245</v>
      </c>
      <c r="B53" s="1611" t="s">
        <v>29</v>
      </c>
      <c r="C53" s="2436" t="s">
        <v>1246</v>
      </c>
      <c r="D53" s="2561" t="s">
        <v>2301</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2"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2"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2"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2"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2"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2" t="s">
        <v>1252</v>
      </c>
      <c r="B59" s="72">
        <f>C59</f>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2"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2"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2"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3"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75" t="s">
        <v>2284</v>
      </c>
      <c r="B1" s="3276"/>
      <c r="C1" s="3276"/>
      <c r="D1" s="3276"/>
      <c r="E1" s="3276"/>
      <c r="F1" s="3276"/>
      <c r="G1" s="327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2279</v>
      </c>
      <c r="D2" s="1595"/>
      <c r="E2" s="2259"/>
      <c r="F2" s="2262"/>
      <c r="G2" s="2261" t="s">
        <v>2280</v>
      </c>
      <c r="H2" s="751"/>
      <c r="I2" s="751"/>
      <c r="J2" s="751"/>
      <c r="K2" s="751"/>
      <c r="L2" s="751"/>
      <c r="M2" s="751"/>
      <c r="N2" s="751"/>
      <c r="O2" s="751"/>
      <c r="P2" s="751"/>
      <c r="Q2" s="751"/>
    </row>
    <row r="3" spans="1:29" ht="48">
      <c r="A3" s="2246" t="s">
        <v>2281</v>
      </c>
      <c r="B3" s="2263" t="s">
        <v>2250</v>
      </c>
      <c r="C3" s="2264" t="s">
        <v>2282</v>
      </c>
      <c r="D3" s="2265"/>
      <c r="E3" s="2247" t="s">
        <v>2281</v>
      </c>
      <c r="F3" s="2266" t="s">
        <v>2251</v>
      </c>
      <c r="G3" s="2267" t="s">
        <v>2283</v>
      </c>
      <c r="H3" s="751"/>
      <c r="I3" s="751"/>
      <c r="J3" s="751"/>
      <c r="K3" s="751"/>
      <c r="L3" s="751"/>
      <c r="M3" s="751"/>
      <c r="N3" s="751"/>
      <c r="O3" s="751"/>
      <c r="P3" s="751"/>
      <c r="Q3" s="751"/>
    </row>
    <row r="4" spans="1:29" ht="37.200000000000003">
      <c r="A4" s="2247"/>
      <c r="B4" s="315" t="s">
        <v>2252</v>
      </c>
      <c r="C4" s="2268" t="s">
        <v>2253</v>
      </c>
      <c r="D4" s="2265"/>
      <c r="E4" s="2269"/>
      <c r="F4" s="1281" t="s">
        <v>2254</v>
      </c>
      <c r="G4" s="2270" t="s">
        <v>2255</v>
      </c>
      <c r="H4" s="751"/>
      <c r="I4" s="751"/>
      <c r="J4" s="751"/>
      <c r="K4" s="751"/>
      <c r="L4" s="751"/>
      <c r="M4" s="751"/>
      <c r="N4" s="751"/>
      <c r="O4" s="751"/>
      <c r="P4" s="751"/>
      <c r="Q4" s="751"/>
    </row>
    <row r="5" spans="1:29" ht="37.200000000000003">
      <c r="A5" s="2247"/>
      <c r="B5" s="315" t="s">
        <v>2256</v>
      </c>
      <c r="C5" s="2268" t="s">
        <v>2257</v>
      </c>
      <c r="D5" s="2265"/>
      <c r="E5" s="2269"/>
      <c r="F5" s="315" t="s">
        <v>2258</v>
      </c>
      <c r="G5" s="2270" t="s">
        <v>2259</v>
      </c>
      <c r="H5" s="751"/>
      <c r="I5" s="751"/>
      <c r="J5" s="751"/>
      <c r="K5" s="751"/>
      <c r="L5" s="751"/>
      <c r="M5" s="751"/>
      <c r="N5" s="751"/>
      <c r="O5" s="751"/>
      <c r="P5" s="751"/>
      <c r="Q5" s="751"/>
    </row>
    <row r="6" spans="1:29" ht="48">
      <c r="A6" s="2247"/>
      <c r="B6" s="315" t="s">
        <v>2260</v>
      </c>
      <c r="C6" s="2270" t="s">
        <v>2255</v>
      </c>
      <c r="D6" s="2265"/>
      <c r="E6" s="2269"/>
      <c r="F6" s="315" t="s">
        <v>2261</v>
      </c>
      <c r="G6" s="2270" t="s">
        <v>2262</v>
      </c>
      <c r="H6" s="751"/>
      <c r="I6" s="751"/>
      <c r="J6" s="751"/>
      <c r="K6" s="751"/>
      <c r="L6" s="751"/>
      <c r="M6" s="751"/>
      <c r="N6" s="751"/>
      <c r="O6" s="751"/>
      <c r="P6" s="751"/>
      <c r="Q6" s="751"/>
    </row>
    <row r="7" spans="1:29" ht="36.6" thickBot="1">
      <c r="A7" s="2247"/>
      <c r="B7" s="315" t="s">
        <v>2258</v>
      </c>
      <c r="C7" s="2270" t="s">
        <v>2259</v>
      </c>
      <c r="D7" s="2244"/>
      <c r="E7" s="2271"/>
      <c r="F7" s="2272" t="s">
        <v>2263</v>
      </c>
      <c r="G7" s="2273" t="s">
        <v>2264</v>
      </c>
      <c r="H7" s="751"/>
      <c r="I7" s="751"/>
      <c r="J7" s="751"/>
      <c r="K7" s="751"/>
      <c r="L7" s="751"/>
      <c r="M7" s="751"/>
      <c r="N7" s="751"/>
      <c r="O7" s="751"/>
      <c r="P7" s="751"/>
      <c r="Q7" s="751"/>
    </row>
    <row r="8" spans="1:29" ht="24">
      <c r="A8" s="2247"/>
      <c r="B8" s="315" t="s">
        <v>2261</v>
      </c>
      <c r="C8" s="2270" t="s">
        <v>2262</v>
      </c>
      <c r="D8" s="2244"/>
      <c r="E8" s="2244"/>
      <c r="F8" s="121"/>
      <c r="G8" s="121"/>
      <c r="H8" s="751"/>
      <c r="I8" s="751"/>
      <c r="J8" s="751"/>
      <c r="K8" s="751"/>
      <c r="L8" s="751"/>
      <c r="M8" s="751"/>
      <c r="N8" s="751"/>
      <c r="O8" s="751"/>
      <c r="P8" s="751"/>
      <c r="Q8" s="751"/>
    </row>
    <row r="9" spans="1:29" ht="24">
      <c r="A9" s="2247"/>
      <c r="B9" s="315" t="s">
        <v>2265</v>
      </c>
      <c r="C9" s="2268" t="s">
        <v>2266</v>
      </c>
      <c r="D9" s="2265"/>
      <c r="E9" s="2244"/>
      <c r="F9" s="121"/>
      <c r="G9" s="121"/>
      <c r="H9" s="751"/>
      <c r="I9" s="751"/>
      <c r="J9" s="751"/>
      <c r="K9" s="751"/>
      <c r="L9" s="751"/>
      <c r="M9" s="751"/>
      <c r="N9" s="751"/>
      <c r="O9" s="751"/>
      <c r="P9" s="751"/>
      <c r="Q9" s="751"/>
    </row>
    <row r="10" spans="1:29" ht="14.4" thickBot="1">
      <c r="A10" s="2248"/>
      <c r="B10" s="2274" t="s">
        <v>2267</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2285</v>
      </c>
      <c r="B13" s="2279"/>
      <c r="C13" s="2279"/>
      <c r="D13" s="2278"/>
      <c r="E13" s="2279"/>
      <c r="F13" s="2279"/>
      <c r="G13" s="2279"/>
    </row>
    <row r="14" spans="1:29" ht="14.4" thickBot="1">
      <c r="A14" s="2284"/>
      <c r="B14" s="2284"/>
      <c r="C14" s="2285" t="s">
        <v>2268</v>
      </c>
      <c r="D14" s="2265"/>
      <c r="E14" s="2286"/>
      <c r="F14" s="2286"/>
      <c r="G14" s="2261" t="s">
        <v>2269</v>
      </c>
    </row>
    <row r="15" spans="1:29" ht="52.8">
      <c r="A15" s="2249" t="s">
        <v>2270</v>
      </c>
      <c r="B15" s="2287" t="s">
        <v>2250</v>
      </c>
      <c r="C15" s="2288" t="str">
        <f>C3</f>
        <v>估价对象周边居住用地比例、居住小区规模和社区发展完善程度，综合评价居住社区成熟度一般</v>
      </c>
      <c r="D15" s="2265"/>
      <c r="E15" s="2250" t="s">
        <v>2271</v>
      </c>
      <c r="F15" s="2287" t="s">
        <v>2272</v>
      </c>
      <c r="G15" s="2289" t="str">
        <f>G3</f>
        <v>估价对象位于XX开发区，园区建设成熟度XX，产业集聚程度XX</v>
      </c>
    </row>
    <row r="16" spans="1:29" ht="39.6">
      <c r="A16" s="2251"/>
      <c r="B16" s="2290" t="s">
        <v>2252</v>
      </c>
      <c r="C16" s="2291" t="str">
        <f>C4</f>
        <v>估价对象位于XX商圈，周边商业氛围成熟，人流量大，商业繁华度好</v>
      </c>
      <c r="D16" s="2265"/>
      <c r="E16" s="2252"/>
      <c r="F16" s="2292" t="s">
        <v>2254</v>
      </c>
      <c r="G16" s="2293" t="str">
        <f>G4</f>
        <v>估价对象周边道路状况、公共交通通达情况、停车便捷程度，综合评价交通便捷度较好</v>
      </c>
    </row>
    <row r="17" spans="1:17" ht="39.6">
      <c r="A17" s="2251"/>
      <c r="B17" s="2290" t="s">
        <v>2256</v>
      </c>
      <c r="C17" s="2291" t="str">
        <f>C5</f>
        <v>估价对象位于XX商圈，周边办公楼项目较多，入驻率高，办公集聚程度较好</v>
      </c>
      <c r="D17" s="2244"/>
      <c r="E17" s="2252"/>
      <c r="F17" s="2292" t="s">
        <v>2273</v>
      </c>
      <c r="G17" s="2294"/>
    </row>
    <row r="18" spans="1:17" ht="52.8">
      <c r="A18" s="2251"/>
      <c r="B18" s="2292" t="s">
        <v>2260</v>
      </c>
      <c r="C18" s="2293" t="str">
        <f>C6</f>
        <v>估价对象周边道路状况、公共交通通达情况、停车便捷程度，综合评价交通便捷度较好</v>
      </c>
      <c r="D18" s="2244"/>
      <c r="E18" s="2252"/>
      <c r="F18" s="2292" t="s">
        <v>2263</v>
      </c>
      <c r="G18" s="2293" t="str">
        <f>G7</f>
        <v>该园区内是否有污染型企业，绿化情况，卫生条件，整体环境状况判断</v>
      </c>
    </row>
    <row r="19" spans="1:17" ht="26.4">
      <c r="A19" s="2251"/>
      <c r="B19" s="2292" t="s">
        <v>2274</v>
      </c>
      <c r="C19" s="2294"/>
      <c r="D19" s="2265"/>
      <c r="E19" s="2252"/>
      <c r="F19" s="315" t="s">
        <v>2258</v>
      </c>
      <c r="G19" s="2293" t="str">
        <f>G5</f>
        <v>估价对象所在区域公共配套设施齐备情况</v>
      </c>
    </row>
    <row r="20" spans="1:17" ht="26.4">
      <c r="A20" s="2251"/>
      <c r="B20" s="2292" t="s">
        <v>2275</v>
      </c>
      <c r="C20" s="2291" t="str">
        <f>C9</f>
        <v>区域自然环境：；人文环境；综合评价环境状况一般</v>
      </c>
      <c r="D20" s="2244"/>
      <c r="E20" s="2252"/>
      <c r="F20" s="315" t="s">
        <v>2261</v>
      </c>
      <c r="G20" s="2293" t="str">
        <f>G6</f>
        <v>估价对象所在区域基础设施水平</v>
      </c>
    </row>
    <row r="21" spans="1:17" ht="26.4">
      <c r="A21" s="2251"/>
      <c r="B21" s="315" t="s">
        <v>2258</v>
      </c>
      <c r="C21" s="2293" t="str">
        <f>C7</f>
        <v>估价对象所在区域公共配套设施齐备情况</v>
      </c>
      <c r="D21" s="2265"/>
      <c r="E21" s="2252"/>
      <c r="F21" s="2292" t="s">
        <v>2276</v>
      </c>
      <c r="G21" s="2295"/>
    </row>
    <row r="22" spans="1:17" ht="13.5" customHeight="1">
      <c r="A22" s="2251"/>
      <c r="B22" s="315" t="s">
        <v>2261</v>
      </c>
      <c r="C22" s="2293" t="str">
        <f>C8</f>
        <v>估价对象所在区域基础设施水平</v>
      </c>
      <c r="D22" s="2265"/>
      <c r="E22" s="2252"/>
      <c r="F22" s="2292" t="s">
        <v>2267</v>
      </c>
      <c r="G22" s="2294"/>
    </row>
    <row r="23" spans="1:17" s="751" customFormat="1" ht="14.4" thickBot="1">
      <c r="A23" s="2251"/>
      <c r="B23" s="2292" t="s">
        <v>2276</v>
      </c>
      <c r="C23" s="2295"/>
      <c r="D23" s="1614"/>
      <c r="E23" s="2253"/>
      <c r="F23" s="2296" t="s">
        <v>2277</v>
      </c>
      <c r="G23" s="2297"/>
      <c r="H23" s="2276"/>
      <c r="I23" s="2276"/>
      <c r="J23" s="2276"/>
      <c r="K23" s="2276"/>
      <c r="L23" s="2276"/>
      <c r="M23" s="2276"/>
      <c r="N23" s="2276"/>
      <c r="O23" s="2276"/>
      <c r="P23" s="2276"/>
      <c r="Q23" s="2276"/>
    </row>
    <row r="24" spans="1:17" s="751" customFormat="1" ht="14.4" thickBot="1">
      <c r="A24" s="2254"/>
      <c r="B24" s="2296" t="s">
        <v>2278</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O4" sqref="O4"/>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911.72</v>
      </c>
      <c r="C1" s="2457"/>
      <c r="D1" s="2457"/>
      <c r="E1" s="2457"/>
      <c r="F1" s="2457"/>
      <c r="G1" s="2458"/>
      <c r="H1" s="2458"/>
      <c r="I1" s="2458"/>
      <c r="J1" s="2458"/>
      <c r="K1" s="2458"/>
    </row>
    <row r="2" spans="1:11" ht="16.2">
      <c r="A2" s="2299" t="s">
        <v>653</v>
      </c>
      <c r="B2" s="2299">
        <f>SUM(C14:C23)</f>
        <v>0</v>
      </c>
      <c r="C2" s="2457"/>
      <c r="D2" s="2457"/>
      <c r="E2" s="2457"/>
      <c r="F2" s="2457"/>
      <c r="G2" s="2458"/>
      <c r="H2" s="2458"/>
      <c r="I2" s="2458"/>
      <c r="J2" s="2458"/>
      <c r="K2" s="2458"/>
    </row>
    <row r="3" spans="1:11" ht="15.6">
      <c r="A3" s="2299" t="s">
        <v>662</v>
      </c>
      <c r="B3" s="2301">
        <f>项目基本情况!D3</f>
        <v>45828</v>
      </c>
      <c r="C3" s="2457"/>
      <c r="D3" s="2457"/>
      <c r="E3" s="2457"/>
      <c r="F3" s="2457"/>
      <c r="G3" s="2458"/>
      <c r="H3" s="2458"/>
      <c r="I3" s="2458"/>
      <c r="J3" s="2458"/>
      <c r="K3" s="2458"/>
    </row>
    <row r="4" spans="1:11" ht="31.2">
      <c r="A4" s="2299" t="s">
        <v>661</v>
      </c>
      <c r="B4" s="2299" t="s">
        <v>660</v>
      </c>
      <c r="C4" s="2299" t="s">
        <v>659</v>
      </c>
      <c r="D4" s="2299" t="s">
        <v>658</v>
      </c>
      <c r="E4" s="2457"/>
      <c r="F4" s="2458"/>
      <c r="G4" s="2458"/>
      <c r="H4" s="2458"/>
      <c r="I4" s="2458"/>
      <c r="J4" s="2458"/>
      <c r="K4" s="2458"/>
    </row>
    <row r="5" spans="1:11" ht="15.6">
      <c r="A5" s="2299" t="s">
        <v>657</v>
      </c>
      <c r="B5" s="2299">
        <f ca="1">SUM(D14:D23)</f>
        <v>921.3845</v>
      </c>
      <c r="C5" s="2299">
        <f ca="1">IF(B5=D14,结果表1001!H102,ROUND(B5*10000/$B$1,0))</f>
        <v>10106</v>
      </c>
      <c r="D5" s="2299" t="e">
        <f ca="1">ROUND(B5*10000/$B$2,0)</f>
        <v>#DIV/0!</v>
      </c>
      <c r="E5" s="2457"/>
      <c r="F5" s="2458"/>
      <c r="G5" s="2458"/>
      <c r="H5" s="2458"/>
      <c r="I5" s="2458"/>
      <c r="J5" s="2458"/>
      <c r="K5" s="2458"/>
    </row>
    <row r="6" spans="1:11" ht="15.6">
      <c r="A6" s="2299" t="s">
        <v>656</v>
      </c>
      <c r="B6" s="2299">
        <f ca="1">SUM(G14:G23)</f>
        <v>921.3845</v>
      </c>
      <c r="C6" s="2299">
        <f ca="1">IF(B6=G14,结果表1001!H108,ROUND(B6*10000/$B$1,0))</f>
        <v>10106</v>
      </c>
      <c r="D6" s="2299" t="e">
        <f ca="1">ROUND(B6*10000/$B$2,0)</f>
        <v>#DIV/0!</v>
      </c>
      <c r="E6" s="2457"/>
      <c r="F6" s="2458"/>
      <c r="G6" s="2458"/>
      <c r="H6" s="2458"/>
      <c r="I6" s="2458"/>
      <c r="J6" s="2458"/>
      <c r="K6" s="2458"/>
    </row>
    <row r="7" spans="1:11" ht="15.6">
      <c r="A7" s="2299" t="s">
        <v>664</v>
      </c>
      <c r="B7" s="2299">
        <f>SUM(H14:H23)</f>
        <v>0</v>
      </c>
      <c r="C7" s="2299" t="str">
        <f>IF(B7=H14,结果表1001!H110,ROUND(B7*10000/$B$1,0))</f>
        <v>——</v>
      </c>
      <c r="D7" s="2299" t="e">
        <f>ROUND(B7*10000/$B$2,0)</f>
        <v>#DIV/0!</v>
      </c>
      <c r="E7" s="2457"/>
      <c r="F7" s="2458"/>
      <c r="G7" s="2458"/>
      <c r="H7" s="2458"/>
      <c r="I7" s="2458"/>
      <c r="J7" s="2458"/>
      <c r="K7" s="2458"/>
    </row>
    <row r="8" spans="1:11" ht="15.6">
      <c r="A8" s="2299" t="s">
        <v>587</v>
      </c>
      <c r="B8" s="2299">
        <f ca="1">SUM(I14:I23)</f>
        <v>920.92380000000003</v>
      </c>
      <c r="C8" s="2299">
        <f ca="1">IF(B8=I14,结果表1001!H112,ROUND(B8*10000/$B$1,0))</f>
        <v>10101</v>
      </c>
      <c r="D8" s="2299" t="e">
        <f ca="1">ROUND(B8*10000/$B$2,0)</f>
        <v>#DIV/0!</v>
      </c>
      <c r="E8" s="2457"/>
      <c r="F8" s="2458"/>
      <c r="G8" s="2458"/>
      <c r="H8" s="2458"/>
      <c r="I8" s="2458"/>
      <c r="J8" s="2458"/>
      <c r="K8" s="2458"/>
    </row>
    <row r="9" spans="1:11" ht="15.6">
      <c r="A9" s="2299" t="s">
        <v>655</v>
      </c>
      <c r="B9" s="1244"/>
      <c r="C9" s="2457"/>
      <c r="D9" s="2457"/>
      <c r="E9" s="2457"/>
      <c r="F9" s="2458"/>
      <c r="G9" s="2458"/>
      <c r="H9" s="2458"/>
      <c r="I9" s="2458"/>
      <c r="J9" s="2458"/>
      <c r="K9" s="2458"/>
    </row>
    <row r="10" spans="1:11" ht="15.6">
      <c r="A10" s="2299" t="s">
        <v>654</v>
      </c>
      <c r="B10" s="2299">
        <f>IF(E10="",0,ROUND(B1*(E10*365/G10)/10000,0))</f>
        <v>0</v>
      </c>
      <c r="C10" s="2299" t="s">
        <v>3353</v>
      </c>
      <c r="D10" s="2299" t="s">
        <v>3354</v>
      </c>
      <c r="E10" s="3132"/>
      <c r="F10" s="3136" t="s">
        <v>3355</v>
      </c>
      <c r="G10" s="3133"/>
      <c r="H10" s="2458"/>
      <c r="I10" s="2458"/>
      <c r="J10" s="2458"/>
      <c r="K10" s="2458"/>
    </row>
    <row r="11" spans="1:11" ht="15.6">
      <c r="A11" s="2299" t="s">
        <v>670</v>
      </c>
      <c r="B11" s="1244"/>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302" t="s">
        <v>669</v>
      </c>
      <c r="B13" s="2303" t="s">
        <v>666</v>
      </c>
      <c r="C13" s="2303" t="s">
        <v>668</v>
      </c>
      <c r="D13" s="2303" t="s">
        <v>667</v>
      </c>
      <c r="E13" s="2299" t="s">
        <v>659</v>
      </c>
      <c r="F13" s="2299" t="s">
        <v>658</v>
      </c>
      <c r="G13" s="2303" t="s">
        <v>652</v>
      </c>
      <c r="H13" s="2303" t="s">
        <v>663</v>
      </c>
      <c r="I13" s="2303" t="s">
        <v>651</v>
      </c>
      <c r="J13" s="2458"/>
      <c r="K13" s="2458"/>
    </row>
    <row r="14" spans="1:11" ht="15.6">
      <c r="A14" s="2304" t="s">
        <v>650</v>
      </c>
      <c r="B14" s="2305">
        <f>典型户型修正!B22</f>
        <v>911.72</v>
      </c>
      <c r="C14" s="2305"/>
      <c r="D14" s="2305">
        <f ca="1">典型户型修正!S22</f>
        <v>921.3845</v>
      </c>
      <c r="E14" s="2305">
        <f ca="1">典型户型修正!R22</f>
        <v>10106</v>
      </c>
      <c r="F14" s="2305" t="e">
        <f ca="1">ROUND(D14*10000/C14,0)</f>
        <v>#DIV/0!</v>
      </c>
      <c r="G14" s="2305">
        <f ca="1">D14</f>
        <v>921.3845</v>
      </c>
      <c r="H14" s="2305"/>
      <c r="I14" s="2305">
        <f ca="1">典型户型修正!T22</f>
        <v>920.92380000000003</v>
      </c>
      <c r="J14" s="2458"/>
      <c r="K14" s="2458"/>
    </row>
    <row r="15" spans="1:11" ht="15.6">
      <c r="A15" s="2304" t="s">
        <v>649</v>
      </c>
      <c r="B15" s="2306"/>
      <c r="C15" s="2306"/>
      <c r="D15" s="2306"/>
      <c r="E15" s="2305" t="e">
        <f t="shared" ref="E15:E23" si="0">ROUND(D15*10000/B15,0)</f>
        <v>#DIV/0!</v>
      </c>
      <c r="F15" s="2305" t="e">
        <f t="shared" ref="F15:F23" si="1">ROUND(D15*10000/C15,0)</f>
        <v>#DIV/0!</v>
      </c>
      <c r="G15" s="1244"/>
      <c r="H15" s="1244"/>
      <c r="I15" s="2306"/>
      <c r="J15" s="2458"/>
      <c r="K15" s="2458"/>
    </row>
    <row r="16" spans="1:11" ht="15.6">
      <c r="A16" s="2304" t="s">
        <v>648</v>
      </c>
      <c r="B16" s="2306"/>
      <c r="C16" s="2306"/>
      <c r="D16" s="2306"/>
      <c r="E16" s="2305" t="e">
        <f t="shared" si="0"/>
        <v>#DIV/0!</v>
      </c>
      <c r="F16" s="2305" t="e">
        <f t="shared" si="1"/>
        <v>#DIV/0!</v>
      </c>
      <c r="G16" s="1244"/>
      <c r="H16" s="1244"/>
      <c r="I16" s="2306"/>
      <c r="J16" s="2458"/>
      <c r="K16" s="2458"/>
    </row>
    <row r="17" spans="1:11" ht="15.6">
      <c r="A17" s="2304" t="s">
        <v>647</v>
      </c>
      <c r="B17" s="2306"/>
      <c r="C17" s="2306"/>
      <c r="D17" s="2306"/>
      <c r="E17" s="2305" t="e">
        <f t="shared" si="0"/>
        <v>#DIV/0!</v>
      </c>
      <c r="F17" s="2305" t="e">
        <f t="shared" si="1"/>
        <v>#DIV/0!</v>
      </c>
      <c r="G17" s="1244"/>
      <c r="H17" s="1244"/>
      <c r="I17" s="2306"/>
      <c r="J17" s="2458"/>
      <c r="K17" s="2458"/>
    </row>
    <row r="18" spans="1:11" ht="15.6">
      <c r="A18" s="2304" t="s">
        <v>646</v>
      </c>
      <c r="B18" s="2306"/>
      <c r="C18" s="2306"/>
      <c r="D18" s="2306"/>
      <c r="E18" s="2305" t="e">
        <f t="shared" si="0"/>
        <v>#DIV/0!</v>
      </c>
      <c r="F18" s="2305" t="e">
        <f t="shared" si="1"/>
        <v>#DIV/0!</v>
      </c>
      <c r="G18" s="2306"/>
      <c r="H18" s="2306"/>
      <c r="I18" s="2306"/>
      <c r="J18" s="2458"/>
      <c r="K18" s="2458"/>
    </row>
    <row r="19" spans="1:11" ht="15.6">
      <c r="A19" s="2304" t="s">
        <v>645</v>
      </c>
      <c r="B19" s="2306"/>
      <c r="C19" s="2306"/>
      <c r="D19" s="2306"/>
      <c r="E19" s="2305" t="e">
        <f t="shared" si="0"/>
        <v>#DIV/0!</v>
      </c>
      <c r="F19" s="2305" t="e">
        <f t="shared" si="1"/>
        <v>#DIV/0!</v>
      </c>
      <c r="G19" s="2306"/>
      <c r="H19" s="2306"/>
      <c r="I19" s="2306"/>
      <c r="J19" s="2458"/>
      <c r="K19" s="2458"/>
    </row>
    <row r="20" spans="1:11" ht="15.6">
      <c r="A20" s="2304" t="s">
        <v>644</v>
      </c>
      <c r="B20" s="2306"/>
      <c r="C20" s="2306"/>
      <c r="D20" s="2306"/>
      <c r="E20" s="2305" t="e">
        <f t="shared" si="0"/>
        <v>#DIV/0!</v>
      </c>
      <c r="F20" s="2305" t="e">
        <f t="shared" si="1"/>
        <v>#DIV/0!</v>
      </c>
      <c r="G20" s="2306"/>
      <c r="H20" s="2306"/>
      <c r="I20" s="2306"/>
      <c r="J20" s="2458"/>
      <c r="K20" s="2458"/>
    </row>
    <row r="21" spans="1:11" ht="15.6">
      <c r="A21" s="2304" t="s">
        <v>643</v>
      </c>
      <c r="B21" s="2306"/>
      <c r="C21" s="2306"/>
      <c r="D21" s="2306"/>
      <c r="E21" s="2305" t="e">
        <f t="shared" si="0"/>
        <v>#DIV/0!</v>
      </c>
      <c r="F21" s="2305" t="e">
        <f t="shared" si="1"/>
        <v>#DIV/0!</v>
      </c>
      <c r="G21" s="2306"/>
      <c r="H21" s="2306"/>
      <c r="I21" s="2306"/>
      <c r="J21" s="2458"/>
      <c r="K21" s="2458"/>
    </row>
    <row r="22" spans="1:11" ht="15.6">
      <c r="A22" s="2304" t="s">
        <v>642</v>
      </c>
      <c r="B22" s="2306"/>
      <c r="C22" s="2306"/>
      <c r="D22" s="2306"/>
      <c r="E22" s="2305" t="e">
        <f t="shared" si="0"/>
        <v>#DIV/0!</v>
      </c>
      <c r="F22" s="2305" t="e">
        <f t="shared" si="1"/>
        <v>#DIV/0!</v>
      </c>
      <c r="G22" s="2306"/>
      <c r="H22" s="2306"/>
      <c r="I22" s="2306"/>
      <c r="J22" s="2458"/>
      <c r="K22" s="2458"/>
    </row>
    <row r="23" spans="1:11" ht="15.6">
      <c r="A23" s="2304" t="s">
        <v>641</v>
      </c>
      <c r="B23" s="2306"/>
      <c r="C23" s="2306"/>
      <c r="D23" s="2306"/>
      <c r="E23" s="1244" t="e">
        <f t="shared" si="0"/>
        <v>#DIV/0!</v>
      </c>
      <c r="F23" s="1244" t="e">
        <f t="shared" si="1"/>
        <v>#DIV/0!</v>
      </c>
      <c r="G23" s="2306"/>
      <c r="H23" s="2306"/>
      <c r="I23" s="2306"/>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3" zoomScale="70" zoomScaleNormal="100" zoomScaleSheetLayoutView="70" zoomScalePageLayoutView="80" workbookViewId="0">
      <selection activeCell="M48" sqref="M48:O4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1001</v>
      </c>
      <c r="D1" s="646"/>
      <c r="E1" s="646"/>
      <c r="F1" s="1621" t="s">
        <v>1263</v>
      </c>
      <c r="G1" s="1453"/>
      <c r="H1" s="1621" t="str">
        <f>IF(G1="现房","——","估价对象范围")</f>
        <v>估价对象范围</v>
      </c>
      <c r="I1" s="1622"/>
    </row>
    <row r="2" spans="1:12" ht="21.75" customHeight="1" thickBot="1">
      <c r="A2" s="3344" t="str">
        <f>项目基本情况!S2</f>
        <v>北京市房山区辰光东路16号院5号楼10层1001等共计9套房地产</v>
      </c>
      <c r="B2" s="3345"/>
      <c r="C2" s="3345"/>
      <c r="D2" s="3345"/>
      <c r="E2" s="3345"/>
      <c r="F2" s="3345"/>
      <c r="G2" s="3345"/>
      <c r="H2" s="3345"/>
      <c r="I2" s="3346"/>
    </row>
    <row r="3" spans="1:12" ht="13.2">
      <c r="A3" s="3348" t="s">
        <v>1264</v>
      </c>
      <c r="B3" s="3349"/>
      <c r="C3" s="3349"/>
      <c r="D3" s="3349"/>
      <c r="E3" s="3349"/>
      <c r="F3" s="3349"/>
      <c r="G3" s="3349"/>
      <c r="H3" s="3349"/>
      <c r="I3" s="3349"/>
    </row>
    <row r="4" spans="1:12" ht="14.4">
      <c r="A4" s="1624" t="s">
        <v>1265</v>
      </c>
      <c r="B4" s="1625" t="s">
        <v>1266</v>
      </c>
      <c r="C4" s="1626" t="s">
        <v>3456</v>
      </c>
      <c r="D4" s="1626" t="s">
        <v>3454</v>
      </c>
      <c r="E4" s="3353" t="s">
        <v>1267</v>
      </c>
      <c r="F4" s="3354"/>
      <c r="G4" s="3354"/>
      <c r="H4" s="3354"/>
      <c r="I4" s="3355"/>
      <c r="K4" s="138" t="str">
        <f>IF(ISNUMBER(FIND("比较法",结果表1001!C4)),"比较法",IF(ISNUMBER(FIND("成本法",结果表1001!C4)),"成本法",IF(ISNUMBER(FIND("假设开发法",结果表1001!C4)),"假设开发法",IF(ISNUMBER(FIND("收益法",结果表1001!C4)),"收益法","基准地价系数修正法"))))</f>
        <v>比较法</v>
      </c>
      <c r="L4" s="138" t="str">
        <f>IF(ISNUMBER(FIND("比较法",结果表1001!D4)),"比较法",IF(ISNUMBER(FIND("成本法",结果表1001!D4)),"成本法",IF(ISNUMBER(FIND("假设开发法",结果表1001!D4)),"假设开发法",IF(ISNUMBER(FIND("收益法",结果表1001!D4)),"收益法","基准地价系数修正法"))))</f>
        <v>收益法</v>
      </c>
    </row>
    <row r="5" spans="1:12" ht="13.2">
      <c r="A5" s="3292" t="s">
        <v>1268</v>
      </c>
      <c r="B5" s="3347">
        <v>25</v>
      </c>
      <c r="C5" s="3350"/>
      <c r="D5" s="3338"/>
      <c r="E5" s="123" t="s">
        <v>1269</v>
      </c>
      <c r="F5" s="1627"/>
      <c r="G5" s="1627"/>
      <c r="H5" s="1627"/>
      <c r="I5" s="1281"/>
    </row>
    <row r="6" spans="1:12" ht="13.2">
      <c r="A6" s="3292"/>
      <c r="B6" s="3347"/>
      <c r="C6" s="3352"/>
      <c r="D6" s="3338"/>
      <c r="E6" s="123" t="s">
        <v>1270</v>
      </c>
      <c r="F6" s="1627"/>
      <c r="G6" s="1627"/>
      <c r="H6" s="1627"/>
      <c r="I6" s="1281"/>
    </row>
    <row r="7" spans="1:12" ht="13.2">
      <c r="A7" s="3292"/>
      <c r="B7" s="3347"/>
      <c r="C7" s="3351"/>
      <c r="D7" s="3338"/>
      <c r="E7" s="123" t="s">
        <v>1271</v>
      </c>
      <c r="F7" s="1627"/>
      <c r="G7" s="1627"/>
      <c r="H7" s="1627"/>
      <c r="I7" s="1281"/>
    </row>
    <row r="8" spans="1:12" ht="13.2">
      <c r="A8" s="3292" t="s">
        <v>1272</v>
      </c>
      <c r="B8" s="3347">
        <v>15</v>
      </c>
      <c r="C8" s="3350"/>
      <c r="D8" s="3338"/>
      <c r="E8" s="123" t="s">
        <v>1273</v>
      </c>
      <c r="F8" s="1627"/>
      <c r="G8" s="1627"/>
      <c r="H8" s="1627"/>
      <c r="I8" s="1281"/>
    </row>
    <row r="9" spans="1:12" ht="13.2">
      <c r="A9" s="3292"/>
      <c r="B9" s="3347"/>
      <c r="C9" s="3351"/>
      <c r="D9" s="3338"/>
      <c r="E9" s="123" t="s">
        <v>1274</v>
      </c>
      <c r="F9" s="1627"/>
      <c r="G9" s="1627"/>
      <c r="H9" s="1627"/>
      <c r="I9" s="1281"/>
    </row>
    <row r="10" spans="1:12" ht="13.2">
      <c r="A10" s="3292" t="s">
        <v>1275</v>
      </c>
      <c r="B10" s="3347">
        <v>15</v>
      </c>
      <c r="C10" s="3350"/>
      <c r="D10" s="3338"/>
      <c r="E10" s="123" t="s">
        <v>1276</v>
      </c>
      <c r="F10" s="1627"/>
      <c r="G10" s="1627"/>
      <c r="H10" s="1627"/>
      <c r="I10" s="1281"/>
    </row>
    <row r="11" spans="1:12" ht="13.2">
      <c r="A11" s="3292"/>
      <c r="B11" s="3347"/>
      <c r="C11" s="3351"/>
      <c r="D11" s="3338"/>
      <c r="E11" s="123" t="s">
        <v>1277</v>
      </c>
      <c r="F11" s="1627"/>
      <c r="G11" s="1627"/>
      <c r="H11" s="1627"/>
      <c r="I11" s="1281"/>
    </row>
    <row r="12" spans="1:12" ht="13.2">
      <c r="A12" s="3292" t="s">
        <v>1278</v>
      </c>
      <c r="B12" s="3347">
        <v>15</v>
      </c>
      <c r="C12" s="3350"/>
      <c r="D12" s="3338"/>
      <c r="E12" s="123" t="s">
        <v>1279</v>
      </c>
      <c r="F12" s="1627"/>
      <c r="G12" s="1627"/>
      <c r="H12" s="1627"/>
      <c r="I12" s="1281"/>
    </row>
    <row r="13" spans="1:12" ht="13.2">
      <c r="A13" s="3292"/>
      <c r="B13" s="3347"/>
      <c r="C13" s="3351"/>
      <c r="D13" s="3338"/>
      <c r="E13" s="123" t="s">
        <v>1280</v>
      </c>
      <c r="F13" s="1627"/>
      <c r="G13" s="1627"/>
      <c r="H13" s="1627"/>
      <c r="I13" s="1281"/>
    </row>
    <row r="14" spans="1:12" ht="13.2">
      <c r="A14" s="3292" t="s">
        <v>1281</v>
      </c>
      <c r="B14" s="3347">
        <v>30</v>
      </c>
      <c r="C14" s="3350">
        <v>6</v>
      </c>
      <c r="D14" s="3338">
        <v>4</v>
      </c>
      <c r="E14" s="123" t="s">
        <v>1282</v>
      </c>
      <c r="F14" s="1627"/>
      <c r="G14" s="1627"/>
      <c r="H14" s="1627"/>
      <c r="I14" s="1281"/>
    </row>
    <row r="15" spans="1:12" ht="13.2">
      <c r="A15" s="3292"/>
      <c r="B15" s="3347"/>
      <c r="C15" s="3352"/>
      <c r="D15" s="3338"/>
      <c r="E15" s="123" t="s">
        <v>1283</v>
      </c>
      <c r="F15" s="1627"/>
      <c r="G15" s="1627"/>
      <c r="H15" s="1627"/>
      <c r="I15" s="1281"/>
    </row>
    <row r="16" spans="1:12" ht="13.2">
      <c r="A16" s="3292"/>
      <c r="B16" s="3347"/>
      <c r="C16" s="3351"/>
      <c r="D16" s="3338"/>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69" t="s">
        <v>2129</v>
      </c>
      <c r="F18" s="3370"/>
      <c r="G18" s="3370"/>
      <c r="H18" s="3370"/>
      <c r="I18" s="3370"/>
      <c r="K18" s="294" t="s">
        <v>1289</v>
      </c>
      <c r="L18" s="294">
        <f>IF(C1="",'数据-汇总表'!E3,SUMIF(项目类型,C1,'数据-汇总表'!E17:E26)+SUMIF(项目类型,C1,'数据-汇总表'!I17:I26))</f>
        <v>94.78</v>
      </c>
      <c r="M18" s="294">
        <f>IF(C1="",'数据-汇总表'!E3,SUMIF(项目类型,C1,'数据-汇总表'!E17:E26))</f>
        <v>94.78</v>
      </c>
    </row>
    <row r="19" spans="1:36" ht="14.4">
      <c r="A19" s="1630" t="s">
        <v>1290</v>
      </c>
      <c r="B19" s="1631" t="s">
        <v>1291</v>
      </c>
      <c r="C19" s="126">
        <f ca="1">SUMIF(INDIRECT("'"&amp;C4&amp;"'"&amp;"!A:A"),结果表1001!B19,INDIRECT("'"&amp;C4&amp;"'"&amp;"!B:B"))</f>
        <v>111.84990000000001</v>
      </c>
      <c r="D19" s="127">
        <f ca="1">SUMIF(INDIRECT("'"&amp;D4&amp;"'"&amp;"!A:A"),结果表1001!B19,INDIRECT("'"&amp;D4&amp;"'"&amp;"!B:B"))</f>
        <v>71.690899999999999</v>
      </c>
      <c r="E19" s="1630" t="s">
        <v>1292</v>
      </c>
      <c r="F19" s="1631" t="s">
        <v>1291</v>
      </c>
      <c r="G19" s="128">
        <f ca="1">ROUND(C19*$C$18+D19*$D$18,0)</f>
        <v>96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SUMIF(INDIRECT("'"&amp;C4&amp;"'"&amp;"!A:A"),结果表1001!B20,INDIRECT("'"&amp;C4&amp;"'"&amp;"!B:B"))</f>
        <v>11801</v>
      </c>
      <c r="D20" s="130">
        <f ca="1">SUMIF(INDIRECT("'"&amp;D4&amp;"'"&amp;"!A:A"),结果表1001!B20,INDIRECT("'"&amp;D4&amp;"'"&amp;"!B:B"))</f>
        <v>7564</v>
      </c>
      <c r="E20" s="1633"/>
      <c r="F20" s="43" t="s">
        <v>1295</v>
      </c>
      <c r="G20" s="131">
        <f ca="1">ROUND(C20*$C$18+D20*$D$18,0)</f>
        <v>10106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0.56016872434297804</v>
      </c>
      <c r="E22" s="121"/>
      <c r="F22" s="121"/>
      <c r="G22" s="121"/>
      <c r="H22" s="121"/>
      <c r="I22" s="121"/>
    </row>
    <row r="23" spans="1:36" ht="13.8" thickBot="1">
      <c r="A23" s="646"/>
      <c r="B23" s="646"/>
      <c r="C23" s="646"/>
      <c r="D23" s="646"/>
      <c r="E23" s="121"/>
      <c r="F23" s="121"/>
      <c r="G23" s="121"/>
      <c r="H23" s="121"/>
      <c r="I23" s="121"/>
    </row>
    <row r="24" spans="1:36" ht="14.4">
      <c r="A24" s="3362" t="s">
        <v>1299</v>
      </c>
      <c r="B24" s="1631" t="s">
        <v>1291</v>
      </c>
      <c r="C24" s="128">
        <f>IF(B30=0,0,D30)</f>
        <v>0</v>
      </c>
      <c r="D24" s="1637"/>
      <c r="E24" s="121"/>
      <c r="F24" s="121"/>
      <c r="G24" s="121"/>
      <c r="H24" s="121"/>
      <c r="I24" s="121"/>
    </row>
    <row r="25" spans="1:36" ht="14.4">
      <c r="A25" s="33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10106</v>
      </c>
      <c r="D32" s="1641" t="s">
        <v>3517</v>
      </c>
      <c r="E32" s="121"/>
      <c r="F32" s="121"/>
      <c r="G32" s="121"/>
      <c r="H32" s="121"/>
      <c r="I32" s="121"/>
    </row>
    <row r="33" spans="1:15" ht="14.4">
      <c r="A33" s="740" t="s">
        <v>1306</v>
      </c>
      <c r="B33" s="123"/>
      <c r="C33" s="1642" t="s">
        <v>3518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39" t="s">
        <v>1312</v>
      </c>
      <c r="B36" s="1652" t="s">
        <v>1313</v>
      </c>
      <c r="C36" s="137"/>
      <c r="D36" s="1653"/>
      <c r="E36" s="1567"/>
      <c r="F36" s="1654"/>
      <c r="G36" s="121"/>
      <c r="H36" s="121"/>
      <c r="I36" s="121"/>
    </row>
    <row r="37" spans="1:15" ht="15" thickBot="1">
      <c r="A37" s="3340"/>
      <c r="B37" s="1555" t="s">
        <v>1314</v>
      </c>
      <c r="C37" s="139"/>
      <c r="D37" s="1071"/>
      <c r="E37" s="1071"/>
      <c r="F37" s="1654"/>
      <c r="G37" s="121"/>
      <c r="H37" s="121"/>
      <c r="I37" s="121"/>
    </row>
    <row r="38" spans="1:15" ht="15" thickBot="1">
      <c r="A38" s="334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9" t="s">
        <v>1326</v>
      </c>
      <c r="B45" s="3360"/>
      <c r="C45" s="3361"/>
      <c r="D45" s="3179">
        <f ca="1">ROUND(H101*F45,4)</f>
        <v>95.784700000000001</v>
      </c>
      <c r="E45" s="148" t="s">
        <v>1327</v>
      </c>
      <c r="F45" s="149">
        <v>1</v>
      </c>
      <c r="G45" s="150" t="s">
        <v>1328</v>
      </c>
      <c r="H45" s="121"/>
      <c r="I45" s="121"/>
      <c r="J45" s="3279" t="s">
        <v>1329</v>
      </c>
      <c r="K45" s="3279"/>
      <c r="L45" s="3279"/>
      <c r="M45" s="3279"/>
      <c r="N45" s="3279"/>
      <c r="O45" s="3279"/>
    </row>
    <row r="46" spans="1:15" ht="14.25" customHeight="1">
      <c r="A46" s="3356" t="s">
        <v>1330</v>
      </c>
      <c r="B46" s="3357"/>
      <c r="C46" s="3357"/>
      <c r="D46" s="3357"/>
      <c r="E46" s="3357"/>
      <c r="F46" s="3357"/>
      <c r="G46" s="3358"/>
      <c r="H46" s="1668"/>
      <c r="I46" s="151"/>
      <c r="J46" s="2309">
        <v>1</v>
      </c>
      <c r="K46" s="3280" t="s">
        <v>1331</v>
      </c>
      <c r="L46" s="3280"/>
      <c r="M46" s="3281"/>
      <c r="N46" s="3281"/>
      <c r="O46" s="3281"/>
    </row>
    <row r="47" spans="1:15" ht="12" customHeight="1">
      <c r="A47" s="152" t="s">
        <v>1332</v>
      </c>
      <c r="B47" s="153"/>
      <c r="C47" s="154"/>
      <c r="D47" s="1024" t="s">
        <v>1333</v>
      </c>
      <c r="E47" s="294" t="s">
        <v>1334</v>
      </c>
      <c r="F47" s="155" t="s">
        <v>1335</v>
      </c>
      <c r="G47" s="2332" t="s">
        <v>1336</v>
      </c>
      <c r="H47" s="2333"/>
      <c r="I47" s="151"/>
      <c r="J47" s="2309">
        <v>2</v>
      </c>
      <c r="K47" s="3280" t="s">
        <v>1337</v>
      </c>
      <c r="L47" s="3280"/>
      <c r="M47" s="3282">
        <f>'数据-取费表'!B2</f>
        <v>45828</v>
      </c>
      <c r="N47" s="3282"/>
      <c r="O47" s="3282"/>
    </row>
    <row r="48" spans="1:15" ht="39.6">
      <c r="A48" s="3342" t="s">
        <v>1338</v>
      </c>
      <c r="B48" s="3343"/>
      <c r="C48" s="3343"/>
      <c r="D48" s="12">
        <f ca="1">IF(H48="情况1",0,IF(H48="情况2",D52,IF(H48="情况3",D53,IF(H48="情况4",D54))))</f>
        <v>0</v>
      </c>
      <c r="E48" s="1256" t="str">
        <f>IF(H48="情况4","(销售额-原购置价)×税（费）率","销售额×税（费）率")</f>
        <v>(销售额-原购置价)×税（费）率</v>
      </c>
      <c r="F48" s="2334">
        <f>IF(H48="情况1","免征",'数据-取费表'!B41)</f>
        <v>5.6000000000000001E-2</v>
      </c>
      <c r="G48" s="2335" t="s">
        <v>1339</v>
      </c>
      <c r="H48" s="2336" t="s">
        <v>3538</v>
      </c>
      <c r="I48" s="1668"/>
      <c r="J48" s="2309">
        <v>3</v>
      </c>
      <c r="K48" s="3280" t="s">
        <v>1340</v>
      </c>
      <c r="L48" s="3280"/>
      <c r="M48" s="3283">
        <f ca="1">H101</f>
        <v>95.784700000000001</v>
      </c>
      <c r="N48" s="3283"/>
      <c r="O48" s="3283"/>
    </row>
    <row r="49" spans="1:35" ht="25.5" customHeight="1">
      <c r="A49" s="2152" t="s">
        <v>1341</v>
      </c>
      <c r="B49" s="3328" t="s">
        <v>1342</v>
      </c>
      <c r="C49" s="3328"/>
      <c r="D49" s="1478">
        <v>0</v>
      </c>
      <c r="E49" s="316" t="s">
        <v>1343</v>
      </c>
      <c r="F49" s="2232" t="s">
        <v>28</v>
      </c>
      <c r="G49" s="3311"/>
      <c r="H49" s="2134" t="s">
        <v>2132</v>
      </c>
      <c r="I49" s="2135"/>
      <c r="J49" s="2309">
        <v>4</v>
      </c>
      <c r="K49" s="3280" t="str">
        <f>IF(项目基本情况!E8="房地产抵押价值","房地产抵押价值","抵押担保权已注销时的房地产抵押价值")</f>
        <v>房地产抵押价值</v>
      </c>
      <c r="L49" s="3280"/>
      <c r="M49" s="3283">
        <f ca="1">IF(项目基本情况!E8="房地产抵押价值",H107,H109)</f>
        <v>95.784700000000001</v>
      </c>
      <c r="N49" s="3283"/>
      <c r="O49" s="3283"/>
    </row>
    <row r="50" spans="1:35" ht="25.5" customHeight="1">
      <c r="A50" s="2337"/>
      <c r="B50" s="3328" t="s">
        <v>1344</v>
      </c>
      <c r="C50" s="3328"/>
      <c r="D50" s="2189"/>
      <c r="E50" s="323"/>
      <c r="F50" s="2232"/>
      <c r="G50" s="3312"/>
      <c r="H50" s="2136" t="s">
        <v>2133</v>
      </c>
      <c r="I50" s="2135"/>
      <c r="J50" s="3279" t="s">
        <v>1345</v>
      </c>
      <c r="K50" s="3279"/>
      <c r="L50" s="3279"/>
      <c r="M50" s="3279"/>
      <c r="N50" s="3279"/>
      <c r="O50" s="3279"/>
    </row>
    <row r="51" spans="1:35" ht="20.399999999999999" customHeight="1">
      <c r="A51" s="2338"/>
      <c r="B51" s="3328" t="s">
        <v>1346</v>
      </c>
      <c r="C51" s="3328"/>
      <c r="D51" s="1024"/>
      <c r="E51" s="319"/>
      <c r="F51" s="2232"/>
      <c r="G51" s="3313"/>
      <c r="H51" s="2136" t="s">
        <v>2134</v>
      </c>
      <c r="I51" s="2135"/>
      <c r="J51" s="2310" t="s">
        <v>1347</v>
      </c>
      <c r="K51" s="3280" t="s">
        <v>1348</v>
      </c>
      <c r="L51" s="3280"/>
      <c r="M51" s="2310" t="s">
        <v>1349</v>
      </c>
      <c r="N51" s="2310" t="s">
        <v>1350</v>
      </c>
      <c r="O51" s="2310" t="s">
        <v>1351</v>
      </c>
    </row>
    <row r="52" spans="1:35" ht="24" customHeight="1">
      <c r="A52" s="2153" t="s">
        <v>1352</v>
      </c>
      <c r="B52" s="3328" t="s">
        <v>1353</v>
      </c>
      <c r="C52" s="3328"/>
      <c r="D52" s="1024">
        <f ca="1">ROUND(D45*'数据-取费表'!B41/(1+'数据-取费表'!C42),0)</f>
        <v>5</v>
      </c>
      <c r="E52" s="1256" t="s">
        <v>1354</v>
      </c>
      <c r="F52" s="2339">
        <f>'数据-取费表'!B41</f>
        <v>5.6000000000000001E-2</v>
      </c>
      <c r="G52" s="2340"/>
      <c r="H52" s="2330"/>
      <c r="I52" s="1669"/>
      <c r="J52" s="2309">
        <v>1</v>
      </c>
      <c r="K52" s="3305" t="s">
        <v>1355</v>
      </c>
      <c r="L52" s="3305"/>
      <c r="M52" s="2311">
        <f ca="1">D48</f>
        <v>0</v>
      </c>
      <c r="N52" s="2309" t="str">
        <f>E48</f>
        <v>(销售额-原购置价)×税（费）率</v>
      </c>
      <c r="O52" s="2312">
        <f>F48</f>
        <v>5.6000000000000001E-2</v>
      </c>
    </row>
    <row r="53" spans="1:35" ht="12" customHeight="1">
      <c r="A53" s="2153" t="s">
        <v>1356</v>
      </c>
      <c r="B53" s="3329" t="s">
        <v>2289</v>
      </c>
      <c r="C53" s="3330"/>
      <c r="D53" s="1024">
        <f ca="1">ROUND(D45*'数据-取费表'!B41/(1+'数据-取费表'!C42),0)</f>
        <v>5</v>
      </c>
      <c r="E53" s="1256" t="s">
        <v>1354</v>
      </c>
      <c r="F53" s="2339">
        <f>'数据-取费表'!B41</f>
        <v>5.6000000000000001E-2</v>
      </c>
      <c r="G53" s="2340"/>
      <c r="H53" s="2330"/>
      <c r="I53" s="1669"/>
      <c r="J53" s="2309">
        <v>2</v>
      </c>
      <c r="K53" s="3305" t="s">
        <v>1357</v>
      </c>
      <c r="L53" s="3305"/>
      <c r="M53" s="2311">
        <f t="shared" ref="M53:O54" ca="1" si="0">D55</f>
        <v>4.7899999999999998E-2</v>
      </c>
      <c r="N53" s="2309" t="str">
        <f t="shared" si="0"/>
        <v>销售额×税（费）率</v>
      </c>
      <c r="O53" s="2312">
        <f t="shared" si="0"/>
        <v>5.0000000000000001E-4</v>
      </c>
    </row>
    <row r="54" spans="1:35" ht="12" customHeight="1">
      <c r="A54" s="2153" t="s">
        <v>1358</v>
      </c>
      <c r="B54" s="3329" t="s">
        <v>2290</v>
      </c>
      <c r="C54" s="3330"/>
      <c r="D54" s="1024">
        <f ca="1">C68</f>
        <v>0</v>
      </c>
      <c r="E54" s="319" t="s">
        <v>1359</v>
      </c>
      <c r="F54" s="2339">
        <f>'数据-取费表'!B41</f>
        <v>5.6000000000000001E-2</v>
      </c>
      <c r="G54" s="2340"/>
      <c r="H54" s="2341"/>
      <c r="I54" s="1669"/>
      <c r="J54" s="2309">
        <v>3</v>
      </c>
      <c r="K54" s="3305" t="s">
        <v>1360</v>
      </c>
      <c r="L54" s="3305"/>
      <c r="M54" s="2311">
        <f t="shared" ca="1" si="0"/>
        <v>0</v>
      </c>
      <c r="N54" s="2309" t="str">
        <f t="shared" si="0"/>
        <v>增值额×税（费）率</v>
      </c>
      <c r="O54" s="2313" t="str">
        <f t="shared" si="0"/>
        <v>——</v>
      </c>
    </row>
    <row r="55" spans="1:35" ht="24" customHeight="1">
      <c r="A55" s="3365" t="s">
        <v>1361</v>
      </c>
      <c r="B55" s="3343"/>
      <c r="C55" s="3343"/>
      <c r="D55" s="1504">
        <f ca="1">IF(H55="个人住宅",0,ROUND(D45*I55,4))</f>
        <v>4.7899999999999998E-2</v>
      </c>
      <c r="E55" s="1256" t="s">
        <v>1362</v>
      </c>
      <c r="F55" s="2339">
        <f>IF(H55="正常",I55,"免征")</f>
        <v>5.0000000000000001E-4</v>
      </c>
      <c r="G55" s="2340"/>
      <c r="H55" s="2336" t="s">
        <v>3465</v>
      </c>
      <c r="I55" s="157">
        <f>'数据-取费表'!B49</f>
        <v>5.0000000000000001E-4</v>
      </c>
      <c r="J55" s="2309" t="str">
        <f>IF(H59="非个人房产","",4)</f>
        <v/>
      </c>
      <c r="K55" s="3305" t="str">
        <f>IF(H59="非个人房产","——","个人所得税")</f>
        <v>——</v>
      </c>
      <c r="L55" s="3305"/>
      <c r="M55" s="2314" t="str">
        <f>D59</f>
        <v>——</v>
      </c>
      <c r="N55" s="1883" t="str">
        <f>E59</f>
        <v>——</v>
      </c>
      <c r="O55" s="2315" t="str">
        <f>F59</f>
        <v>——</v>
      </c>
    </row>
    <row r="56" spans="1:35" ht="25.2">
      <c r="A56" s="3365" t="s">
        <v>1363</v>
      </c>
      <c r="B56" s="3343"/>
      <c r="C56" s="3343"/>
      <c r="D56" s="12">
        <f ca="1">IF(H56="个人住宅",D57,D58)</f>
        <v>0</v>
      </c>
      <c r="E56" s="1256" t="s">
        <v>1364</v>
      </c>
      <c r="F56" s="2339" t="str">
        <f>IF(H56="正常",F58,"免征")</f>
        <v>——</v>
      </c>
      <c r="G56" s="2342" t="s">
        <v>1365</v>
      </c>
      <c r="H56" s="2343" t="s">
        <v>3465</v>
      </c>
      <c r="I56" s="1670"/>
      <c r="J56" s="2309" t="str">
        <f>IF(项目基本情况!K6="上海银行",IF(J55="",4,J55+1),"")</f>
        <v/>
      </c>
      <c r="K56" s="3286" t="str">
        <f>IF(项目基本情况!K6="上海银行","其他处置费用","")</f>
        <v/>
      </c>
      <c r="L56" s="3287"/>
      <c r="M56" s="2311" t="str">
        <f>IF(项目基本情况!K6="上海银行",M69,"")</f>
        <v/>
      </c>
      <c r="N56" s="3286" t="str">
        <f>IF(项目基本情况!K6="上海银行","包含处置中涉及的律师、诉讼、拍卖、评估等费用","")</f>
        <v/>
      </c>
      <c r="O56" s="3289"/>
    </row>
    <row r="57" spans="1:35" ht="13.2">
      <c r="A57" s="2153" t="s">
        <v>1341</v>
      </c>
      <c r="B57" s="3329" t="s">
        <v>1366</v>
      </c>
      <c r="C57" s="3330"/>
      <c r="D57" s="1478">
        <v>0</v>
      </c>
      <c r="E57" s="316" t="s">
        <v>1343</v>
      </c>
      <c r="F57" s="294"/>
      <c r="G57" s="2340"/>
      <c r="H57" s="2344"/>
      <c r="I57" s="1670"/>
      <c r="J57" s="3305">
        <f>IF(AND(J55="",J56=""),4,IF(项目基本情况!K6="上海银行",结果表1001!J56+1,结果表1001!J55+1))</f>
        <v>4</v>
      </c>
      <c r="K57" s="3305" t="s">
        <v>1367</v>
      </c>
      <c r="L57" s="2316" t="s">
        <v>1368</v>
      </c>
      <c r="M57" s="2317"/>
      <c r="N57" s="2318">
        <f ca="1">SUMIF(M52:M56,"&lt;9e307")</f>
        <v>4.7899999999999998E-2</v>
      </c>
      <c r="O57" s="2319"/>
      <c r="P57" s="2460">
        <f ca="1">N57/M49</f>
        <v>5.0007986661752867E-4</v>
      </c>
    </row>
    <row r="58" spans="1:35" ht="25.2">
      <c r="A58" s="2153" t="s">
        <v>1352</v>
      </c>
      <c r="B58" s="3329" t="s">
        <v>1369</v>
      </c>
      <c r="C58" s="3328"/>
      <c r="D58" s="12">
        <f ca="1">IF(H58="转让取得",C81,C97)</f>
        <v>0</v>
      </c>
      <c r="E58" s="1256" t="s">
        <v>1364</v>
      </c>
      <c r="F58" s="294" t="s">
        <v>28</v>
      </c>
      <c r="G58" s="2340"/>
      <c r="H58" s="2343" t="s">
        <v>3539</v>
      </c>
      <c r="I58" s="1670"/>
      <c r="J58" s="3305"/>
      <c r="K58" s="3305"/>
      <c r="L58" s="2316" t="s">
        <v>1370</v>
      </c>
      <c r="M58" s="2320"/>
      <c r="N58" s="2321" t="str">
        <f ca="1">NUMBERSTRING(INT(N57*10000),2)&amp;"元整"</f>
        <v>肆佰柒拾玖元整</v>
      </c>
      <c r="O58" s="2322"/>
    </row>
    <row r="59" spans="1:35" ht="24.6" thickBot="1">
      <c r="A59" s="3309" t="s">
        <v>1371</v>
      </c>
      <c r="B59" s="3310"/>
      <c r="C59" s="3310"/>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3540</v>
      </c>
      <c r="I59" s="2137" t="s">
        <v>2135</v>
      </c>
      <c r="J59" s="3307">
        <f>J57+1</f>
        <v>5</v>
      </c>
      <c r="K59" s="3305" t="s">
        <v>1372</v>
      </c>
      <c r="L59" s="2309" t="s">
        <v>1368</v>
      </c>
      <c r="M59" s="2323"/>
      <c r="N59" s="2324">
        <f ca="1">M49-N57</f>
        <v>95.736800000000002</v>
      </c>
      <c r="O59" s="2325"/>
    </row>
    <row r="60" spans="1:35" ht="12" customHeight="1">
      <c r="A60" s="1671"/>
      <c r="B60" s="646"/>
      <c r="C60" s="646"/>
      <c r="D60" s="646"/>
      <c r="E60" s="1466"/>
      <c r="F60" s="1670"/>
      <c r="G60" s="1670"/>
      <c r="H60" s="151"/>
      <c r="I60" s="121"/>
      <c r="J60" s="3308"/>
      <c r="K60" s="3305"/>
      <c r="L60" s="2316" t="s">
        <v>1370</v>
      </c>
      <c r="M60" s="2320"/>
      <c r="N60" s="2321" t="str">
        <f ca="1">NUMBERSTRING(INT(N59*10000),2)&amp;"元整"</f>
        <v>玖拾伍万柒仟叁佰陆拾捌元整</v>
      </c>
      <c r="O60" s="2322"/>
    </row>
    <row r="61" spans="1:35" ht="13.8" thickBot="1">
      <c r="A61" s="3364" t="s">
        <v>1373</v>
      </c>
      <c r="B61" s="3364"/>
      <c r="C61" s="3364"/>
      <c r="D61" s="3364"/>
      <c r="E61" s="3364"/>
      <c r="F61" s="1670"/>
      <c r="G61" s="1670"/>
      <c r="H61" s="151"/>
      <c r="I61" s="121"/>
      <c r="J61" s="2309">
        <f>J59+1</f>
        <v>6</v>
      </c>
      <c r="K61" s="3305" t="s">
        <v>1374</v>
      </c>
      <c r="L61" s="3305"/>
      <c r="M61" s="2326"/>
      <c r="N61" s="2327">
        <f ca="1">ROUND(N59*10000/'数据-汇总表'!E3,0)</f>
        <v>10101</v>
      </c>
      <c r="O61" s="2328"/>
    </row>
    <row r="62" spans="1:35" ht="13.2">
      <c r="A62" s="3324" t="s">
        <v>1375</v>
      </c>
      <c r="B62" s="3325"/>
      <c r="C62" s="1865"/>
      <c r="D62" s="1865" t="s">
        <v>1376</v>
      </c>
      <c r="E62" s="158" t="s">
        <v>1377</v>
      </c>
      <c r="F62" s="1670"/>
      <c r="G62" s="1670"/>
      <c r="H62" s="151"/>
      <c r="I62" s="121"/>
    </row>
    <row r="63" spans="1:35" ht="13.2">
      <c r="A63" s="165" t="s">
        <v>330</v>
      </c>
      <c r="B63" s="159" t="s">
        <v>1378</v>
      </c>
      <c r="C63" s="3181">
        <f ca="1">ROUND((C64+C65)/(1+'数据-取费表'!C42),4)</f>
        <v>91.223500000000001</v>
      </c>
      <c r="D63" s="159"/>
      <c r="E63" s="160"/>
      <c r="F63" s="1670"/>
      <c r="G63" s="1670"/>
      <c r="H63" s="151"/>
      <c r="I63" s="121"/>
      <c r="J63" s="3288" t="s">
        <v>1379</v>
      </c>
      <c r="K63" s="1245" t="s">
        <v>1380</v>
      </c>
      <c r="L63" s="1245">
        <f ca="1">IF(M49&gt;10000,M49*0.5%,IF(AND(M49&gt;1000,M49&lt;=10000),M49*1%,IF(AND(M49&gt;100,M49&lt;=1000),M49*3%,IF(AND(M49&gt;10,M49&lt;=100),M49*5%,M49*8%))))</f>
        <v>4.7892350000000006</v>
      </c>
      <c r="M63" s="294">
        <f ca="1">ROUND(L63,1)</f>
        <v>4.8</v>
      </c>
      <c r="N63" s="2329"/>
      <c r="Z63" s="1623"/>
      <c r="AI63" s="1561"/>
    </row>
    <row r="64" spans="1:35" ht="14.25" customHeight="1">
      <c r="A64" s="161" t="s">
        <v>325</v>
      </c>
      <c r="B64" s="162" t="s">
        <v>1381</v>
      </c>
      <c r="C64" s="3182">
        <f ca="1">D45</f>
        <v>95.784700000000001</v>
      </c>
      <c r="D64" s="162" t="s">
        <v>26</v>
      </c>
      <c r="E64" s="164"/>
      <c r="F64" s="1670"/>
      <c r="G64" s="1670"/>
      <c r="H64" s="151"/>
      <c r="I64" s="121"/>
      <c r="J64" s="3288"/>
      <c r="K64" s="1245" t="s">
        <v>1382</v>
      </c>
      <c r="L64" s="1245">
        <f ca="1">IF(M49&gt;2000,M49*0.5%,IF(AND(M49&gt;1000,M49&lt;=2000),M49*0.6%,IF(AND(M49&gt;500,M49&lt;=1000),M49*0.7%,IF(AND(M49&gt;200,M49&lt;=500),M49*0.8%,IF(AND(M49&gt;100,M49&lt;=200),M49*0.9%,IF(AND(M49&gt;50,M49&lt;=100),M49*1%,IF(AND(M49&gt;20,M49&lt;=50),M49*1.5%,IF(AND(M49&gt;10,M49&lt;=20),M49*2%,IF(AND(M49&gt;1,M49&lt;=10),M49*2.5%)))))))))</f>
        <v>0.957847</v>
      </c>
      <c r="M64" s="294">
        <f t="shared" ref="M64:M65" ca="1" si="1">ROUND(L64,1)</f>
        <v>1</v>
      </c>
      <c r="N64" s="2330" t="s">
        <v>1383</v>
      </c>
      <c r="Z64" s="1623"/>
      <c r="AI64" s="1561"/>
    </row>
    <row r="65" spans="1:35" ht="14.25" customHeight="1">
      <c r="A65" s="161" t="s">
        <v>326</v>
      </c>
      <c r="B65" s="162" t="s">
        <v>1384</v>
      </c>
      <c r="C65" s="2349"/>
      <c r="D65" s="162"/>
      <c r="E65" s="164"/>
      <c r="F65" s="1670"/>
      <c r="G65" s="1670"/>
      <c r="H65" s="151"/>
      <c r="I65" s="121"/>
      <c r="J65" s="3288"/>
      <c r="K65" s="1245" t="s">
        <v>1385</v>
      </c>
      <c r="L65" s="1245">
        <f ca="1">IF(M49&gt;1000,M49*0.1%,IF(AND(M49&gt;500,M49&lt;=1000),M49*0.5%,IF(AND(M49&gt;50,M49&lt;=500),M49*1%,IF(AND(M49&gt;1,M49&lt;=50),M49*1.5%))))</f>
        <v>0.957847</v>
      </c>
      <c r="M65" s="294">
        <f t="shared" ca="1" si="1"/>
        <v>1</v>
      </c>
      <c r="N65" s="2330" t="s">
        <v>1383</v>
      </c>
      <c r="Z65" s="1623"/>
      <c r="AI65" s="1561"/>
    </row>
    <row r="66" spans="1:35" ht="14.25" customHeight="1">
      <c r="A66" s="165" t="s">
        <v>327</v>
      </c>
      <c r="B66" s="166" t="s">
        <v>1386</v>
      </c>
      <c r="C66" s="2350">
        <f>C75/1.05</f>
        <v>99.293333333333322</v>
      </c>
      <c r="D66" s="166" t="s">
        <v>26</v>
      </c>
      <c r="E66" s="1251" t="s">
        <v>671</v>
      </c>
      <c r="F66" s="1670"/>
      <c r="G66" s="1670"/>
      <c r="H66" s="151"/>
      <c r="I66" s="121"/>
      <c r="J66" s="3288"/>
      <c r="K66" s="1245" t="s">
        <v>1387</v>
      </c>
      <c r="L66" s="1245">
        <f ca="1">M49*0.5%</f>
        <v>0.4789235</v>
      </c>
      <c r="M66" s="294">
        <f ca="1">IF(L66&gt;0.5,0.5,ROUND(L66,0))</f>
        <v>0</v>
      </c>
      <c r="N66" s="2330" t="s">
        <v>1388</v>
      </c>
      <c r="Z66" s="1623"/>
      <c r="AI66" s="1561"/>
    </row>
    <row r="67" spans="1:35" ht="14.25" customHeight="1">
      <c r="A67" s="165" t="s">
        <v>328</v>
      </c>
      <c r="B67" s="166" t="s">
        <v>1389</v>
      </c>
      <c r="C67" s="2351">
        <f ca="1">C63-C66</f>
        <v>-8.069833333333321</v>
      </c>
      <c r="D67" s="162" t="s">
        <v>26</v>
      </c>
      <c r="E67" s="164"/>
      <c r="F67" s="1670"/>
      <c r="G67" s="1670"/>
      <c r="H67" s="151"/>
      <c r="I67" s="121"/>
      <c r="J67" s="3288"/>
      <c r="K67" s="1245" t="s">
        <v>1390</v>
      </c>
      <c r="L67" s="1245">
        <f ca="1">IF(M49&gt;=10000,(8.25+(M49-10000)*0.01%),IF(AND(M49&gt;=8000,M49&lt;10000),(7.85+(M49-8000)*0.02%),IF(AND(M49&gt;=5000,M49&lt;8000),(6.65+(M49-5000)*0.04%),IF(AND(M49&gt;=2000,M49&lt;5000),(4.25+(PM49-2000)*0.08%),IF(AND(M49&gt;=1000,M49&lt;2000),(2.75+(M49-1000)*0.15%),IF(AND(M49&gt;=100,M49&lt;1000),(0.5+(M49-100)*0.25%),IF(AND(M49&gt;0,M49&lt;100),M49*0.5%)))))))</f>
        <v>0.4789235</v>
      </c>
      <c r="M67" s="294">
        <f ca="1">ROUND(L67*0.9,1)</f>
        <v>0.4</v>
      </c>
      <c r="N67" s="2329"/>
      <c r="Z67" s="1623"/>
      <c r="AI67" s="1561"/>
    </row>
    <row r="68" spans="1:35" ht="14.25" customHeight="1" thickBot="1">
      <c r="A68" s="168" t="s">
        <v>329</v>
      </c>
      <c r="B68" s="169" t="s">
        <v>1391</v>
      </c>
      <c r="C68" s="3180">
        <f ca="1">IF(C67&lt;=0,0,ROUND(C67*D68,4))</f>
        <v>0</v>
      </c>
      <c r="D68" s="2352">
        <f>'数据-取费表'!B41</f>
        <v>5.6000000000000001E-2</v>
      </c>
      <c r="E68" s="170"/>
      <c r="F68" s="1670"/>
      <c r="G68" s="1670"/>
      <c r="H68" s="151"/>
      <c r="I68" s="121"/>
      <c r="J68" s="3288"/>
      <c r="K68" s="1245" t="s">
        <v>1392</v>
      </c>
      <c r="L68" s="1245">
        <f ca="1">IF(M49&gt;10000,M49*0.5%,IF(AND(M49&gt;5000,M49&lt;=10000),M49*1%,IF(AND(M49&gt;1000,M49&lt;=5000),M49*2%,IF(AND(M49&gt;200,M49&lt;=1000),M49*3%,M49*5%))))</f>
        <v>4.7892350000000006</v>
      </c>
      <c r="M68" s="294">
        <f ca="1">ROUND(L68,1)</f>
        <v>4.8</v>
      </c>
      <c r="N68" s="2329"/>
      <c r="Z68" s="1623"/>
      <c r="AI68" s="1561"/>
    </row>
    <row r="69" spans="1:35" ht="16.5" customHeight="1">
      <c r="A69" s="1672"/>
      <c r="B69" s="1673"/>
      <c r="C69" s="1674"/>
      <c r="D69" s="1675"/>
      <c r="E69" s="1676"/>
      <c r="F69" s="1466"/>
      <c r="G69" s="1466"/>
      <c r="H69" s="1467"/>
      <c r="I69" s="646"/>
      <c r="J69" s="3288"/>
      <c r="K69" s="1245" t="s">
        <v>1393</v>
      </c>
      <c r="L69" s="1245"/>
      <c r="M69" s="294">
        <f ca="1">ROUND(SUM(M63:M68),0)</f>
        <v>12</v>
      </c>
      <c r="N69" s="2331">
        <f ca="1">M69/M49</f>
        <v>0.12528096867244978</v>
      </c>
      <c r="Z69" s="1623"/>
      <c r="AI69" s="1561"/>
    </row>
    <row r="70" spans="1:35" s="642" customFormat="1" ht="14.4" thickBot="1">
      <c r="A70" s="3332" t="s">
        <v>1394</v>
      </c>
      <c r="B70" s="3333"/>
      <c r="C70" s="3333"/>
      <c r="D70" s="3333"/>
      <c r="E70" s="3333"/>
      <c r="F70" s="3333"/>
      <c r="G70" s="3333"/>
      <c r="H70" s="333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4" t="s">
        <v>1375</v>
      </c>
      <c r="B71" s="332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3183">
        <f ca="1">ROUND(D45/(1+'数据-取费表'!C42),4)</f>
        <v>91.223500000000001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3183">
        <f ca="1">C74+C78</f>
        <v>118.50770000000001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3085">
        <f>ROUND(IF(G77="2016年5月1日后购买",C75/(1+'数据-取费表'!C42)+C76+C77,C75+C76+C77),4)</f>
        <v>117.96040000000001</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3184">
        <f>面积信息!K2</f>
        <v>104.258</v>
      </c>
      <c r="D75" s="162" t="s">
        <v>26</v>
      </c>
      <c r="E75" s="176" t="s">
        <v>1399</v>
      </c>
      <c r="F75" s="2354" t="s">
        <v>3541</v>
      </c>
      <c r="G75" s="176" t="s">
        <v>1400</v>
      </c>
      <c r="H75" s="2355">
        <f>2025-2022</f>
        <v>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085">
        <f>IF(F75="购房发票",ROUND(C75*H75*D76,4),0)</f>
        <v>15.6387</v>
      </c>
      <c r="D76" s="2356">
        <v>0.05</v>
      </c>
      <c r="E76" s="3329" t="s">
        <v>1402</v>
      </c>
      <c r="F76" s="3328"/>
      <c r="G76" s="3328"/>
      <c r="H76" s="333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085">
        <f>ROUND(IF(G77="个人住宅",0,IF(G77="2016年5月1日前购买",C75*D77,C75*D77/(1+'数据-取费表'!C42))),4)</f>
        <v>3.0284</v>
      </c>
      <c r="D77" s="2357">
        <f>'数据-取费表'!B48+'数据-取费表'!B49</f>
        <v>3.0499999999999999E-2</v>
      </c>
      <c r="E77" s="12" t="s">
        <v>1404</v>
      </c>
      <c r="F77" s="178"/>
      <c r="G77" s="1682" t="s">
        <v>3542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185">
        <f ca="1">ROUND(D45*D78/(1+'数据-取费表'!C42),4)</f>
        <v>0.54730000000000001</v>
      </c>
      <c r="D78" s="2359">
        <f>'数据-取费表'!B43</f>
        <v>6.000000000000001E-3</v>
      </c>
      <c r="E78" s="3321" t="s">
        <v>1406</v>
      </c>
      <c r="F78" s="3322"/>
      <c r="G78" s="3322"/>
      <c r="H78" s="332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1">
        <f ca="1">C72-C73</f>
        <v>-27.284200000000013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3186">
        <f ca="1">ROUND(IF(C79&lt;=0,0,IF(C80&gt;=200%,C79*60%-C73*35%,IF(C80&gt;=100%,C79*50%-C73*15%,IF(C80&gt;=50%,C79*40%-C73*5%,IF(C80&lt;50%,C79*30%,0))))),4)</f>
        <v>0</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2" t="s">
        <v>1410</v>
      </c>
      <c r="B83" s="3333"/>
      <c r="C83" s="3333"/>
      <c r="D83" s="3333"/>
      <c r="E83" s="3333"/>
      <c r="F83" s="3333"/>
      <c r="G83" s="3333"/>
      <c r="H83" s="333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4" t="s">
        <v>1375</v>
      </c>
      <c r="B84" s="332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91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1</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8">
        <f>C88+C89</f>
        <v>0</v>
      </c>
      <c r="D87" s="2359"/>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4"/>
      <c r="D88" s="2359"/>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8">
        <f>ROUND(C88*D89,0)</f>
        <v>0</v>
      </c>
      <c r="D89" s="2359">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4"/>
      <c r="D90" s="2359"/>
      <c r="E90" s="185" t="str">
        <f>IF(H88="-","土地取得成本中已包含该笔费用"," ")</f>
        <v xml:space="preserve"> </v>
      </c>
      <c r="F90" s="2148"/>
      <c r="G90" s="3290" t="s">
        <v>2127</v>
      </c>
      <c r="H90" s="3291"/>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321" t="s">
        <v>1419</v>
      </c>
      <c r="F91" s="3322"/>
      <c r="G91" s="332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321" t="s">
        <v>1422</v>
      </c>
      <c r="F92" s="3322"/>
      <c r="G92" s="3322"/>
      <c r="H92" s="3323"/>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1</v>
      </c>
      <c r="D93" s="2359">
        <f>'数据-取费表'!B43</f>
        <v>6.000000000000001E-3</v>
      </c>
      <c r="E93" s="3321" t="s">
        <v>1406</v>
      </c>
      <c r="F93" s="3322"/>
      <c r="G93" s="3322"/>
      <c r="H93" s="332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366" t="s">
        <v>1426</v>
      </c>
      <c r="F94" s="3367"/>
      <c r="G94" s="3367"/>
      <c r="H94" s="336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1">
        <f ca="1">ROUND(C85-C86,0)</f>
        <v>90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f ca="1">IF(C95&lt;=0,0,C95/C86)</f>
        <v>90</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1">
        <f ca="1">ROUND(IF(C95&lt;=0,0,IF(C96&gt;=200%,C95*60%-C86*35%,IF(C96&gt;=100%,C95*50%-C86*15%,IF(C96&gt;=50%,C95*40%-C86*5%,IF(C96&lt;50%,C95*30%,0))))),0)</f>
        <v>54</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1" t="s">
        <v>1428</v>
      </c>
      <c r="B100" s="3272"/>
      <c r="C100" s="3272"/>
      <c r="D100" s="3306"/>
      <c r="E100" s="3272" t="s">
        <v>1429</v>
      </c>
      <c r="F100" s="3272"/>
      <c r="G100" s="3272"/>
      <c r="H100" s="3306"/>
      <c r="I100" s="121"/>
    </row>
    <row r="101" spans="1:35" ht="18.75" customHeight="1">
      <c r="A101" s="3314" t="s">
        <v>1430</v>
      </c>
      <c r="B101" s="3315"/>
      <c r="C101" s="2367" t="str">
        <f>C4</f>
        <v>比较法-办公</v>
      </c>
      <c r="D101" s="2368" t="str">
        <f>D4</f>
        <v>收益法 (元)</v>
      </c>
      <c r="E101" s="3284" t="s">
        <v>1431</v>
      </c>
      <c r="F101" s="3285"/>
      <c r="G101" s="1687" t="s">
        <v>1432</v>
      </c>
      <c r="H101" s="2377">
        <f ca="1">H118</f>
        <v>95.784700000000001</v>
      </c>
      <c r="I101" s="121"/>
    </row>
    <row r="102" spans="1:35" ht="18.75" customHeight="1">
      <c r="A102" s="3316" t="s">
        <v>1433</v>
      </c>
      <c r="B102" s="2366" t="s">
        <v>1432</v>
      </c>
      <c r="C102" s="2367">
        <f ca="1">IF(D32="楼面单价",ROUND(C19,0),C19)</f>
        <v>112</v>
      </c>
      <c r="D102" s="2368">
        <f ca="1">IF(D32="楼面单价",ROUND(D19,0),D19)</f>
        <v>72</v>
      </c>
      <c r="E102" s="3284"/>
      <c r="F102" s="3285"/>
      <c r="G102" s="1687" t="s">
        <v>1434</v>
      </c>
      <c r="H102" s="2340">
        <f ca="1">I118</f>
        <v>10106</v>
      </c>
      <c r="I102" s="121"/>
    </row>
    <row r="103" spans="1:35" ht="42.75" customHeight="1">
      <c r="A103" s="3316"/>
      <c r="B103" s="2366" t="s">
        <v>1434</v>
      </c>
      <c r="C103" s="2369">
        <f ca="1">C20</f>
        <v>11801</v>
      </c>
      <c r="D103" s="2370">
        <f ca="1">D20</f>
        <v>7564</v>
      </c>
      <c r="E103" s="3277" t="s">
        <v>1435</v>
      </c>
      <c r="F103" s="3278"/>
      <c r="G103" s="1688" t="s">
        <v>1436</v>
      </c>
      <c r="H103" s="2377">
        <f>IF(D36="正常操作",H104+H105+H106,H105+H106)</f>
        <v>0</v>
      </c>
      <c r="I103" s="121"/>
    </row>
    <row r="104" spans="1:35" ht="18.75" customHeight="1">
      <c r="A104" s="3316" t="s">
        <v>1437</v>
      </c>
      <c r="B104" s="2371" t="s">
        <v>1432</v>
      </c>
      <c r="C104" s="2372">
        <f ca="1">H118</f>
        <v>95.784700000000001</v>
      </c>
      <c r="D104" s="2373"/>
      <c r="E104" s="1555" t="s">
        <v>1438</v>
      </c>
      <c r="F104" s="1548"/>
      <c r="G104" s="1688" t="s">
        <v>1436</v>
      </c>
      <c r="H104" s="2378">
        <f>IF(D36="同一抵押权人同一抵押物续贷",C36&amp;"（续贷，未扣减，详见特别提示）",C36)</f>
        <v>0</v>
      </c>
      <c r="I104" s="121"/>
    </row>
    <row r="105" spans="1:35" ht="18.75" customHeight="1" thickBot="1">
      <c r="A105" s="3326"/>
      <c r="B105" s="2374" t="s">
        <v>1434</v>
      </c>
      <c r="C105" s="2375">
        <f ca="1">I118</f>
        <v>10106</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317" t="str">
        <f>IF(项目基本情况!E8="已注销","——","3.房地产抵押价值")</f>
        <v>3.房地产抵押价值</v>
      </c>
      <c r="F107" s="3285"/>
      <c r="G107" s="1687" t="s">
        <v>1432</v>
      </c>
      <c r="H107" s="2377">
        <f ca="1">IF(E107="——","——",H101-H103)</f>
        <v>95.784700000000001</v>
      </c>
      <c r="I107" s="121"/>
    </row>
    <row r="108" spans="1:35" ht="18.75" customHeight="1">
      <c r="A108" s="121"/>
      <c r="B108" s="121"/>
      <c r="C108" s="121"/>
      <c r="D108" s="121"/>
      <c r="E108" s="3317"/>
      <c r="F108" s="3285"/>
      <c r="G108" s="1687" t="s">
        <v>1434</v>
      </c>
      <c r="H108" s="2340">
        <f ca="1">IF(H107=H101,H102,ROUND(H107*10000/'数据-汇总表'!E3,0))</f>
        <v>10106</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285"/>
      <c r="G109" s="1687" t="s">
        <v>1432</v>
      </c>
      <c r="H109" s="2380" t="str">
        <f>IF(E109="——","——",H101-H105-H106)</f>
        <v>——</v>
      </c>
      <c r="I109" s="121"/>
    </row>
    <row r="110" spans="1:35" ht="18.75" customHeight="1">
      <c r="A110" s="121"/>
      <c r="B110" s="121"/>
      <c r="C110" s="121"/>
      <c r="D110" s="121"/>
      <c r="E110" s="3317"/>
      <c r="F110" s="3285"/>
      <c r="G110" s="1687" t="s">
        <v>1434</v>
      </c>
      <c r="H110" s="2340" t="str">
        <f>IF(H109="——","——",ROUND(H109*10000/'数据-汇总表'!E3,0))</f>
        <v>——</v>
      </c>
      <c r="I110" s="121"/>
    </row>
    <row r="111" spans="1:35" ht="18.75" customHeight="1">
      <c r="A111" s="121"/>
      <c r="B111" s="121"/>
      <c r="C111" s="121"/>
      <c r="D111" s="121"/>
      <c r="E111" s="3318" t="str">
        <f>IF(项目基本情况!E9="抵押净值",IF(OR(项目基本情况!E8="已注销",项目基本情况!E8="房地产抵押价值"),"4.抵押净值","5.抵押净值"),"——")</f>
        <v>4.抵押净值</v>
      </c>
      <c r="F111" s="3304"/>
      <c r="G111" s="1687" t="s">
        <v>1432</v>
      </c>
      <c r="H111" s="2377">
        <f ca="1">IF(E111="——","——",N59)</f>
        <v>95.736800000000002</v>
      </c>
      <c r="I111" s="121"/>
    </row>
    <row r="112" spans="1:35" ht="18.75" customHeight="1" thickBot="1">
      <c r="A112" s="121"/>
      <c r="B112" s="121"/>
      <c r="C112" s="121"/>
      <c r="D112" s="121"/>
      <c r="E112" s="3319"/>
      <c r="F112" s="3320"/>
      <c r="G112" s="1690" t="s">
        <v>1434</v>
      </c>
      <c r="H112" s="2381">
        <f ca="1">IF(E111="——","——",N61)</f>
        <v>10101</v>
      </c>
      <c r="I112" s="121"/>
    </row>
    <row r="113" spans="1:27" ht="18.75" customHeight="1">
      <c r="A113" s="121"/>
      <c r="B113" s="121"/>
      <c r="C113" s="121"/>
      <c r="D113" s="121"/>
      <c r="E113" s="3327" t="s">
        <v>1440</v>
      </c>
      <c r="F113" s="3327"/>
      <c r="G113" s="3327"/>
      <c r="H113" s="3327"/>
      <c r="I113" s="121"/>
    </row>
    <row r="114" spans="1:27" ht="3.75" customHeight="1">
      <c r="A114" s="646"/>
      <c r="B114" s="646"/>
      <c r="C114" s="646"/>
      <c r="D114" s="646"/>
      <c r="E114" s="1671"/>
      <c r="F114" s="1671"/>
      <c r="G114" s="1671"/>
      <c r="H114" s="1671"/>
      <c r="I114" s="646"/>
    </row>
    <row r="115" spans="1:27" ht="18.75" customHeight="1">
      <c r="A115" s="3335" t="s">
        <v>1442</v>
      </c>
      <c r="B115" s="3336"/>
      <c r="C115" s="3336"/>
      <c r="D115" s="3336"/>
      <c r="E115" s="3336"/>
      <c r="F115" s="3336"/>
      <c r="G115" s="3336"/>
      <c r="H115" s="3336"/>
      <c r="I115" s="3337"/>
    </row>
    <row r="116" spans="1:27" ht="27" customHeight="1">
      <c r="A116" s="3292" t="s">
        <v>1443</v>
      </c>
      <c r="B116" s="3296" t="s">
        <v>1444</v>
      </c>
      <c r="C116" s="3296" t="s">
        <v>1445</v>
      </c>
      <c r="D116" s="3302" t="s">
        <v>1446</v>
      </c>
      <c r="E116" s="3303"/>
      <c r="F116" s="3334" t="s">
        <v>1447</v>
      </c>
      <c r="G116" s="3334"/>
      <c r="H116" s="3292" t="s">
        <v>1448</v>
      </c>
      <c r="I116" s="3292"/>
    </row>
    <row r="117" spans="1:27" ht="18.75" customHeight="1">
      <c r="A117" s="3292"/>
      <c r="B117" s="3297"/>
      <c r="C117" s="3297"/>
      <c r="D117" s="2150" t="s">
        <v>1449</v>
      </c>
      <c r="E117" s="2150" t="s">
        <v>1450</v>
      </c>
      <c r="F117" s="2150" t="s">
        <v>1449</v>
      </c>
      <c r="G117" s="2150" t="s">
        <v>1451</v>
      </c>
      <c r="H117" s="2150" t="s">
        <v>1449</v>
      </c>
      <c r="I117" s="2150" t="s">
        <v>1451</v>
      </c>
    </row>
    <row r="118" spans="1:27" ht="24.75" customHeight="1">
      <c r="A118" s="2382" t="str">
        <f>项目基本情况!S2</f>
        <v>北京市房山区辰光东路16号院5号楼10层1001等共计9套房地产</v>
      </c>
      <c r="B118" s="2150">
        <f>M18</f>
        <v>94.78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78">
        <f ca="1">ROUND(IF(D32="总价",C32,I118*B118/10000),4)</f>
        <v>95.784700000000001</v>
      </c>
      <c r="I118" s="2150">
        <f ca="1">ROUND(IF(D32="楼面单价",C32,H118*10000/B118),0)</f>
        <v>10106</v>
      </c>
    </row>
    <row r="119" spans="1:27" ht="18.75" customHeight="1">
      <c r="A119" s="3292" t="s">
        <v>1452</v>
      </c>
      <c r="B119" s="3292"/>
      <c r="C119" s="3292"/>
      <c r="D119" s="3298" t="str">
        <f>NUMBERSTRING(INT(D118*10000),2)&amp;"元整"</f>
        <v>零元整</v>
      </c>
      <c r="E119" s="3299"/>
      <c r="F119" s="3298" t="str">
        <f>NUMBERSTRING(INT(F118*10000),2)&amp;"元整"</f>
        <v>零元整</v>
      </c>
      <c r="G119" s="3299"/>
      <c r="H119" s="3298" t="str">
        <f ca="1">NUMBERSTRING(INT(H118*10000),2)&amp;"元整"</f>
        <v>玖拾伍万柒仟捌佰肆拾柒元整</v>
      </c>
      <c r="I119" s="3299"/>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8" t="s">
        <v>1452</v>
      </c>
      <c r="B121" s="3300"/>
      <c r="C121" s="3299"/>
      <c r="D121" s="3298" t="str">
        <f>IF(D120=0,"零元整",NUMBERSTRING(INT(D120*10000),2)&amp;"元整")</f>
        <v>零元整</v>
      </c>
      <c r="E121" s="3300"/>
      <c r="F121" s="3300"/>
      <c r="G121" s="3300"/>
      <c r="H121" s="3300"/>
      <c r="I121" s="3299"/>
      <c r="AA121" s="684"/>
    </row>
    <row r="122" spans="1:27" ht="18.75" customHeight="1">
      <c r="A122" s="3304" t="str">
        <f>IF(项目基本情况!B9="房地产市场价值","",MID(E107,3,LEN(E107)-2))</f>
        <v>房地产抵押价值</v>
      </c>
      <c r="B122" s="3304"/>
      <c r="C122" s="3304"/>
      <c r="D122" s="3293">
        <f ca="1">H107</f>
        <v>95.784700000000001</v>
      </c>
      <c r="E122" s="3294"/>
      <c r="F122" s="3294"/>
      <c r="G122" s="3294"/>
      <c r="H122" s="3294"/>
      <c r="I122" s="3295"/>
      <c r="AA122" s="684"/>
    </row>
    <row r="123" spans="1:27" ht="18.75" customHeight="1">
      <c r="A123" s="3292" t="s">
        <v>1452</v>
      </c>
      <c r="B123" s="3292"/>
      <c r="C123" s="3292"/>
      <c r="D123" s="3298" t="str">
        <f ca="1">NUMBERSTRING(INT(D122*10000),2)&amp;"元整"</f>
        <v>玖拾伍万柒仟捌佰肆拾柒元整</v>
      </c>
      <c r="E123" s="3300"/>
      <c r="F123" s="3300"/>
      <c r="G123" s="3300"/>
      <c r="H123" s="3300"/>
      <c r="I123" s="3299"/>
      <c r="AA123" s="684"/>
    </row>
    <row r="124" spans="1:27" ht="18.75" customHeight="1">
      <c r="A124" s="3304" t="str">
        <f>IF(项目基本情况!B9="房地产市场价值","",MID(E109,3,LEN(E109)-2))</f>
        <v/>
      </c>
      <c r="B124" s="3304"/>
      <c r="C124" s="3304"/>
      <c r="D124" s="3293" t="str">
        <f>H109</f>
        <v>——</v>
      </c>
      <c r="E124" s="3294"/>
      <c r="F124" s="3294"/>
      <c r="G124" s="3294"/>
      <c r="H124" s="3294"/>
      <c r="I124" s="3295"/>
      <c r="AA124" s="684"/>
    </row>
    <row r="125" spans="1:27" ht="18.75" customHeight="1">
      <c r="A125" s="3292" t="s">
        <v>1452</v>
      </c>
      <c r="B125" s="3292"/>
      <c r="C125" s="3292"/>
      <c r="D125" s="3298" t="e">
        <f>NUMBERSTRING(INT(D124*10000),2)&amp;"元整"</f>
        <v>#VALUE!</v>
      </c>
      <c r="E125" s="3300"/>
      <c r="F125" s="3300"/>
      <c r="G125" s="3300"/>
      <c r="H125" s="3300"/>
      <c r="I125" s="3299"/>
      <c r="AA125" s="684"/>
    </row>
    <row r="126" spans="1:27" ht="18.75" customHeight="1">
      <c r="A126" s="3304" t="str">
        <f>IF(项目基本情况!B9="房地产市场价值","",MID(E111,3,LEN(E111)-2))</f>
        <v>抵押净值</v>
      </c>
      <c r="B126" s="3304"/>
      <c r="C126" s="3304"/>
      <c r="D126" s="3293">
        <f ca="1">H111</f>
        <v>95.736800000000002</v>
      </c>
      <c r="E126" s="3294"/>
      <c r="F126" s="3294"/>
      <c r="G126" s="3294"/>
      <c r="H126" s="3294"/>
      <c r="I126" s="3295"/>
      <c r="AA126" s="684"/>
    </row>
    <row r="127" spans="1:27" ht="18.75" customHeight="1">
      <c r="A127" s="3292" t="s">
        <v>1452</v>
      </c>
      <c r="B127" s="3292"/>
      <c r="C127" s="3292"/>
      <c r="D127" s="3298" t="str">
        <f ca="1">NUMBERSTRING(INT(D126*10000),2)&amp;"元整"</f>
        <v>玖拾伍万柒仟叁佰陆拾捌元整</v>
      </c>
      <c r="E127" s="3300"/>
      <c r="F127" s="3300"/>
      <c r="G127" s="3300"/>
      <c r="H127" s="3300"/>
      <c r="I127" s="3299"/>
      <c r="AA127" s="684"/>
    </row>
    <row r="128" spans="1:27" ht="21.75" customHeight="1">
      <c r="A128" s="3301" t="s">
        <v>1453</v>
      </c>
      <c r="B128" s="3301"/>
      <c r="C128" s="3301"/>
      <c r="D128" s="3301"/>
      <c r="E128" s="3301"/>
      <c r="F128" s="3301"/>
      <c r="G128" s="3301"/>
      <c r="H128" s="3301"/>
      <c r="I128" s="330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FTB/1KJPDaCryeQ4G5YPXSOfMPfQnI185NrREw2b5YbsmP10wE2TAS0ZUBiVpNAOgQrpdkLbb1hlgJYdHFUN3A==" saltValue="aOO7ZWLK5c5Ni+1nf5eIEA=="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C5:D7">
    <cfRule type="cellIs" dxfId="183" priority="10" stopIfTrue="1" operator="equal">
      <formula>25</formula>
    </cfRule>
  </conditionalFormatting>
  <conditionalFormatting sqref="C8:D13">
    <cfRule type="cellIs" dxfId="182" priority="8" stopIfTrue="1" operator="equal">
      <formula>15</formula>
    </cfRule>
  </conditionalFormatting>
  <conditionalFormatting sqref="C14:D16">
    <cfRule type="cellIs" dxfId="181" priority="6" stopIfTrue="1" operator="equal">
      <formula>30</formula>
    </cfRule>
  </conditionalFormatting>
  <conditionalFormatting sqref="E36">
    <cfRule type="expression" dxfId="18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5064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94.78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94.78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38</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94.78</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71" t="s">
        <v>1544</v>
      </c>
    </row>
    <row r="43" spans="1:7" ht="13.5" customHeight="1">
      <c r="A43" s="734" t="s">
        <v>347</v>
      </c>
      <c r="B43" s="207" t="s">
        <v>1545</v>
      </c>
      <c r="C43" s="230">
        <f ca="1">ROUND(IF('数据-取费表'!B22&lt;=1,C39*F22*'数据-取费表'!B21/2,C39*(POWER((1+F22),'数据-取费表'!B21/2)-1)),0)</f>
        <v>0</v>
      </c>
      <c r="D43" s="230"/>
      <c r="E43" s="230"/>
      <c r="F43" s="231"/>
      <c r="G43" s="3372"/>
    </row>
    <row r="44" spans="1:7" ht="13.5" customHeight="1">
      <c r="A44" s="734" t="s">
        <v>348</v>
      </c>
      <c r="B44" s="207" t="s">
        <v>1546</v>
      </c>
      <c r="C44" s="230">
        <f ca="1">ROUND(IF('数据-取费表'!B22&lt;=1,C40*F22*'数据-取费表'!B21/2,C40*(POWER((1+F22),'数据-取费表'!B21/2)-1)),4)</f>
        <v>5.9999999999999995E-4</v>
      </c>
      <c r="D44" s="230"/>
      <c r="E44" s="230"/>
      <c r="F44" s="231"/>
      <c r="G44" s="3373"/>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56</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46</v>
      </c>
      <c r="D51" s="224"/>
      <c r="E51" s="224"/>
      <c r="F51" s="256"/>
      <c r="G51" s="226" t="s">
        <v>1560</v>
      </c>
    </row>
    <row r="52" spans="1:7" s="200" customFormat="1" ht="16.8" thickBot="1">
      <c r="A52" s="257" t="s">
        <v>1561</v>
      </c>
      <c r="B52" s="258"/>
      <c r="C52" s="259">
        <f ca="1">C31+C51</f>
        <v>48</v>
      </c>
      <c r="D52" s="258"/>
      <c r="E52" s="258"/>
      <c r="F52" s="258"/>
      <c r="G52" s="260"/>
    </row>
    <row r="55" spans="1:7" ht="15">
      <c r="B55" s="262" t="s">
        <v>1562</v>
      </c>
      <c r="C55" s="263"/>
    </row>
    <row r="56" spans="1:7">
      <c r="B56" s="265" t="s">
        <v>802</v>
      </c>
      <c r="C56" s="267">
        <f ca="1">1-C57</f>
        <v>4.2000000000000037E-2</v>
      </c>
    </row>
    <row r="57" spans="1:7">
      <c r="B57" s="265" t="s">
        <v>803</v>
      </c>
      <c r="C57" s="266">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9" t="str">
        <f>项目基本情况!B1</f>
        <v>北京市房山区辰光东路16号院5号楼10层1001等共计9套房地产抵押价值预评估</v>
      </c>
      <c r="C37" s="3189"/>
      <c r="D37" s="3189"/>
      <c r="E37" s="3189"/>
      <c r="F37" s="3189"/>
      <c r="G37" s="3189"/>
      <c r="H37" s="3189"/>
      <c r="I37" s="318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3"/>
      <c r="F1" s="2563"/>
      <c r="G1" s="2444"/>
      <c r="H1" s="2563"/>
      <c r="I1" s="2563"/>
      <c r="J1" s="2563"/>
      <c r="K1" s="2564">
        <f>MATCH(C1,'数据-取费表'!A6:A16,0)+5</f>
        <v>7</v>
      </c>
    </row>
    <row r="2" spans="1:33" ht="18" customHeight="1">
      <c r="A2" s="193" t="s">
        <v>1462</v>
      </c>
      <c r="B2" s="196">
        <f ca="1">C32</f>
        <v>-2</v>
      </c>
      <c r="C2" s="268" t="s">
        <v>1595</v>
      </c>
      <c r="D2" s="268"/>
      <c r="E2" s="2563"/>
      <c r="F2" s="2563"/>
      <c r="G2" s="2563"/>
      <c r="H2" s="2563"/>
      <c r="I2" s="2563"/>
      <c r="J2" s="2563"/>
      <c r="K2" s="2563"/>
    </row>
    <row r="3" spans="1:33" ht="18" customHeight="1" thickBot="1">
      <c r="A3" s="195" t="s">
        <v>1464</v>
      </c>
      <c r="B3" s="196">
        <f ca="1">ROUND(B2*10000/IF(C1="",'数据-汇总表'!E3,INDIRECT("'数据-取费表'!K"&amp;$K$1)),0)</f>
        <v>-211</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94.78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94.78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94.78</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4"/>
      <c r="H2" s="2464"/>
      <c r="I2" s="2464"/>
      <c r="J2" s="2464"/>
      <c r="K2" s="2465"/>
      <c r="L2" s="2464"/>
      <c r="M2" s="2464"/>
    </row>
    <row r="3" spans="1:37" ht="18" customHeight="1" thickBot="1">
      <c r="A3" s="1297" t="s">
        <v>806</v>
      </c>
      <c r="B3" s="1298">
        <f ca="1">IF(ISERROR(B2*10000/F43),0,ROUND(B2*10000/F43,0))</f>
        <v>0</v>
      </c>
      <c r="C3" s="1289" t="s">
        <v>807</v>
      </c>
      <c r="D3" s="1289"/>
      <c r="E3" s="1295"/>
      <c r="F3" s="1296"/>
      <c r="G3" s="2474"/>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6" t="s">
        <v>694</v>
      </c>
      <c r="C6" s="1011">
        <f ca="1">ROUND(F6*F8*F7*(1-F9)/10000,0)</f>
        <v>0</v>
      </c>
      <c r="D6" s="147" t="s">
        <v>2107</v>
      </c>
      <c r="E6" s="294" t="s">
        <v>696</v>
      </c>
      <c r="F6" s="295">
        <f ca="1">INDIRECT("'数据-取费表'!u"&amp;$G$1)</f>
        <v>0</v>
      </c>
      <c r="G6" s="1292"/>
      <c r="H6" s="1006" t="s">
        <v>398</v>
      </c>
      <c r="I6" s="3376" t="s">
        <v>694</v>
      </c>
      <c r="J6" s="293">
        <f ca="1">ROUND(M6*M8*M7*(1-M9)/10000,0)</f>
        <v>0</v>
      </c>
      <c r="K6" s="147" t="s">
        <v>2106</v>
      </c>
      <c r="L6" s="294" t="s">
        <v>696</v>
      </c>
      <c r="M6" s="295">
        <f ca="1">INDIRECT("'数据-取费表'!z"&amp;$G$1)</f>
        <v>0</v>
      </c>
    </row>
    <row r="7" spans="1:37" ht="18" customHeight="1">
      <c r="A7" s="1010"/>
      <c r="B7" s="3377"/>
      <c r="C7" s="1012"/>
      <c r="D7" s="299"/>
      <c r="E7" s="1013" t="s">
        <v>697</v>
      </c>
      <c r="F7" s="295">
        <f ca="1">IF(INDIRECT("'数据-取费表'!ah"&amp;$G$1)="",INDIRECT("'数据-取费表'!k"&amp;$G$1),INDIRECT("'数据-取费表'!ah"&amp;$G$1))</f>
        <v>0</v>
      </c>
      <c r="G7" s="1292"/>
      <c r="H7" s="296"/>
      <c r="I7" s="3377"/>
      <c r="J7" s="298"/>
      <c r="K7" s="299"/>
      <c r="L7" s="294" t="s">
        <v>697</v>
      </c>
      <c r="M7" s="295">
        <f ca="1">F7</f>
        <v>0</v>
      </c>
    </row>
    <row r="8" spans="1:37" ht="18" customHeight="1">
      <c r="A8" s="296"/>
      <c r="B8" s="3377"/>
      <c r="C8" s="298"/>
      <c r="D8" s="299"/>
      <c r="E8" s="294" t="s">
        <v>698</v>
      </c>
      <c r="F8" s="295">
        <f ca="1">INDIRECT("'数据-取费表'!ai"&amp;$G$1)</f>
        <v>0</v>
      </c>
      <c r="G8" s="1292"/>
      <c r="H8" s="296"/>
      <c r="I8" s="3377"/>
      <c r="J8" s="298"/>
      <c r="K8" s="299"/>
      <c r="L8" s="294" t="s">
        <v>698</v>
      </c>
      <c r="M8" s="295">
        <f ca="1">INDIRECT("'数据-取费表'!ai"&amp;$G$1)</f>
        <v>0</v>
      </c>
    </row>
    <row r="9" spans="1:37" ht="18" customHeight="1">
      <c r="A9" s="296"/>
      <c r="B9" s="3378"/>
      <c r="C9" s="298"/>
      <c r="D9" s="299"/>
      <c r="E9" s="294" t="s">
        <v>699</v>
      </c>
      <c r="F9" s="304">
        <f ca="1">INDIRECT("'数据-取费表'!w"&amp;$G$1)</f>
        <v>0</v>
      </c>
      <c r="G9" s="1292"/>
      <c r="H9" s="296"/>
      <c r="I9" s="337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6"/>
      <c r="I30" s="1305"/>
      <c r="J30" s="1306"/>
      <c r="K30" s="121"/>
      <c r="L30" s="2467"/>
      <c r="M30" s="2468"/>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5" t="s">
        <v>2304</v>
      </c>
      <c r="I31" s="1305"/>
      <c r="J31" s="1306"/>
      <c r="K31" s="121"/>
      <c r="L31" s="2467"/>
      <c r="M31" s="2468"/>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6"/>
      <c r="I32" s="1305"/>
      <c r="J32" s="1306"/>
      <c r="K32" s="121"/>
      <c r="L32" s="2467"/>
      <c r="M32" s="2468"/>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f ca="1">IF(项目基本情况!B11="自然人","——",ROUND(F34*F35/10000,2))</f>
        <v>0</v>
      </c>
      <c r="D34" s="316" t="s">
        <v>731</v>
      </c>
      <c r="E34" s="294" t="s">
        <v>732</v>
      </c>
      <c r="F34" s="317">
        <f>'数据-取费表'!B52</f>
        <v>1.5</v>
      </c>
      <c r="G34" s="1292"/>
      <c r="H34" s="2466"/>
      <c r="I34" s="1305"/>
      <c r="J34" s="1306"/>
      <c r="K34" s="2471"/>
      <c r="L34" s="2472"/>
      <c r="M34" s="2472"/>
    </row>
    <row r="35" spans="1:18" ht="18" customHeight="1">
      <c r="A35" s="1040"/>
      <c r="B35" s="1038"/>
      <c r="C35" s="26"/>
      <c r="D35" s="319"/>
      <c r="E35" s="294" t="s">
        <v>736</v>
      </c>
      <c r="F35" s="295">
        <f ca="1">INDIRECT("'数据-取费表'!r"&amp;$G$1)</f>
        <v>0</v>
      </c>
      <c r="G35" s="1292"/>
      <c r="H35" s="2466"/>
      <c r="I35" s="1305"/>
      <c r="J35" s="1306"/>
      <c r="K35" s="2470"/>
      <c r="L35" s="2469"/>
      <c r="M35" s="2469"/>
    </row>
    <row r="36" spans="1:18" ht="18" customHeight="1">
      <c r="A36" s="1039" t="s">
        <v>402</v>
      </c>
      <c r="B36" s="294" t="s">
        <v>738</v>
      </c>
      <c r="C36" s="21">
        <f ca="1">ROUND(C29*F36,2)</f>
        <v>0</v>
      </c>
      <c r="D36" s="1256" t="s">
        <v>771</v>
      </c>
      <c r="E36" s="294" t="s">
        <v>712</v>
      </c>
      <c r="F36" s="320">
        <f ca="1">INDIRECT("'数据-取费表'!Ak"&amp;$G$1)</f>
        <v>0</v>
      </c>
      <c r="G36" s="1292"/>
      <c r="H36" s="2469"/>
      <c r="I36" s="1305"/>
      <c r="J36" s="1306"/>
      <c r="K36" s="2330"/>
      <c r="L36" s="2469"/>
      <c r="M36" s="2469"/>
    </row>
    <row r="37" spans="1:18" ht="18" customHeight="1">
      <c r="A37" s="928" t="s">
        <v>437</v>
      </c>
      <c r="B37" s="294" t="s">
        <v>742</v>
      </c>
      <c r="C37" s="21">
        <f ca="1">ROUND(C13*F37,2)</f>
        <v>0</v>
      </c>
      <c r="D37" s="1256" t="s">
        <v>743</v>
      </c>
      <c r="E37" s="294" t="s">
        <v>744</v>
      </c>
      <c r="F37" s="321">
        <f ca="1">INDIRECT("'数据-取费表'!Al"&amp;$G$1)</f>
        <v>0</v>
      </c>
      <c r="G37" s="1292"/>
      <c r="H37" s="2469"/>
      <c r="I37" s="1305"/>
      <c r="J37" s="1306"/>
      <c r="K37" s="2330"/>
      <c r="L37" s="2469"/>
      <c r="M37" s="2469"/>
    </row>
    <row r="38" spans="1:18" ht="18" customHeight="1" thickBot="1">
      <c r="A38" s="1026" t="s">
        <v>684</v>
      </c>
      <c r="B38" s="1027" t="s">
        <v>728</v>
      </c>
      <c r="C38" s="1028">
        <f ca="1">ROUND(C5*F38,2)</f>
        <v>0</v>
      </c>
      <c r="D38" s="1029" t="s">
        <v>748</v>
      </c>
      <c r="E38" s="1027" t="s">
        <v>744</v>
      </c>
      <c r="F38" s="1023">
        <f ca="1">INDIRECT("'数据-取费表'!Am"&amp;$G$1)</f>
        <v>0</v>
      </c>
      <c r="G38" s="1292"/>
      <c r="H38" s="2469"/>
      <c r="I38" s="1305"/>
      <c r="J38" s="1306"/>
      <c r="K38" s="2467"/>
      <c r="L38" s="2469"/>
      <c r="M38" s="2469"/>
    </row>
    <row r="39" spans="1:18" ht="24.6" customHeight="1" thickTop="1">
      <c r="A39" s="1016" t="s">
        <v>394</v>
      </c>
      <c r="B39" s="1031" t="s">
        <v>772</v>
      </c>
      <c r="C39" s="302">
        <f ca="1">C5-C30</f>
        <v>0</v>
      </c>
      <c r="D39" s="1032" t="s">
        <v>773</v>
      </c>
      <c r="E39" s="1033"/>
      <c r="F39" s="1034"/>
      <c r="G39" s="1292"/>
      <c r="H39" s="2469"/>
      <c r="I39" s="1305"/>
      <c r="J39" s="1306"/>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3"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374" t="s">
        <v>837</v>
      </c>
      <c r="L53" s="3375"/>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79" priority="3">
      <formula>$F$10="自定义"</formula>
    </cfRule>
  </conditionalFormatting>
  <conditionalFormatting sqref="C54">
    <cfRule type="expression" dxfId="178" priority="1">
      <formula>$F$53="自定义"</formula>
    </cfRule>
  </conditionalFormatting>
  <conditionalFormatting sqref="I55 I60">
    <cfRule type="expression" dxfId="177" priority="57">
      <formula>$J$51&gt;$L$48</formula>
    </cfRule>
  </conditionalFormatting>
  <conditionalFormatting sqref="J11">
    <cfRule type="expression" dxfId="176" priority="2">
      <formula>$M$10="自定义"</formula>
    </cfRule>
  </conditionalFormatting>
  <conditionalFormatting sqref="K55 K60">
    <cfRule type="expression" dxfId="175"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26AEA-4320-4174-81D8-E4F9103DCACF}">
  <sheetPr>
    <tabColor rgb="FFFF0000"/>
  </sheetPr>
  <dimension ref="A1:AJ512"/>
  <sheetViews>
    <sheetView view="pageBreakPreview" topLeftCell="A55" zoomScale="70" zoomScaleNormal="100" zoomScaleSheetLayoutView="70" zoomScalePageLayoutView="80" workbookViewId="0">
      <selection activeCell="C75" sqref="C7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1001</v>
      </c>
      <c r="D1" s="646"/>
      <c r="E1" s="646"/>
      <c r="F1" s="1621" t="s">
        <v>1263</v>
      </c>
      <c r="G1" s="1453"/>
      <c r="H1" s="1621" t="str">
        <f>IF(G1="现房","——","估价对象范围")</f>
        <v>估价对象范围</v>
      </c>
      <c r="I1" s="1622"/>
    </row>
    <row r="2" spans="1:12" ht="21.75" customHeight="1" thickBot="1">
      <c r="A2" s="3344" t="str">
        <f>项目基本情况!S2</f>
        <v>北京市房山区辰光东路16号院5号楼10层1001等共计9套房地产</v>
      </c>
      <c r="B2" s="3345"/>
      <c r="C2" s="3345"/>
      <c r="D2" s="3345"/>
      <c r="E2" s="3345"/>
      <c r="F2" s="3345"/>
      <c r="G2" s="3345"/>
      <c r="H2" s="3345"/>
      <c r="I2" s="3346"/>
    </row>
    <row r="3" spans="1:12" ht="13.2">
      <c r="A3" s="3348" t="s">
        <v>1264</v>
      </c>
      <c r="B3" s="3349"/>
      <c r="C3" s="3349"/>
      <c r="D3" s="3349"/>
      <c r="E3" s="3349"/>
      <c r="F3" s="3349"/>
      <c r="G3" s="3349"/>
      <c r="H3" s="3349"/>
      <c r="I3" s="3349"/>
    </row>
    <row r="4" spans="1:12" ht="14.4">
      <c r="A4" s="1624" t="s">
        <v>1265</v>
      </c>
      <c r="B4" s="1625" t="s">
        <v>1266</v>
      </c>
      <c r="C4" s="1626" t="s">
        <v>3456</v>
      </c>
      <c r="D4" s="1626" t="s">
        <v>3454</v>
      </c>
      <c r="E4" s="3353" t="s">
        <v>1267</v>
      </c>
      <c r="F4" s="3354"/>
      <c r="G4" s="3354"/>
      <c r="H4" s="3354"/>
      <c r="I4" s="3355"/>
      <c r="K4" s="138" t="str">
        <f>IF(ISNUMBER(FIND("比较法",结果表1002!C4)),"比较法",IF(ISNUMBER(FIND("成本法",结果表1002!C4)),"成本法",IF(ISNUMBER(FIND("假设开发法",结果表1002!C4)),"假设开发法",IF(ISNUMBER(FIND("收益法",结果表1002!C4)),"收益法","基准地价系数修正法"))))</f>
        <v>比较法</v>
      </c>
      <c r="L4" s="138" t="str">
        <f>IF(ISNUMBER(FIND("比较法",结果表1002!D4)),"比较法",IF(ISNUMBER(FIND("成本法",结果表1002!D4)),"成本法",IF(ISNUMBER(FIND("假设开发法",结果表1002!D4)),"假设开发法",IF(ISNUMBER(FIND("收益法",结果表1002!D4)),"收益法","基准地价系数修正法"))))</f>
        <v>收益法</v>
      </c>
    </row>
    <row r="5" spans="1:12" ht="13.2">
      <c r="A5" s="3292" t="s">
        <v>1268</v>
      </c>
      <c r="B5" s="3347">
        <v>25</v>
      </c>
      <c r="C5" s="3350"/>
      <c r="D5" s="3338"/>
      <c r="E5" s="123" t="s">
        <v>1269</v>
      </c>
      <c r="F5" s="1627"/>
      <c r="G5" s="1627"/>
      <c r="H5" s="1627"/>
      <c r="I5" s="1281"/>
    </row>
    <row r="6" spans="1:12" ht="13.2">
      <c r="A6" s="3292"/>
      <c r="B6" s="3347"/>
      <c r="C6" s="3352"/>
      <c r="D6" s="3338"/>
      <c r="E6" s="123" t="s">
        <v>1270</v>
      </c>
      <c r="F6" s="1627"/>
      <c r="G6" s="1627"/>
      <c r="H6" s="1627"/>
      <c r="I6" s="1281"/>
    </row>
    <row r="7" spans="1:12" ht="13.2">
      <c r="A7" s="3292"/>
      <c r="B7" s="3347"/>
      <c r="C7" s="3351"/>
      <c r="D7" s="3338"/>
      <c r="E7" s="123" t="s">
        <v>1271</v>
      </c>
      <c r="F7" s="1627"/>
      <c r="G7" s="1627"/>
      <c r="H7" s="1627"/>
      <c r="I7" s="1281"/>
    </row>
    <row r="8" spans="1:12" ht="13.2">
      <c r="A8" s="3292" t="s">
        <v>1272</v>
      </c>
      <c r="B8" s="3347">
        <v>15</v>
      </c>
      <c r="C8" s="3350"/>
      <c r="D8" s="3338"/>
      <c r="E8" s="123" t="s">
        <v>1273</v>
      </c>
      <c r="F8" s="1627"/>
      <c r="G8" s="1627"/>
      <c r="H8" s="1627"/>
      <c r="I8" s="1281"/>
    </row>
    <row r="9" spans="1:12" ht="13.2">
      <c r="A9" s="3292"/>
      <c r="B9" s="3347"/>
      <c r="C9" s="3351"/>
      <c r="D9" s="3338"/>
      <c r="E9" s="123" t="s">
        <v>1274</v>
      </c>
      <c r="F9" s="1627"/>
      <c r="G9" s="1627"/>
      <c r="H9" s="1627"/>
      <c r="I9" s="1281"/>
    </row>
    <row r="10" spans="1:12" ht="13.2">
      <c r="A10" s="3292" t="s">
        <v>1275</v>
      </c>
      <c r="B10" s="3347">
        <v>15</v>
      </c>
      <c r="C10" s="3350"/>
      <c r="D10" s="3338"/>
      <c r="E10" s="123" t="s">
        <v>1276</v>
      </c>
      <c r="F10" s="1627"/>
      <c r="G10" s="1627"/>
      <c r="H10" s="1627"/>
      <c r="I10" s="1281"/>
    </row>
    <row r="11" spans="1:12" ht="13.2">
      <c r="A11" s="3292"/>
      <c r="B11" s="3347"/>
      <c r="C11" s="3351"/>
      <c r="D11" s="3338"/>
      <c r="E11" s="123" t="s">
        <v>1277</v>
      </c>
      <c r="F11" s="1627"/>
      <c r="G11" s="1627"/>
      <c r="H11" s="1627"/>
      <c r="I11" s="1281"/>
    </row>
    <row r="12" spans="1:12" ht="13.2">
      <c r="A12" s="3292" t="s">
        <v>1278</v>
      </c>
      <c r="B12" s="3347">
        <v>15</v>
      </c>
      <c r="C12" s="3350"/>
      <c r="D12" s="3338"/>
      <c r="E12" s="123" t="s">
        <v>1279</v>
      </c>
      <c r="F12" s="1627"/>
      <c r="G12" s="1627"/>
      <c r="H12" s="1627"/>
      <c r="I12" s="1281"/>
    </row>
    <row r="13" spans="1:12" ht="13.2">
      <c r="A13" s="3292"/>
      <c r="B13" s="3347"/>
      <c r="C13" s="3351"/>
      <c r="D13" s="3338"/>
      <c r="E13" s="123" t="s">
        <v>1280</v>
      </c>
      <c r="F13" s="1627"/>
      <c r="G13" s="1627"/>
      <c r="H13" s="1627"/>
      <c r="I13" s="1281"/>
    </row>
    <row r="14" spans="1:12" ht="13.2">
      <c r="A14" s="3292" t="s">
        <v>1281</v>
      </c>
      <c r="B14" s="3347">
        <v>30</v>
      </c>
      <c r="C14" s="3350">
        <v>6</v>
      </c>
      <c r="D14" s="3338">
        <v>4</v>
      </c>
      <c r="E14" s="123" t="s">
        <v>1282</v>
      </c>
      <c r="F14" s="1627"/>
      <c r="G14" s="1627"/>
      <c r="H14" s="1627"/>
      <c r="I14" s="1281"/>
    </row>
    <row r="15" spans="1:12" ht="13.2">
      <c r="A15" s="3292"/>
      <c r="B15" s="3347"/>
      <c r="C15" s="3352"/>
      <c r="D15" s="3338"/>
      <c r="E15" s="123" t="s">
        <v>1283</v>
      </c>
      <c r="F15" s="1627"/>
      <c r="G15" s="1627"/>
      <c r="H15" s="1627"/>
      <c r="I15" s="1281"/>
    </row>
    <row r="16" spans="1:12" ht="13.2">
      <c r="A16" s="3292"/>
      <c r="B16" s="3347"/>
      <c r="C16" s="3351"/>
      <c r="D16" s="3338"/>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69" t="s">
        <v>2129</v>
      </c>
      <c r="F18" s="3370"/>
      <c r="G18" s="3370"/>
      <c r="H18" s="3370"/>
      <c r="I18" s="3370"/>
      <c r="K18" s="294" t="s">
        <v>1289</v>
      </c>
      <c r="L18" s="294">
        <f>IF(C1="",'数据-汇总表'!E3,SUMIF(项目类型,C1,'数据-汇总表'!E17:E26)+SUMIF(项目类型,C1,'数据-汇总表'!I17:I26))</f>
        <v>94.78</v>
      </c>
      <c r="M18" s="294">
        <f>IF(C1="",'数据-汇总表'!E3,SUMIF(项目类型,C1,'数据-汇总表'!E17:E26))</f>
        <v>94.78</v>
      </c>
    </row>
    <row r="19" spans="1:36" ht="14.4">
      <c r="A19" s="1630" t="s">
        <v>1290</v>
      </c>
      <c r="B19" s="1631" t="s">
        <v>1291</v>
      </c>
      <c r="C19" s="126">
        <f ca="1">SUMIF(INDIRECT("'"&amp;C4&amp;"'"&amp;"!A:A"),结果表1002!B19,INDIRECT("'"&amp;C4&amp;"'"&amp;"!B:B"))</f>
        <v>111.84990000000001</v>
      </c>
      <c r="D19" s="127">
        <f ca="1">SUMIF(INDIRECT("'"&amp;D4&amp;"'"&amp;"!A:A"),结果表1002!B19,INDIRECT("'"&amp;D4&amp;"'"&amp;"!B:B"))</f>
        <v>71.690899999999999</v>
      </c>
      <c r="E19" s="1630" t="s">
        <v>1292</v>
      </c>
      <c r="F19" s="1631" t="s">
        <v>1291</v>
      </c>
      <c r="G19" s="128">
        <f ca="1">ROUND(C19*$C$18+D19*$D$18,0)</f>
        <v>96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SUMIF(INDIRECT("'"&amp;C4&amp;"'"&amp;"!A:A"),结果表1002!B20,INDIRECT("'"&amp;C4&amp;"'"&amp;"!B:B"))</f>
        <v>11801</v>
      </c>
      <c r="D20" s="130">
        <f ca="1">SUMIF(INDIRECT("'"&amp;D4&amp;"'"&amp;"!A:A"),结果表1002!B20,INDIRECT("'"&amp;D4&amp;"'"&amp;"!B:B"))</f>
        <v>7564</v>
      </c>
      <c r="E20" s="1633"/>
      <c r="F20" s="43" t="s">
        <v>1295</v>
      </c>
      <c r="G20" s="131">
        <f ca="1">ROUND(C20*$C$18+D20*$D$18,0)</f>
        <v>10106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0.56016872434297804</v>
      </c>
      <c r="E22" s="121"/>
      <c r="F22" s="121"/>
      <c r="G22" s="121"/>
      <c r="H22" s="121"/>
      <c r="I22" s="121"/>
    </row>
    <row r="23" spans="1:36" ht="13.8" thickBot="1">
      <c r="A23" s="646"/>
      <c r="B23" s="646"/>
      <c r="C23" s="646"/>
      <c r="D23" s="646"/>
      <c r="E23" s="121"/>
      <c r="F23" s="121"/>
      <c r="G23" s="121"/>
      <c r="H23" s="121"/>
      <c r="I23" s="121"/>
    </row>
    <row r="24" spans="1:36" ht="14.4">
      <c r="A24" s="3362" t="s">
        <v>1299</v>
      </c>
      <c r="B24" s="1631" t="s">
        <v>1291</v>
      </c>
      <c r="C24" s="128">
        <f>IF(B30=0,0,D30)</f>
        <v>0</v>
      </c>
      <c r="D24" s="1637"/>
      <c r="E24" s="121"/>
      <c r="F24" s="121"/>
      <c r="G24" s="121"/>
      <c r="H24" s="121"/>
      <c r="I24" s="121"/>
    </row>
    <row r="25" spans="1:36" ht="14.4">
      <c r="A25" s="33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10106</v>
      </c>
      <c r="D32" s="1641" t="s">
        <v>3517</v>
      </c>
      <c r="E32" s="121"/>
      <c r="F32" s="121"/>
      <c r="G32" s="121"/>
      <c r="H32" s="121"/>
      <c r="I32" s="121"/>
    </row>
    <row r="33" spans="1:15" ht="14.4">
      <c r="A33" s="740" t="s">
        <v>1306</v>
      </c>
      <c r="B33" s="123"/>
      <c r="C33" s="1642" t="s">
        <v>3518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39" t="s">
        <v>1312</v>
      </c>
      <c r="B36" s="1652" t="s">
        <v>1313</v>
      </c>
      <c r="C36" s="137"/>
      <c r="D36" s="1653"/>
      <c r="E36" s="1567"/>
      <c r="F36" s="1654"/>
      <c r="G36" s="121"/>
      <c r="H36" s="121"/>
      <c r="I36" s="121"/>
    </row>
    <row r="37" spans="1:15" ht="15" thickBot="1">
      <c r="A37" s="3340"/>
      <c r="B37" s="1555" t="s">
        <v>1314</v>
      </c>
      <c r="C37" s="139"/>
      <c r="D37" s="1071"/>
      <c r="E37" s="1071"/>
      <c r="F37" s="1654"/>
      <c r="G37" s="121"/>
      <c r="H37" s="121"/>
      <c r="I37" s="121"/>
    </row>
    <row r="38" spans="1:15" ht="15" thickBot="1">
      <c r="A38" s="3341"/>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9" t="s">
        <v>1326</v>
      </c>
      <c r="B45" s="3360"/>
      <c r="C45" s="3361"/>
      <c r="D45" s="3179">
        <f ca="1">典型户型修正!S25</f>
        <v>89.731200000000001</v>
      </c>
      <c r="E45" s="148" t="s">
        <v>1327</v>
      </c>
      <c r="F45" s="149">
        <v>1</v>
      </c>
      <c r="G45" s="150" t="s">
        <v>1328</v>
      </c>
      <c r="H45" s="121"/>
      <c r="I45" s="121"/>
      <c r="J45" s="3279" t="s">
        <v>1329</v>
      </c>
      <c r="K45" s="3279"/>
      <c r="L45" s="3279"/>
      <c r="M45" s="3279"/>
      <c r="N45" s="3279"/>
      <c r="O45" s="3279"/>
    </row>
    <row r="46" spans="1:15" ht="14.25" customHeight="1">
      <c r="A46" s="3356" t="s">
        <v>1330</v>
      </c>
      <c r="B46" s="3357"/>
      <c r="C46" s="3357"/>
      <c r="D46" s="3357"/>
      <c r="E46" s="3357"/>
      <c r="F46" s="3357"/>
      <c r="G46" s="3358"/>
      <c r="H46" s="1668"/>
      <c r="I46" s="151"/>
      <c r="J46" s="2309">
        <v>1</v>
      </c>
      <c r="K46" s="3280" t="s">
        <v>1331</v>
      </c>
      <c r="L46" s="3280"/>
      <c r="M46" s="3281"/>
      <c r="N46" s="3281"/>
      <c r="O46" s="3281"/>
    </row>
    <row r="47" spans="1:15" ht="12" customHeight="1">
      <c r="A47" s="152" t="s">
        <v>1332</v>
      </c>
      <c r="B47" s="153"/>
      <c r="C47" s="154"/>
      <c r="D47" s="1024" t="s">
        <v>1333</v>
      </c>
      <c r="E47" s="294" t="s">
        <v>1334</v>
      </c>
      <c r="F47" s="155" t="s">
        <v>1335</v>
      </c>
      <c r="G47" s="2332" t="s">
        <v>1336</v>
      </c>
      <c r="H47" s="2333"/>
      <c r="I47" s="151"/>
      <c r="J47" s="2309">
        <v>2</v>
      </c>
      <c r="K47" s="3280" t="s">
        <v>1337</v>
      </c>
      <c r="L47" s="3280"/>
      <c r="M47" s="3282">
        <f>'数据-取费表'!B2</f>
        <v>45828</v>
      </c>
      <c r="N47" s="3282"/>
      <c r="O47" s="3282"/>
    </row>
    <row r="48" spans="1:15" ht="39.6">
      <c r="A48" s="3342" t="s">
        <v>1338</v>
      </c>
      <c r="B48" s="3343"/>
      <c r="C48" s="3343"/>
      <c r="D48" s="12">
        <f ca="1">IF(H48="情况1",0,IF(H48="情况2",D52,IF(H48="情况3",D53,IF(H48="情况4",D54))))</f>
        <v>0</v>
      </c>
      <c r="E48" s="1256" t="str">
        <f>IF(H48="情况4","(销售额-原购置价)×税（费）率","销售额×税（费）率")</f>
        <v>(销售额-原购置价)×税（费）率</v>
      </c>
      <c r="F48" s="2334">
        <f>IF(H48="情况1","免征",'数据-取费表'!B41)</f>
        <v>5.6000000000000001E-2</v>
      </c>
      <c r="G48" s="2335" t="s">
        <v>1339</v>
      </c>
      <c r="H48" s="2336" t="s">
        <v>3538</v>
      </c>
      <c r="I48" s="1668"/>
      <c r="J48" s="2309">
        <v>3</v>
      </c>
      <c r="K48" s="3280" t="s">
        <v>1340</v>
      </c>
      <c r="L48" s="3280"/>
      <c r="M48" s="3283">
        <f ca="1">D45</f>
        <v>89.731200000000001</v>
      </c>
      <c r="N48" s="3283"/>
      <c r="O48" s="3283"/>
    </row>
    <row r="49" spans="1:35" ht="25.5" customHeight="1">
      <c r="A49" s="2152" t="s">
        <v>1341</v>
      </c>
      <c r="B49" s="3328" t="s">
        <v>1342</v>
      </c>
      <c r="C49" s="3328"/>
      <c r="D49" s="1478">
        <v>0</v>
      </c>
      <c r="E49" s="316" t="s">
        <v>1343</v>
      </c>
      <c r="F49" s="2232" t="s">
        <v>28</v>
      </c>
      <c r="G49" s="3311"/>
      <c r="H49" s="2134" t="s">
        <v>2132</v>
      </c>
      <c r="I49" s="2135"/>
      <c r="J49" s="2309">
        <v>4</v>
      </c>
      <c r="K49" s="3280" t="str">
        <f>IF(项目基本情况!E8="房地产抵押价值","房地产抵押价值","抵押担保权已注销时的房地产抵押价值")</f>
        <v>房地产抵押价值</v>
      </c>
      <c r="L49" s="3280"/>
      <c r="M49" s="3283">
        <f ca="1">M48</f>
        <v>89.731200000000001</v>
      </c>
      <c r="N49" s="3283"/>
      <c r="O49" s="3283"/>
    </row>
    <row r="50" spans="1:35" ht="25.5" customHeight="1">
      <c r="A50" s="2337"/>
      <c r="B50" s="3328" t="s">
        <v>1344</v>
      </c>
      <c r="C50" s="3328"/>
      <c r="D50" s="2189"/>
      <c r="E50" s="323"/>
      <c r="F50" s="2232"/>
      <c r="G50" s="3312"/>
      <c r="H50" s="2136" t="s">
        <v>2133</v>
      </c>
      <c r="I50" s="2135"/>
      <c r="J50" s="3279" t="s">
        <v>1345</v>
      </c>
      <c r="K50" s="3279"/>
      <c r="L50" s="3279"/>
      <c r="M50" s="3279"/>
      <c r="N50" s="3279"/>
      <c r="O50" s="3279"/>
    </row>
    <row r="51" spans="1:35" ht="20.399999999999999" customHeight="1">
      <c r="A51" s="2338"/>
      <c r="B51" s="3328" t="s">
        <v>1346</v>
      </c>
      <c r="C51" s="3328"/>
      <c r="D51" s="1024"/>
      <c r="E51" s="319"/>
      <c r="F51" s="2232"/>
      <c r="G51" s="3313"/>
      <c r="H51" s="2136" t="s">
        <v>2134</v>
      </c>
      <c r="I51" s="2135"/>
      <c r="J51" s="2310" t="s">
        <v>1347</v>
      </c>
      <c r="K51" s="3280" t="s">
        <v>1348</v>
      </c>
      <c r="L51" s="3280"/>
      <c r="M51" s="2310" t="s">
        <v>1349</v>
      </c>
      <c r="N51" s="2310" t="s">
        <v>1350</v>
      </c>
      <c r="O51" s="2310" t="s">
        <v>1351</v>
      </c>
    </row>
    <row r="52" spans="1:35" ht="24" customHeight="1">
      <c r="A52" s="2153" t="s">
        <v>1352</v>
      </c>
      <c r="B52" s="3328" t="s">
        <v>1353</v>
      </c>
      <c r="C52" s="3328"/>
      <c r="D52" s="1024">
        <f ca="1">ROUND(D45*'数据-取费表'!B41/(1+'数据-取费表'!C42),0)</f>
        <v>5</v>
      </c>
      <c r="E52" s="1256" t="s">
        <v>1354</v>
      </c>
      <c r="F52" s="2339">
        <f>'数据-取费表'!B41</f>
        <v>5.6000000000000001E-2</v>
      </c>
      <c r="G52" s="2340"/>
      <c r="H52" s="2330"/>
      <c r="I52" s="1669"/>
      <c r="J52" s="2309">
        <v>1</v>
      </c>
      <c r="K52" s="3305" t="s">
        <v>1355</v>
      </c>
      <c r="L52" s="3305"/>
      <c r="M52" s="2311">
        <f ca="1">D48</f>
        <v>0</v>
      </c>
      <c r="N52" s="2309" t="str">
        <f>E48</f>
        <v>(销售额-原购置价)×税（费）率</v>
      </c>
      <c r="O52" s="2312">
        <f>F48</f>
        <v>5.6000000000000001E-2</v>
      </c>
    </row>
    <row r="53" spans="1:35" ht="12" customHeight="1">
      <c r="A53" s="2153" t="s">
        <v>1356</v>
      </c>
      <c r="B53" s="3329" t="s">
        <v>2289</v>
      </c>
      <c r="C53" s="3330"/>
      <c r="D53" s="1024">
        <f ca="1">ROUND(D45*'数据-取费表'!B41/(1+'数据-取费表'!C42),0)</f>
        <v>5</v>
      </c>
      <c r="E53" s="1256" t="s">
        <v>1354</v>
      </c>
      <c r="F53" s="2339">
        <f>'数据-取费表'!B41</f>
        <v>5.6000000000000001E-2</v>
      </c>
      <c r="G53" s="2340"/>
      <c r="H53" s="2330"/>
      <c r="I53" s="1669"/>
      <c r="J53" s="2309">
        <v>2</v>
      </c>
      <c r="K53" s="3305" t="s">
        <v>1357</v>
      </c>
      <c r="L53" s="3305"/>
      <c r="M53" s="2311">
        <f t="shared" ref="M53:O54" ca="1" si="0">D55</f>
        <v>4.4900000000000002E-2</v>
      </c>
      <c r="N53" s="2309" t="str">
        <f t="shared" si="0"/>
        <v>销售额×税（费）率</v>
      </c>
      <c r="O53" s="2312">
        <f t="shared" si="0"/>
        <v>5.0000000000000001E-4</v>
      </c>
    </row>
    <row r="54" spans="1:35" ht="12" customHeight="1">
      <c r="A54" s="2153" t="s">
        <v>1358</v>
      </c>
      <c r="B54" s="3329" t="s">
        <v>2290</v>
      </c>
      <c r="C54" s="3330"/>
      <c r="D54" s="1024">
        <f ca="1">C68</f>
        <v>0</v>
      </c>
      <c r="E54" s="319" t="s">
        <v>1359</v>
      </c>
      <c r="F54" s="2339">
        <f>'数据-取费表'!B41</f>
        <v>5.6000000000000001E-2</v>
      </c>
      <c r="G54" s="2340"/>
      <c r="H54" s="2341"/>
      <c r="I54" s="1669"/>
      <c r="J54" s="2309">
        <v>3</v>
      </c>
      <c r="K54" s="3305" t="s">
        <v>1360</v>
      </c>
      <c r="L54" s="3305"/>
      <c r="M54" s="2311">
        <f t="shared" ca="1" si="0"/>
        <v>0</v>
      </c>
      <c r="N54" s="2309" t="str">
        <f t="shared" si="0"/>
        <v>增值额×税（费）率</v>
      </c>
      <c r="O54" s="2313" t="str">
        <f t="shared" si="0"/>
        <v>——</v>
      </c>
    </row>
    <row r="55" spans="1:35" ht="24" customHeight="1">
      <c r="A55" s="3365" t="s">
        <v>1361</v>
      </c>
      <c r="B55" s="3343"/>
      <c r="C55" s="3343"/>
      <c r="D55" s="1504">
        <f ca="1">IF(H55="个人住宅",0,ROUND(D45*I55,4))</f>
        <v>4.4900000000000002E-2</v>
      </c>
      <c r="E55" s="1256" t="s">
        <v>1362</v>
      </c>
      <c r="F55" s="2339">
        <f>IF(H55="正常",I55,"免征")</f>
        <v>5.0000000000000001E-4</v>
      </c>
      <c r="G55" s="2340"/>
      <c r="H55" s="2336" t="s">
        <v>3465</v>
      </c>
      <c r="I55" s="157">
        <f>'数据-取费表'!B49</f>
        <v>5.0000000000000001E-4</v>
      </c>
      <c r="J55" s="2309" t="str">
        <f>IF(H59="非个人房产","",4)</f>
        <v/>
      </c>
      <c r="K55" s="3305" t="str">
        <f>IF(H59="非个人房产","——","个人所得税")</f>
        <v>——</v>
      </c>
      <c r="L55" s="3305"/>
      <c r="M55" s="2314" t="str">
        <f>D59</f>
        <v>——</v>
      </c>
      <c r="N55" s="1883" t="str">
        <f>E59</f>
        <v>——</v>
      </c>
      <c r="O55" s="2315" t="str">
        <f>F59</f>
        <v>——</v>
      </c>
    </row>
    <row r="56" spans="1:35" ht="25.2">
      <c r="A56" s="3365" t="s">
        <v>1363</v>
      </c>
      <c r="B56" s="3343"/>
      <c r="C56" s="3343"/>
      <c r="D56" s="12">
        <f ca="1">IF(H56="个人住宅",D57,D58)</f>
        <v>0</v>
      </c>
      <c r="E56" s="1256" t="s">
        <v>1364</v>
      </c>
      <c r="F56" s="2339" t="str">
        <f>IF(H56="正常",F58,"免征")</f>
        <v>——</v>
      </c>
      <c r="G56" s="2342" t="s">
        <v>1365</v>
      </c>
      <c r="H56" s="2343" t="s">
        <v>3465</v>
      </c>
      <c r="I56" s="1670"/>
      <c r="J56" s="2309" t="str">
        <f>IF(项目基本情况!K6="上海银行",IF(J55="",4,J55+1),"")</f>
        <v/>
      </c>
      <c r="K56" s="3286" t="str">
        <f>IF(项目基本情况!K6="上海银行","其他处置费用","")</f>
        <v/>
      </c>
      <c r="L56" s="3287"/>
      <c r="M56" s="2311" t="str">
        <f>IF(项目基本情况!K6="上海银行",M69,"")</f>
        <v/>
      </c>
      <c r="N56" s="3286" t="str">
        <f>IF(项目基本情况!K6="上海银行","包含处置中涉及的律师、诉讼、拍卖、评估等费用","")</f>
        <v/>
      </c>
      <c r="O56" s="3289"/>
    </row>
    <row r="57" spans="1:35" ht="13.2">
      <c r="A57" s="2153" t="s">
        <v>1341</v>
      </c>
      <c r="B57" s="3329" t="s">
        <v>1366</v>
      </c>
      <c r="C57" s="3330"/>
      <c r="D57" s="1478">
        <v>0</v>
      </c>
      <c r="E57" s="316" t="s">
        <v>1343</v>
      </c>
      <c r="F57" s="294"/>
      <c r="G57" s="2340"/>
      <c r="H57" s="2344"/>
      <c r="I57" s="1670"/>
      <c r="J57" s="3305">
        <f>IF(AND(J55="",J56=""),4,IF(项目基本情况!K6="上海银行",结果表1002!J56+1,结果表1002!J55+1))</f>
        <v>4</v>
      </c>
      <c r="K57" s="3305" t="s">
        <v>1367</v>
      </c>
      <c r="L57" s="2316" t="s">
        <v>1368</v>
      </c>
      <c r="M57" s="2317"/>
      <c r="N57" s="2318">
        <f ca="1">SUMIF(M52:M56,"&lt;9e307")</f>
        <v>4.4900000000000002E-2</v>
      </c>
      <c r="O57" s="2319"/>
      <c r="P57" s="2460">
        <f ca="1">N57/M49</f>
        <v>5.0038336721229635E-4</v>
      </c>
    </row>
    <row r="58" spans="1:35" ht="25.2">
      <c r="A58" s="2153" t="s">
        <v>1352</v>
      </c>
      <c r="B58" s="3329" t="s">
        <v>1369</v>
      </c>
      <c r="C58" s="3328"/>
      <c r="D58" s="12">
        <f ca="1">IF(H58="转让取得",C81,C97)</f>
        <v>0</v>
      </c>
      <c r="E58" s="1256" t="s">
        <v>1364</v>
      </c>
      <c r="F58" s="294" t="s">
        <v>28</v>
      </c>
      <c r="G58" s="2340"/>
      <c r="H58" s="2343" t="s">
        <v>3539</v>
      </c>
      <c r="I58" s="1670"/>
      <c r="J58" s="3305"/>
      <c r="K58" s="3305"/>
      <c r="L58" s="2316" t="s">
        <v>1370</v>
      </c>
      <c r="M58" s="2320"/>
      <c r="N58" s="2321" t="str">
        <f ca="1">NUMBERSTRING(INT(N57*10000),2)&amp;"元整"</f>
        <v>肆佰肆拾玖元整</v>
      </c>
      <c r="O58" s="2322"/>
    </row>
    <row r="59" spans="1:35" ht="24.6" thickBot="1">
      <c r="A59" s="3309" t="s">
        <v>1371</v>
      </c>
      <c r="B59" s="3310"/>
      <c r="C59" s="3310"/>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3540</v>
      </c>
      <c r="I59" s="2137" t="s">
        <v>2135</v>
      </c>
      <c r="J59" s="3307">
        <f>J57+1</f>
        <v>5</v>
      </c>
      <c r="K59" s="3305" t="s">
        <v>1372</v>
      </c>
      <c r="L59" s="2309" t="s">
        <v>1368</v>
      </c>
      <c r="M59" s="2323"/>
      <c r="N59" s="2324">
        <f ca="1">M49-N57</f>
        <v>89.686300000000003</v>
      </c>
      <c r="O59" s="2325"/>
    </row>
    <row r="60" spans="1:35" ht="12" customHeight="1">
      <c r="A60" s="1671"/>
      <c r="B60" s="646"/>
      <c r="C60" s="646"/>
      <c r="D60" s="646"/>
      <c r="E60" s="1466"/>
      <c r="F60" s="1670"/>
      <c r="G60" s="1670"/>
      <c r="H60" s="151"/>
      <c r="I60" s="121"/>
      <c r="J60" s="3308"/>
      <c r="K60" s="3305"/>
      <c r="L60" s="2316" t="s">
        <v>1370</v>
      </c>
      <c r="M60" s="2320"/>
      <c r="N60" s="2321" t="str">
        <f ca="1">NUMBERSTRING(INT(N59*10000),2)&amp;"元整"</f>
        <v>捌拾玖万陆仟捌佰陆拾叁元整</v>
      </c>
      <c r="O60" s="2322"/>
    </row>
    <row r="61" spans="1:35" ht="13.8" thickBot="1">
      <c r="A61" s="3364" t="s">
        <v>1373</v>
      </c>
      <c r="B61" s="3364"/>
      <c r="C61" s="3364"/>
      <c r="D61" s="3364"/>
      <c r="E61" s="3364"/>
      <c r="F61" s="1670"/>
      <c r="G61" s="1670"/>
      <c r="H61" s="151"/>
      <c r="I61" s="121"/>
      <c r="J61" s="2309">
        <f>J59+1</f>
        <v>6</v>
      </c>
      <c r="K61" s="3305" t="s">
        <v>1374</v>
      </c>
      <c r="L61" s="3305"/>
      <c r="M61" s="2326"/>
      <c r="N61" s="3188">
        <f ca="1">ROUND(N59*10000/'数据-基础表'!G14,0)</f>
        <v>10101</v>
      </c>
      <c r="O61" s="2328"/>
    </row>
    <row r="62" spans="1:35" ht="13.2">
      <c r="A62" s="3324" t="s">
        <v>1375</v>
      </c>
      <c r="B62" s="3325"/>
      <c r="C62" s="1865"/>
      <c r="D62" s="1865" t="s">
        <v>1376</v>
      </c>
      <c r="E62" s="158" t="s">
        <v>1377</v>
      </c>
      <c r="F62" s="1670"/>
      <c r="G62" s="1670"/>
      <c r="H62" s="151"/>
      <c r="I62" s="121"/>
    </row>
    <row r="63" spans="1:35" ht="13.2">
      <c r="A63" s="165" t="s">
        <v>330</v>
      </c>
      <c r="B63" s="159" t="s">
        <v>1378</v>
      </c>
      <c r="C63" s="3181">
        <f ca="1">ROUND((C64+C65)/(1+'数据-取费表'!C42),4)</f>
        <v>85.458299999999994</v>
      </c>
      <c r="D63" s="159"/>
      <c r="E63" s="160"/>
      <c r="F63" s="1670"/>
      <c r="G63" s="1670"/>
      <c r="H63" s="151"/>
      <c r="I63" s="121"/>
      <c r="J63" s="3288" t="s">
        <v>1379</v>
      </c>
      <c r="K63" s="1245" t="s">
        <v>1380</v>
      </c>
      <c r="L63" s="1245">
        <f ca="1">IF(M49&gt;10000,M49*0.5%,IF(AND(M49&gt;1000,M49&lt;=10000),M49*1%,IF(AND(M49&gt;100,M49&lt;=1000),M49*3%,IF(AND(M49&gt;10,M49&lt;=100),M49*5%,M49*8%))))</f>
        <v>4.4865599999999999</v>
      </c>
      <c r="M63" s="294">
        <f ca="1">ROUND(L63,1)</f>
        <v>4.5</v>
      </c>
      <c r="N63" s="2329"/>
      <c r="Z63" s="1623"/>
      <c r="AI63" s="1561"/>
    </row>
    <row r="64" spans="1:35" ht="14.25" customHeight="1">
      <c r="A64" s="161" t="s">
        <v>325</v>
      </c>
      <c r="B64" s="162" t="s">
        <v>1381</v>
      </c>
      <c r="C64" s="3182">
        <f ca="1">D45</f>
        <v>89.731200000000001</v>
      </c>
      <c r="D64" s="162" t="s">
        <v>26</v>
      </c>
      <c r="E64" s="164"/>
      <c r="F64" s="1670"/>
      <c r="G64" s="1670"/>
      <c r="H64" s="151"/>
      <c r="I64" s="121"/>
      <c r="J64" s="3288"/>
      <c r="K64" s="1245" t="s">
        <v>1382</v>
      </c>
      <c r="L64" s="1245">
        <f ca="1">IF(M49&gt;2000,M49*0.5%,IF(AND(M49&gt;1000,M49&lt;=2000),M49*0.6%,IF(AND(M49&gt;500,M49&lt;=1000),M49*0.7%,IF(AND(M49&gt;200,M49&lt;=500),M49*0.8%,IF(AND(M49&gt;100,M49&lt;=200),M49*0.9%,IF(AND(M49&gt;50,M49&lt;=100),M49*1%,IF(AND(M49&gt;20,M49&lt;=50),M49*1.5%,IF(AND(M49&gt;10,M49&lt;=20),M49*2%,IF(AND(M49&gt;1,M49&lt;=10),M49*2.5%)))))))))</f>
        <v>0.897312</v>
      </c>
      <c r="M64" s="294">
        <f t="shared" ref="M64:M65" ca="1" si="1">ROUND(L64,1)</f>
        <v>0.9</v>
      </c>
      <c r="N64" s="2330" t="s">
        <v>1383</v>
      </c>
      <c r="Z64" s="1623"/>
      <c r="AI64" s="1561"/>
    </row>
    <row r="65" spans="1:35" ht="14.25" customHeight="1">
      <c r="A65" s="161" t="s">
        <v>326</v>
      </c>
      <c r="B65" s="162" t="s">
        <v>1384</v>
      </c>
      <c r="C65" s="2349"/>
      <c r="D65" s="162"/>
      <c r="E65" s="164"/>
      <c r="F65" s="1670"/>
      <c r="G65" s="1670"/>
      <c r="H65" s="151"/>
      <c r="I65" s="121"/>
      <c r="J65" s="3288"/>
      <c r="K65" s="1245" t="s">
        <v>1385</v>
      </c>
      <c r="L65" s="1245">
        <f ca="1">IF(M49&gt;1000,M49*0.1%,IF(AND(M49&gt;500,M49&lt;=1000),M49*0.5%,IF(AND(M49&gt;50,M49&lt;=500),M49*1%,IF(AND(M49&gt;1,M49&lt;=50),M49*1.5%))))</f>
        <v>0.897312</v>
      </c>
      <c r="M65" s="294">
        <f t="shared" ca="1" si="1"/>
        <v>0.9</v>
      </c>
      <c r="N65" s="2330" t="s">
        <v>1383</v>
      </c>
      <c r="Z65" s="1623"/>
      <c r="AI65" s="1561"/>
    </row>
    <row r="66" spans="1:35" ht="14.25" customHeight="1">
      <c r="A66" s="165" t="s">
        <v>327</v>
      </c>
      <c r="B66" s="166" t="s">
        <v>1386</v>
      </c>
      <c r="C66" s="2350">
        <f>C75/1.05</f>
        <v>93.018095238095228</v>
      </c>
      <c r="D66" s="166" t="s">
        <v>26</v>
      </c>
      <c r="E66" s="1251" t="s">
        <v>671</v>
      </c>
      <c r="F66" s="1670"/>
      <c r="G66" s="1670"/>
      <c r="H66" s="151"/>
      <c r="I66" s="121"/>
      <c r="J66" s="3288"/>
      <c r="K66" s="1245" t="s">
        <v>1387</v>
      </c>
      <c r="L66" s="1245">
        <f ca="1">M49*0.5%</f>
        <v>0.448656</v>
      </c>
      <c r="M66" s="294">
        <f ca="1">IF(L66&gt;0.5,0.5,ROUND(L66,0))</f>
        <v>0</v>
      </c>
      <c r="N66" s="2330" t="s">
        <v>1388</v>
      </c>
      <c r="Z66" s="1623"/>
      <c r="AI66" s="1561"/>
    </row>
    <row r="67" spans="1:35" ht="14.25" customHeight="1">
      <c r="A67" s="165" t="s">
        <v>328</v>
      </c>
      <c r="B67" s="166" t="s">
        <v>1389</v>
      </c>
      <c r="C67" s="2351">
        <f ca="1">C63-C66</f>
        <v>-7.5597952380952336</v>
      </c>
      <c r="D67" s="162" t="s">
        <v>26</v>
      </c>
      <c r="E67" s="164"/>
      <c r="F67" s="1670"/>
      <c r="G67" s="1670"/>
      <c r="H67" s="151"/>
      <c r="I67" s="121"/>
      <c r="J67" s="3288"/>
      <c r="K67" s="1245" t="s">
        <v>1390</v>
      </c>
      <c r="L67" s="1245">
        <f ca="1">IF(M49&gt;=10000,(8.25+(M49-10000)*0.01%),IF(AND(M49&gt;=8000,M49&lt;10000),(7.85+(M49-8000)*0.02%),IF(AND(M49&gt;=5000,M49&lt;8000),(6.65+(M49-5000)*0.04%),IF(AND(M49&gt;=2000,M49&lt;5000),(4.25+(PM49-2000)*0.08%),IF(AND(M49&gt;=1000,M49&lt;2000),(2.75+(M49-1000)*0.15%),IF(AND(M49&gt;=100,M49&lt;1000),(0.5+(M49-100)*0.25%),IF(AND(M49&gt;0,M49&lt;100),M49*0.5%)))))))</f>
        <v>0.448656</v>
      </c>
      <c r="M67" s="294">
        <f ca="1">ROUND(L67*0.9,1)</f>
        <v>0.4</v>
      </c>
      <c r="N67" s="2329"/>
      <c r="Z67" s="1623"/>
      <c r="AI67" s="1561"/>
    </row>
    <row r="68" spans="1:35" ht="14.25" customHeight="1" thickBot="1">
      <c r="A68" s="168" t="s">
        <v>329</v>
      </c>
      <c r="B68" s="169" t="s">
        <v>1391</v>
      </c>
      <c r="C68" s="3180">
        <f ca="1">IF(C67&lt;=0,0,ROUND(C67*D68,4))</f>
        <v>0</v>
      </c>
      <c r="D68" s="2352">
        <f>'数据-取费表'!B41</f>
        <v>5.6000000000000001E-2</v>
      </c>
      <c r="E68" s="170"/>
      <c r="F68" s="1670"/>
      <c r="G68" s="1670"/>
      <c r="H68" s="151"/>
      <c r="I68" s="121"/>
      <c r="J68" s="3288"/>
      <c r="K68" s="1245" t="s">
        <v>1392</v>
      </c>
      <c r="L68" s="1245">
        <f ca="1">IF(M49&gt;10000,M49*0.5%,IF(AND(M49&gt;5000,M49&lt;=10000),M49*1%,IF(AND(M49&gt;1000,M49&lt;=5000),M49*2%,IF(AND(M49&gt;200,M49&lt;=1000),M49*3%,M49*5%))))</f>
        <v>4.4865599999999999</v>
      </c>
      <c r="M68" s="294">
        <f ca="1">ROUND(L68,1)</f>
        <v>4.5</v>
      </c>
      <c r="N68" s="2329"/>
      <c r="Z68" s="1623"/>
      <c r="AI68" s="1561"/>
    </row>
    <row r="69" spans="1:35" ht="16.5" customHeight="1">
      <c r="A69" s="1672"/>
      <c r="B69" s="1673"/>
      <c r="C69" s="1674"/>
      <c r="D69" s="1675"/>
      <c r="E69" s="1676"/>
      <c r="F69" s="1466"/>
      <c r="G69" s="1466"/>
      <c r="H69" s="1467"/>
      <c r="I69" s="646"/>
      <c r="J69" s="3288"/>
      <c r="K69" s="1245" t="s">
        <v>1393</v>
      </c>
      <c r="L69" s="1245"/>
      <c r="M69" s="294">
        <f ca="1">ROUND(SUM(M63:M68),0)</f>
        <v>11</v>
      </c>
      <c r="N69" s="2331">
        <f ca="1">M69/M49</f>
        <v>0.12258835276915944</v>
      </c>
      <c r="Z69" s="1623"/>
      <c r="AI69" s="1561"/>
    </row>
    <row r="70" spans="1:35" s="642" customFormat="1" ht="14.4" thickBot="1">
      <c r="A70" s="3332" t="s">
        <v>1394</v>
      </c>
      <c r="B70" s="3333"/>
      <c r="C70" s="3333"/>
      <c r="D70" s="3333"/>
      <c r="E70" s="3333"/>
      <c r="F70" s="3333"/>
      <c r="G70" s="3333"/>
      <c r="H70" s="333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4" t="s">
        <v>1375</v>
      </c>
      <c r="B71" s="332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3183">
        <f ca="1">ROUND(D45/(1+'数据-取费表'!C42),4)</f>
        <v>85.458299999999994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3183">
        <f ca="1">C74+C78</f>
        <v>111.0183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3085">
        <f>ROUND(IF(G77="2016年5月1日后购买",C75/(1+'数据-取费表'!C42)+C76+C77,C75+C76+C77),4)</f>
        <v>110.5056</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3184">
        <f>面积信息!K3</f>
        <v>97.668999999999997</v>
      </c>
      <c r="D75" s="162" t="s">
        <v>26</v>
      </c>
      <c r="E75" s="176" t="s">
        <v>1399</v>
      </c>
      <c r="F75" s="2354" t="s">
        <v>3541</v>
      </c>
      <c r="G75" s="176" t="s">
        <v>1400</v>
      </c>
      <c r="H75" s="2355">
        <f>2025-2022</f>
        <v>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085">
        <f>IF(F75="购房发票",ROUND(C75*H75*D76,4),0)</f>
        <v>14.650399999999999</v>
      </c>
      <c r="D76" s="2356">
        <v>0.05</v>
      </c>
      <c r="E76" s="3329" t="s">
        <v>1402</v>
      </c>
      <c r="F76" s="3328"/>
      <c r="G76" s="3328"/>
      <c r="H76" s="333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085">
        <f>ROUND(IF(G77="个人住宅",0,IF(G77="2016年5月1日前购买",C75*D77,C75*D77/(1+'数据-取费表'!C42))),4)</f>
        <v>2.8371</v>
      </c>
      <c r="D77" s="2357">
        <f>'数据-取费表'!B48+'数据-取费表'!B49</f>
        <v>3.0499999999999999E-2</v>
      </c>
      <c r="E77" s="12" t="s">
        <v>1404</v>
      </c>
      <c r="F77" s="178"/>
      <c r="G77" s="1682" t="s">
        <v>3542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185">
        <f ca="1">ROUND(D45*D78/(1+'数据-取费表'!C42),4)</f>
        <v>0.51270000000000004</v>
      </c>
      <c r="D78" s="2359">
        <f>'数据-取费表'!B43</f>
        <v>6.000000000000001E-3</v>
      </c>
      <c r="E78" s="3321" t="s">
        <v>1406</v>
      </c>
      <c r="F78" s="3322"/>
      <c r="G78" s="3322"/>
      <c r="H78" s="332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1">
        <f ca="1">C72-C73</f>
        <v>-25.560000000000002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3186">
        <f ca="1">ROUND(IF(C79&lt;=0,0,IF(C80&gt;=200%,C79*60%-C73*35%,IF(C80&gt;=100%,C79*50%-C73*15%,IF(C80&gt;=50%,C79*40%-C73*5%,IF(C80&lt;50%,C79*30%,0))))),4)</f>
        <v>0</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2" t="s">
        <v>1410</v>
      </c>
      <c r="B83" s="3333"/>
      <c r="C83" s="3333"/>
      <c r="D83" s="3333"/>
      <c r="E83" s="3333"/>
      <c r="F83" s="3333"/>
      <c r="G83" s="3333"/>
      <c r="H83" s="333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4" t="s">
        <v>1375</v>
      </c>
      <c r="B84" s="332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85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1</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8">
        <f>C88+C89</f>
        <v>0</v>
      </c>
      <c r="D87" s="2359"/>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4"/>
      <c r="D88" s="2359"/>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8">
        <f>ROUND(C88*D89,0)</f>
        <v>0</v>
      </c>
      <c r="D89" s="2359">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4"/>
      <c r="D90" s="2359"/>
      <c r="E90" s="185" t="str">
        <f>IF(H88="-","土地取得成本中已包含该笔费用"," ")</f>
        <v xml:space="preserve"> </v>
      </c>
      <c r="F90" s="2148"/>
      <c r="G90" s="3290" t="s">
        <v>2127</v>
      </c>
      <c r="H90" s="3291"/>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321" t="s">
        <v>1419</v>
      </c>
      <c r="F91" s="3322"/>
      <c r="G91" s="332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321" t="s">
        <v>1422</v>
      </c>
      <c r="F92" s="3322"/>
      <c r="G92" s="3322"/>
      <c r="H92" s="3323"/>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1</v>
      </c>
      <c r="D93" s="2359">
        <f>'数据-取费表'!B43</f>
        <v>6.000000000000001E-3</v>
      </c>
      <c r="E93" s="3321" t="s">
        <v>1406</v>
      </c>
      <c r="F93" s="3322"/>
      <c r="G93" s="3322"/>
      <c r="H93" s="332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366" t="s">
        <v>1426</v>
      </c>
      <c r="F94" s="3367"/>
      <c r="G94" s="3367"/>
      <c r="H94" s="336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1">
        <f ca="1">ROUND(C85-C86,0)</f>
        <v>84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f ca="1">IF(C95&lt;=0,0,C95/C86)</f>
        <v>84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1">
        <f ca="1">ROUND(IF(C95&lt;=0,0,IF(C96&gt;=200%,C95*60%-C86*35%,IF(C96&gt;=100%,C95*50%-C86*15%,IF(C96&gt;=50%,C95*40%-C86*5%,IF(C96&lt;50%,C95*30%,0))))),0)</f>
        <v>50</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1" t="s">
        <v>1428</v>
      </c>
      <c r="B100" s="3272"/>
      <c r="C100" s="3272"/>
      <c r="D100" s="3306"/>
      <c r="E100" s="3272" t="s">
        <v>1429</v>
      </c>
      <c r="F100" s="3272"/>
      <c r="G100" s="3272"/>
      <c r="H100" s="3306"/>
      <c r="I100" s="121"/>
    </row>
    <row r="101" spans="1:35" ht="18.75" customHeight="1">
      <c r="A101" s="3314" t="s">
        <v>1430</v>
      </c>
      <c r="B101" s="3315"/>
      <c r="C101" s="2367" t="str">
        <f>C4</f>
        <v>比较法-办公</v>
      </c>
      <c r="D101" s="2368" t="str">
        <f>D4</f>
        <v>收益法 (元)</v>
      </c>
      <c r="E101" s="3284" t="s">
        <v>1431</v>
      </c>
      <c r="F101" s="3285"/>
      <c r="G101" s="1687" t="s">
        <v>1432</v>
      </c>
      <c r="H101" s="2377">
        <f ca="1">H118</f>
        <v>95.784700000000001</v>
      </c>
      <c r="I101" s="121"/>
    </row>
    <row r="102" spans="1:35" ht="18.75" customHeight="1">
      <c r="A102" s="3316" t="s">
        <v>1433</v>
      </c>
      <c r="B102" s="2366" t="s">
        <v>1432</v>
      </c>
      <c r="C102" s="2367">
        <f ca="1">IF(D32="楼面单价",ROUND(C19,0),C19)</f>
        <v>112</v>
      </c>
      <c r="D102" s="2368">
        <f ca="1">IF(D32="楼面单价",ROUND(D19,0),D19)</f>
        <v>72</v>
      </c>
      <c r="E102" s="3284"/>
      <c r="F102" s="3285"/>
      <c r="G102" s="1687" t="s">
        <v>1434</v>
      </c>
      <c r="H102" s="2340">
        <f ca="1">I118</f>
        <v>10106</v>
      </c>
      <c r="I102" s="121"/>
    </row>
    <row r="103" spans="1:35" ht="42.75" customHeight="1">
      <c r="A103" s="3316"/>
      <c r="B103" s="2366" t="s">
        <v>1434</v>
      </c>
      <c r="C103" s="2369">
        <f ca="1">C20</f>
        <v>11801</v>
      </c>
      <c r="D103" s="2370">
        <f ca="1">D20</f>
        <v>7564</v>
      </c>
      <c r="E103" s="3277" t="s">
        <v>1435</v>
      </c>
      <c r="F103" s="3278"/>
      <c r="G103" s="1688" t="s">
        <v>1436</v>
      </c>
      <c r="H103" s="2377">
        <f>IF(D36="正常操作",H104+H105+H106,H105+H106)</f>
        <v>0</v>
      </c>
      <c r="I103" s="121"/>
    </row>
    <row r="104" spans="1:35" ht="18.75" customHeight="1">
      <c r="A104" s="3316" t="s">
        <v>1437</v>
      </c>
      <c r="B104" s="2371" t="s">
        <v>1432</v>
      </c>
      <c r="C104" s="2372">
        <f ca="1">H118</f>
        <v>95.784700000000001</v>
      </c>
      <c r="D104" s="2373"/>
      <c r="E104" s="1555" t="s">
        <v>1438</v>
      </c>
      <c r="F104" s="1548"/>
      <c r="G104" s="1688" t="s">
        <v>1436</v>
      </c>
      <c r="H104" s="2378">
        <f>IF(D36="同一抵押权人同一抵押物续贷",C36&amp;"（续贷，未扣减，详见特别提示）",C36)</f>
        <v>0</v>
      </c>
      <c r="I104" s="121"/>
    </row>
    <row r="105" spans="1:35" ht="18.75" customHeight="1" thickBot="1">
      <c r="A105" s="3326"/>
      <c r="B105" s="2374" t="s">
        <v>1434</v>
      </c>
      <c r="C105" s="2375">
        <f ca="1">I118</f>
        <v>10106</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317" t="str">
        <f>IF(项目基本情况!E8="已注销","——","3.房地产抵押价值")</f>
        <v>3.房地产抵押价值</v>
      </c>
      <c r="F107" s="3285"/>
      <c r="G107" s="1687" t="s">
        <v>1432</v>
      </c>
      <c r="H107" s="2377">
        <f ca="1">IF(E107="——","——",H101-H103)</f>
        <v>95.784700000000001</v>
      </c>
      <c r="I107" s="121"/>
    </row>
    <row r="108" spans="1:35" ht="18.75" customHeight="1">
      <c r="A108" s="121"/>
      <c r="B108" s="121"/>
      <c r="C108" s="121"/>
      <c r="D108" s="121"/>
      <c r="E108" s="3317"/>
      <c r="F108" s="3285"/>
      <c r="G108" s="1687" t="s">
        <v>1434</v>
      </c>
      <c r="H108" s="2340">
        <f ca="1">IF(H107=H101,H102,ROUND(H107*10000/'数据-汇总表'!E3,0))</f>
        <v>10106</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285"/>
      <c r="G109" s="1687" t="s">
        <v>1432</v>
      </c>
      <c r="H109" s="2380" t="str">
        <f>IF(E109="——","——",H101-H105-H106)</f>
        <v>——</v>
      </c>
      <c r="I109" s="121"/>
    </row>
    <row r="110" spans="1:35" ht="18.75" customHeight="1">
      <c r="A110" s="121"/>
      <c r="B110" s="121"/>
      <c r="C110" s="121"/>
      <c r="D110" s="121"/>
      <c r="E110" s="3317"/>
      <c r="F110" s="3285"/>
      <c r="G110" s="1687" t="s">
        <v>1434</v>
      </c>
      <c r="H110" s="2340" t="str">
        <f>IF(H109="——","——",ROUND(H109*10000/'数据-汇总表'!E3,0))</f>
        <v>——</v>
      </c>
      <c r="I110" s="121"/>
    </row>
    <row r="111" spans="1:35" ht="18.75" customHeight="1">
      <c r="A111" s="121"/>
      <c r="B111" s="121"/>
      <c r="C111" s="121"/>
      <c r="D111" s="121"/>
      <c r="E111" s="3318" t="str">
        <f>IF(项目基本情况!E9="抵押净值",IF(OR(项目基本情况!E8="已注销",项目基本情况!E8="房地产抵押价值"),"4.抵押净值","5.抵押净值"),"——")</f>
        <v>4.抵押净值</v>
      </c>
      <c r="F111" s="3304"/>
      <c r="G111" s="1687" t="s">
        <v>1432</v>
      </c>
      <c r="H111" s="2377">
        <f ca="1">IF(E111="——","——",N59)</f>
        <v>89.686300000000003</v>
      </c>
      <c r="I111" s="121"/>
    </row>
    <row r="112" spans="1:35" ht="18.75" customHeight="1" thickBot="1">
      <c r="A112" s="121"/>
      <c r="B112" s="121"/>
      <c r="C112" s="121"/>
      <c r="D112" s="121"/>
      <c r="E112" s="3319"/>
      <c r="F112" s="3320"/>
      <c r="G112" s="1690" t="s">
        <v>1434</v>
      </c>
      <c r="H112" s="2381">
        <f ca="1">IF(E111="——","——",N61)</f>
        <v>10101</v>
      </c>
      <c r="I112" s="121"/>
    </row>
    <row r="113" spans="1:27" ht="18.75" customHeight="1">
      <c r="A113" s="121"/>
      <c r="B113" s="121"/>
      <c r="C113" s="121"/>
      <c r="D113" s="121"/>
      <c r="E113" s="3327" t="s">
        <v>1440</v>
      </c>
      <c r="F113" s="3327"/>
      <c r="G113" s="3327"/>
      <c r="H113" s="3327"/>
      <c r="I113" s="121"/>
    </row>
    <row r="114" spans="1:27" ht="3.75" customHeight="1">
      <c r="A114" s="646"/>
      <c r="B114" s="646"/>
      <c r="C114" s="646"/>
      <c r="D114" s="646"/>
      <c r="E114" s="1671"/>
      <c r="F114" s="1671"/>
      <c r="G114" s="1671"/>
      <c r="H114" s="1671"/>
      <c r="I114" s="646"/>
    </row>
    <row r="115" spans="1:27" ht="18.75" customHeight="1">
      <c r="A115" s="3335" t="s">
        <v>1442</v>
      </c>
      <c r="B115" s="3336"/>
      <c r="C115" s="3336"/>
      <c r="D115" s="3336"/>
      <c r="E115" s="3336"/>
      <c r="F115" s="3336"/>
      <c r="G115" s="3336"/>
      <c r="H115" s="3336"/>
      <c r="I115" s="3337"/>
    </row>
    <row r="116" spans="1:27" ht="27" customHeight="1">
      <c r="A116" s="3292" t="s">
        <v>1443</v>
      </c>
      <c r="B116" s="3296" t="s">
        <v>1444</v>
      </c>
      <c r="C116" s="3296" t="s">
        <v>1445</v>
      </c>
      <c r="D116" s="3302" t="s">
        <v>1446</v>
      </c>
      <c r="E116" s="3303"/>
      <c r="F116" s="3334" t="s">
        <v>1447</v>
      </c>
      <c r="G116" s="3334"/>
      <c r="H116" s="3292" t="s">
        <v>1448</v>
      </c>
      <c r="I116" s="3292"/>
    </row>
    <row r="117" spans="1:27" ht="18.75" customHeight="1">
      <c r="A117" s="3292"/>
      <c r="B117" s="3297"/>
      <c r="C117" s="3297"/>
      <c r="D117" s="2150" t="s">
        <v>1449</v>
      </c>
      <c r="E117" s="2150" t="s">
        <v>1450</v>
      </c>
      <c r="F117" s="2150" t="s">
        <v>1449</v>
      </c>
      <c r="G117" s="2150" t="s">
        <v>1451</v>
      </c>
      <c r="H117" s="2150" t="s">
        <v>1449</v>
      </c>
      <c r="I117" s="2150" t="s">
        <v>1451</v>
      </c>
    </row>
    <row r="118" spans="1:27" ht="24.75" customHeight="1">
      <c r="A118" s="2382" t="str">
        <f>项目基本情况!S2</f>
        <v>北京市房山区辰光东路16号院5号楼10层1001等共计9套房地产</v>
      </c>
      <c r="B118" s="2150">
        <f>M18</f>
        <v>94.78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78">
        <f ca="1">ROUND(IF(D32="总价",C32,I118*B118/10000),4)</f>
        <v>95.784700000000001</v>
      </c>
      <c r="I118" s="2150">
        <f ca="1">ROUND(IF(D32="楼面单价",C32,H118*10000/B118),0)</f>
        <v>10106</v>
      </c>
    </row>
    <row r="119" spans="1:27" ht="18.75" customHeight="1">
      <c r="A119" s="3292" t="s">
        <v>1452</v>
      </c>
      <c r="B119" s="3292"/>
      <c r="C119" s="3292"/>
      <c r="D119" s="3298" t="str">
        <f>NUMBERSTRING(INT(D118*10000),2)&amp;"元整"</f>
        <v>零元整</v>
      </c>
      <c r="E119" s="3299"/>
      <c r="F119" s="3298" t="str">
        <f>NUMBERSTRING(INT(F118*10000),2)&amp;"元整"</f>
        <v>零元整</v>
      </c>
      <c r="G119" s="3299"/>
      <c r="H119" s="3298" t="str">
        <f ca="1">NUMBERSTRING(INT(H118*10000),2)&amp;"元整"</f>
        <v>玖拾伍万柒仟捌佰肆拾柒元整</v>
      </c>
      <c r="I119" s="3299"/>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8" t="s">
        <v>1452</v>
      </c>
      <c r="B121" s="3300"/>
      <c r="C121" s="3299"/>
      <c r="D121" s="3298" t="str">
        <f>IF(D120=0,"零元整",NUMBERSTRING(INT(D120*10000),2)&amp;"元整")</f>
        <v>零元整</v>
      </c>
      <c r="E121" s="3300"/>
      <c r="F121" s="3300"/>
      <c r="G121" s="3300"/>
      <c r="H121" s="3300"/>
      <c r="I121" s="3299"/>
      <c r="AA121" s="684"/>
    </row>
    <row r="122" spans="1:27" ht="18.75" customHeight="1">
      <c r="A122" s="3304" t="str">
        <f>IF(项目基本情况!B9="房地产市场价值","",MID(E107,3,LEN(E107)-2))</f>
        <v>房地产抵押价值</v>
      </c>
      <c r="B122" s="3304"/>
      <c r="C122" s="3304"/>
      <c r="D122" s="3293">
        <f ca="1">H107</f>
        <v>95.784700000000001</v>
      </c>
      <c r="E122" s="3294"/>
      <c r="F122" s="3294"/>
      <c r="G122" s="3294"/>
      <c r="H122" s="3294"/>
      <c r="I122" s="3295"/>
      <c r="AA122" s="684"/>
    </row>
    <row r="123" spans="1:27" ht="18.75" customHeight="1">
      <c r="A123" s="3292" t="s">
        <v>1452</v>
      </c>
      <c r="B123" s="3292"/>
      <c r="C123" s="3292"/>
      <c r="D123" s="3298" t="str">
        <f ca="1">NUMBERSTRING(INT(D122*10000),2)&amp;"元整"</f>
        <v>玖拾伍万柒仟捌佰肆拾柒元整</v>
      </c>
      <c r="E123" s="3300"/>
      <c r="F123" s="3300"/>
      <c r="G123" s="3300"/>
      <c r="H123" s="3300"/>
      <c r="I123" s="3299"/>
      <c r="AA123" s="684"/>
    </row>
    <row r="124" spans="1:27" ht="18.75" customHeight="1">
      <c r="A124" s="3304" t="str">
        <f>IF(项目基本情况!B9="房地产市场价值","",MID(E109,3,LEN(E109)-2))</f>
        <v/>
      </c>
      <c r="B124" s="3304"/>
      <c r="C124" s="3304"/>
      <c r="D124" s="3293" t="str">
        <f>H109</f>
        <v>——</v>
      </c>
      <c r="E124" s="3294"/>
      <c r="F124" s="3294"/>
      <c r="G124" s="3294"/>
      <c r="H124" s="3294"/>
      <c r="I124" s="3295"/>
      <c r="AA124" s="684"/>
    </row>
    <row r="125" spans="1:27" ht="18.75" customHeight="1">
      <c r="A125" s="3292" t="s">
        <v>1452</v>
      </c>
      <c r="B125" s="3292"/>
      <c r="C125" s="3292"/>
      <c r="D125" s="3298" t="e">
        <f>NUMBERSTRING(INT(D124*10000),2)&amp;"元整"</f>
        <v>#VALUE!</v>
      </c>
      <c r="E125" s="3300"/>
      <c r="F125" s="3300"/>
      <c r="G125" s="3300"/>
      <c r="H125" s="3300"/>
      <c r="I125" s="3299"/>
      <c r="AA125" s="684"/>
    </row>
    <row r="126" spans="1:27" ht="18.75" customHeight="1">
      <c r="A126" s="3304" t="str">
        <f>IF(项目基本情况!B9="房地产市场价值","",MID(E111,3,LEN(E111)-2))</f>
        <v>抵押净值</v>
      </c>
      <c r="B126" s="3304"/>
      <c r="C126" s="3304"/>
      <c r="D126" s="3293">
        <f ca="1">H111</f>
        <v>89.686300000000003</v>
      </c>
      <c r="E126" s="3294"/>
      <c r="F126" s="3294"/>
      <c r="G126" s="3294"/>
      <c r="H126" s="3294"/>
      <c r="I126" s="3295"/>
      <c r="AA126" s="684"/>
    </row>
    <row r="127" spans="1:27" ht="18.75" customHeight="1">
      <c r="A127" s="3292" t="s">
        <v>1452</v>
      </c>
      <c r="B127" s="3292"/>
      <c r="C127" s="3292"/>
      <c r="D127" s="3298" t="str">
        <f ca="1">NUMBERSTRING(INT(D126*10000),2)&amp;"元整"</f>
        <v>捌拾玖万陆仟捌佰陆拾叁元整</v>
      </c>
      <c r="E127" s="3300"/>
      <c r="F127" s="3300"/>
      <c r="G127" s="3300"/>
      <c r="H127" s="3300"/>
      <c r="I127" s="3299"/>
      <c r="AA127" s="684"/>
    </row>
    <row r="128" spans="1:27" ht="21.75" customHeight="1">
      <c r="A128" s="3301" t="s">
        <v>1453</v>
      </c>
      <c r="B128" s="3301"/>
      <c r="C128" s="3301"/>
      <c r="D128" s="3301"/>
      <c r="E128" s="3301"/>
      <c r="F128" s="3301"/>
      <c r="G128" s="3301"/>
      <c r="H128" s="3301"/>
      <c r="I128" s="330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D7">
    <cfRule type="cellIs" dxfId="172" priority="6" stopIfTrue="1" operator="equal">
      <formula>25</formula>
    </cfRule>
  </conditionalFormatting>
  <conditionalFormatting sqref="C8:D13">
    <cfRule type="cellIs" dxfId="171" priority="5" stopIfTrue="1" operator="equal">
      <formula>15</formula>
    </cfRule>
  </conditionalFormatting>
  <conditionalFormatting sqref="C14:D16">
    <cfRule type="cellIs" dxfId="170" priority="4" stopIfTrue="1" operator="equal">
      <formula>30</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D92" xr:uid="{5C7C5217-982D-4532-BF76-24EA90708CB8}">
      <formula1>"0,5%,10%"</formula1>
    </dataValidation>
    <dataValidation type="list" allowBlank="1" showInputMessage="1" showErrorMessage="1" sqref="H59" xr:uid="{C94F58FA-4A72-4F82-B564-9C7FF225F120}">
      <formula1>"非个人房产,个人住宅（满五唯一有凭证）,个人其他（有凭证）,个人其他（无凭证）"</formula1>
    </dataValidation>
    <dataValidation type="list" allowBlank="1" showInputMessage="1" showErrorMessage="1" sqref="E103" xr:uid="{5090B5DA-D5CC-462E-BC86-87A60DF801EE}">
      <formula1>"2.估价师知悉的法定优先受偿款,2.估价师知悉的除抵押担保权以外的法定优先受偿款"</formula1>
    </dataValidation>
    <dataValidation type="list" allowBlank="1" showInputMessage="1" showErrorMessage="1" sqref="G77" xr:uid="{A0E0D0A0-3D07-45ED-B99A-20A912DC7518}">
      <formula1>"个人住宅,2016年5月1日前购买,2016年5月1日后购买"</formula1>
    </dataValidation>
    <dataValidation type="list" allowBlank="1" showInputMessage="1" showErrorMessage="1" sqref="C1" xr:uid="{492CA2CC-6A2E-44FE-B314-6D398CCE5EEE}">
      <formula1>项目类型</formula1>
    </dataValidation>
    <dataValidation type="list" allowBlank="1" showInputMessage="1" showErrorMessage="1" sqref="I1" xr:uid="{86986EB4-854D-4EDB-91DF-C9E305A393B7}">
      <formula1>"项目局部,项目全部,——"</formula1>
    </dataValidation>
    <dataValidation type="list" showInputMessage="1" showErrorMessage="1" sqref="G1" xr:uid="{043771C1-2CCD-497C-8E34-232987104791}">
      <formula1>"现房,在建,土地,-"</formula1>
    </dataValidation>
    <dataValidation type="list" allowBlank="1" showInputMessage="1" showErrorMessage="1" sqref="C129" xr:uid="{BE686E9E-8196-4E49-96D4-6BB288D984FB}">
      <formula1>"无,有"</formula1>
    </dataValidation>
    <dataValidation type="list" allowBlank="1" showInputMessage="1" showErrorMessage="1" sqref="F116:G116" xr:uid="{DA1257B6-85F3-4667-BA9F-6FFDA0F05205}">
      <formula1>"建筑物价值,在建建筑物价值,建筑物/在建建筑物价值"</formula1>
    </dataValidation>
    <dataValidation type="list" allowBlank="1" showInputMessage="1" showErrorMessage="1" sqref="D116:E116" xr:uid="{CEF679D2-8332-4BF0-9156-29B58B0A8DCB}">
      <formula1>"出让国有建设用地使用权价值,划拨国有建设用地使用权价值"</formula1>
    </dataValidation>
    <dataValidation type="list" allowBlank="1" showInputMessage="1" showErrorMessage="1" sqref="C116:C117" xr:uid="{0A176F84-F261-4E60-9D06-7C1C1D0521D2}">
      <formula1>"土地面积,分摊土地面积,（分摊）土地面积"</formula1>
    </dataValidation>
    <dataValidation type="list" allowBlank="1" showInputMessage="1" showErrorMessage="1" sqref="B116:B117" xr:uid="{F43EDF79-01AE-440D-8A50-44FF20CE3A0C}">
      <formula1>"建筑面积,规划建筑面积,（规划）建筑面积"</formula1>
    </dataValidation>
    <dataValidation type="list" allowBlank="1" showInputMessage="1" showErrorMessage="1" sqref="D36" xr:uid="{9A14323B-69CC-4B96-9C67-0613AFC725BD}">
      <formula1>"同一抵押权人同一抵押物续贷,注销后放款,正常操作"</formula1>
    </dataValidation>
    <dataValidation type="list" allowBlank="1" showInputMessage="1" showErrorMessage="1" sqref="F75" xr:uid="{4AF2E5E0-B31A-4C59-BAE6-6589752572B1}">
      <formula1>"买卖合同,购房发票"</formula1>
    </dataValidation>
    <dataValidation type="list" allowBlank="1" showInputMessage="1" showErrorMessage="1" sqref="H88" xr:uid="{15F86760-E16B-4268-AA13-94E59C7A2F48}">
      <formula1>"仅含出让金,出让金+开发费"</formula1>
    </dataValidation>
    <dataValidation type="list" allowBlank="1" showInputMessage="1" showErrorMessage="1" sqref="H91" xr:uid="{63CE5D18-B373-486A-A16C-F3C4AC6F4864}">
      <formula1>"企业提供（在右侧录入）,——"</formula1>
    </dataValidation>
    <dataValidation type="list" allowBlank="1" showInputMessage="1" showErrorMessage="1" sqref="C33" xr:uid="{553E12F0-C099-46C8-B6E8-126C6718783D}">
      <formula1>"成本比率,收益比率,自定义"</formula1>
    </dataValidation>
    <dataValidation type="list" allowBlank="1" showInputMessage="1" showErrorMessage="1" sqref="F45" xr:uid="{6F50FA95-B9A1-422B-981F-A88E7E3ABFE6}">
      <formula1>"100%,70%,56%"</formula1>
    </dataValidation>
    <dataValidation type="list" allowBlank="1" showInputMessage="1" showErrorMessage="1" sqref="D32" xr:uid="{EA4AF673-D139-4B04-8192-3231100A017A}">
      <formula1>"总价,楼面单价"</formula1>
    </dataValidation>
    <dataValidation type="list" allowBlank="1" showInputMessage="1" showErrorMessage="1" sqref="H58" xr:uid="{BBC504A5-8B9C-4396-9DE0-99FDE21E061C}">
      <formula1>"转让取得,自行开发建设"</formula1>
    </dataValidation>
    <dataValidation type="list" allowBlank="1" showInputMessage="1" showErrorMessage="1" sqref="H48" xr:uid="{2D93601C-4747-4077-A3D8-2FE1F14EF153}">
      <formula1>"情况1,情况2,情况3,情况4"</formula1>
    </dataValidation>
    <dataValidation type="list" allowBlank="1" showInputMessage="1" showErrorMessage="1" sqref="H55:H56" xr:uid="{E9A927D6-C0CC-44E2-9C0D-CBCA8C2B0D74}">
      <formula1>"个人住宅,正常"</formula1>
    </dataValidation>
    <dataValidation type="list" allowBlank="1" showInputMessage="1" showErrorMessage="1" sqref="C4:D4 D33" xr:uid="{C7214896-8AAC-4294-980E-B4742EDEF11F}">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C3857-A4BF-4DA9-A03D-8236C22D8B5D}">
  <sheetPr>
    <tabColor rgb="FFFF0000"/>
  </sheetPr>
  <dimension ref="A1:AJ512"/>
  <sheetViews>
    <sheetView view="pageBreakPreview" topLeftCell="A49" zoomScale="70" zoomScaleNormal="100" zoomScaleSheetLayoutView="70" zoomScalePageLayoutView="80" workbookViewId="0">
      <selection activeCell="C75" sqref="C7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1001</v>
      </c>
      <c r="D1" s="646"/>
      <c r="E1" s="646"/>
      <c r="F1" s="1621" t="s">
        <v>1263</v>
      </c>
      <c r="G1" s="1453"/>
      <c r="H1" s="1621" t="str">
        <f>IF(G1="现房","——","估价对象范围")</f>
        <v>估价对象范围</v>
      </c>
      <c r="I1" s="1622"/>
    </row>
    <row r="2" spans="1:12" ht="21.75" customHeight="1" thickBot="1">
      <c r="A2" s="3344" t="str">
        <f>项目基本情况!S2</f>
        <v>北京市房山区辰光东路16号院5号楼10层1001等共计9套房地产</v>
      </c>
      <c r="B2" s="3345"/>
      <c r="C2" s="3345"/>
      <c r="D2" s="3345"/>
      <c r="E2" s="3345"/>
      <c r="F2" s="3345"/>
      <c r="G2" s="3345"/>
      <c r="H2" s="3345"/>
      <c r="I2" s="3346"/>
    </row>
    <row r="3" spans="1:12" ht="13.2">
      <c r="A3" s="3348" t="s">
        <v>1264</v>
      </c>
      <c r="B3" s="3349"/>
      <c r="C3" s="3349"/>
      <c r="D3" s="3349"/>
      <c r="E3" s="3349"/>
      <c r="F3" s="3349"/>
      <c r="G3" s="3349"/>
      <c r="H3" s="3349"/>
      <c r="I3" s="3349"/>
    </row>
    <row r="4" spans="1:12" ht="14.4">
      <c r="A4" s="1624" t="s">
        <v>1265</v>
      </c>
      <c r="B4" s="1625" t="s">
        <v>1266</v>
      </c>
      <c r="C4" s="1626" t="s">
        <v>3456</v>
      </c>
      <c r="D4" s="1626" t="s">
        <v>3454</v>
      </c>
      <c r="E4" s="3353" t="s">
        <v>1267</v>
      </c>
      <c r="F4" s="3354"/>
      <c r="G4" s="3354"/>
      <c r="H4" s="3354"/>
      <c r="I4" s="3355"/>
      <c r="K4" s="138" t="str">
        <f>IF(ISNUMBER(FIND("比较法",结果表1004!C4)),"比较法",IF(ISNUMBER(FIND("成本法",结果表1004!C4)),"成本法",IF(ISNUMBER(FIND("假设开发法",结果表1004!C4)),"假设开发法",IF(ISNUMBER(FIND("收益法",结果表1004!C4)),"收益法","基准地价系数修正法"))))</f>
        <v>比较法</v>
      </c>
      <c r="L4" s="138" t="str">
        <f>IF(ISNUMBER(FIND("比较法",结果表1004!D4)),"比较法",IF(ISNUMBER(FIND("成本法",结果表1004!D4)),"成本法",IF(ISNUMBER(FIND("假设开发法",结果表1004!D4)),"假设开发法",IF(ISNUMBER(FIND("收益法",结果表1004!D4)),"收益法","基准地价系数修正法"))))</f>
        <v>收益法</v>
      </c>
    </row>
    <row r="5" spans="1:12" ht="13.2">
      <c r="A5" s="3292" t="s">
        <v>1268</v>
      </c>
      <c r="B5" s="3347">
        <v>25</v>
      </c>
      <c r="C5" s="3350"/>
      <c r="D5" s="3338"/>
      <c r="E5" s="123" t="s">
        <v>1269</v>
      </c>
      <c r="F5" s="1627"/>
      <c r="G5" s="1627"/>
      <c r="H5" s="1627"/>
      <c r="I5" s="1281"/>
    </row>
    <row r="6" spans="1:12" ht="13.2">
      <c r="A6" s="3292"/>
      <c r="B6" s="3347"/>
      <c r="C6" s="3352"/>
      <c r="D6" s="3338"/>
      <c r="E6" s="123" t="s">
        <v>1270</v>
      </c>
      <c r="F6" s="1627"/>
      <c r="G6" s="1627"/>
      <c r="H6" s="1627"/>
      <c r="I6" s="1281"/>
    </row>
    <row r="7" spans="1:12" ht="13.2">
      <c r="A7" s="3292"/>
      <c r="B7" s="3347"/>
      <c r="C7" s="3351"/>
      <c r="D7" s="3338"/>
      <c r="E7" s="123" t="s">
        <v>1271</v>
      </c>
      <c r="F7" s="1627"/>
      <c r="G7" s="1627"/>
      <c r="H7" s="1627"/>
      <c r="I7" s="1281"/>
    </row>
    <row r="8" spans="1:12" ht="13.2">
      <c r="A8" s="3292" t="s">
        <v>1272</v>
      </c>
      <c r="B8" s="3347">
        <v>15</v>
      </c>
      <c r="C8" s="3350"/>
      <c r="D8" s="3338"/>
      <c r="E8" s="123" t="s">
        <v>1273</v>
      </c>
      <c r="F8" s="1627"/>
      <c r="G8" s="1627"/>
      <c r="H8" s="1627"/>
      <c r="I8" s="1281"/>
    </row>
    <row r="9" spans="1:12" ht="13.2">
      <c r="A9" s="3292"/>
      <c r="B9" s="3347"/>
      <c r="C9" s="3351"/>
      <c r="D9" s="3338"/>
      <c r="E9" s="123" t="s">
        <v>1274</v>
      </c>
      <c r="F9" s="1627"/>
      <c r="G9" s="1627"/>
      <c r="H9" s="1627"/>
      <c r="I9" s="1281"/>
    </row>
    <row r="10" spans="1:12" ht="13.2">
      <c r="A10" s="3292" t="s">
        <v>1275</v>
      </c>
      <c r="B10" s="3347">
        <v>15</v>
      </c>
      <c r="C10" s="3350"/>
      <c r="D10" s="3338"/>
      <c r="E10" s="123" t="s">
        <v>1276</v>
      </c>
      <c r="F10" s="1627"/>
      <c r="G10" s="1627"/>
      <c r="H10" s="1627"/>
      <c r="I10" s="1281"/>
    </row>
    <row r="11" spans="1:12" ht="13.2">
      <c r="A11" s="3292"/>
      <c r="B11" s="3347"/>
      <c r="C11" s="3351"/>
      <c r="D11" s="3338"/>
      <c r="E11" s="123" t="s">
        <v>1277</v>
      </c>
      <c r="F11" s="1627"/>
      <c r="G11" s="1627"/>
      <c r="H11" s="1627"/>
      <c r="I11" s="1281"/>
    </row>
    <row r="12" spans="1:12" ht="13.2">
      <c r="A12" s="3292" t="s">
        <v>1278</v>
      </c>
      <c r="B12" s="3347">
        <v>15</v>
      </c>
      <c r="C12" s="3350"/>
      <c r="D12" s="3338"/>
      <c r="E12" s="123" t="s">
        <v>1279</v>
      </c>
      <c r="F12" s="1627"/>
      <c r="G12" s="1627"/>
      <c r="H12" s="1627"/>
      <c r="I12" s="1281"/>
    </row>
    <row r="13" spans="1:12" ht="13.2">
      <c r="A13" s="3292"/>
      <c r="B13" s="3347"/>
      <c r="C13" s="3351"/>
      <c r="D13" s="3338"/>
      <c r="E13" s="123" t="s">
        <v>1280</v>
      </c>
      <c r="F13" s="1627"/>
      <c r="G13" s="1627"/>
      <c r="H13" s="1627"/>
      <c r="I13" s="1281"/>
    </row>
    <row r="14" spans="1:12" ht="13.2">
      <c r="A14" s="3292" t="s">
        <v>1281</v>
      </c>
      <c r="B14" s="3347">
        <v>30</v>
      </c>
      <c r="C14" s="3350">
        <v>6</v>
      </c>
      <c r="D14" s="3338">
        <v>4</v>
      </c>
      <c r="E14" s="123" t="s">
        <v>1282</v>
      </c>
      <c r="F14" s="1627"/>
      <c r="G14" s="1627"/>
      <c r="H14" s="1627"/>
      <c r="I14" s="1281"/>
    </row>
    <row r="15" spans="1:12" ht="13.2">
      <c r="A15" s="3292"/>
      <c r="B15" s="3347"/>
      <c r="C15" s="3352"/>
      <c r="D15" s="3338"/>
      <c r="E15" s="123" t="s">
        <v>1283</v>
      </c>
      <c r="F15" s="1627"/>
      <c r="G15" s="1627"/>
      <c r="H15" s="1627"/>
      <c r="I15" s="1281"/>
    </row>
    <row r="16" spans="1:12" ht="13.2">
      <c r="A16" s="3292"/>
      <c r="B16" s="3347"/>
      <c r="C16" s="3351"/>
      <c r="D16" s="3338"/>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69" t="s">
        <v>2129</v>
      </c>
      <c r="F18" s="3370"/>
      <c r="G18" s="3370"/>
      <c r="H18" s="3370"/>
      <c r="I18" s="3370"/>
      <c r="K18" s="294" t="s">
        <v>1289</v>
      </c>
      <c r="L18" s="294">
        <f>IF(C1="",'数据-汇总表'!E3,SUMIF(项目类型,C1,'数据-汇总表'!E17:E26)+SUMIF(项目类型,C1,'数据-汇总表'!I17:I26))</f>
        <v>94.78</v>
      </c>
      <c r="M18" s="294">
        <f>IF(C1="",'数据-汇总表'!E3,SUMIF(项目类型,C1,'数据-汇总表'!E17:E26))</f>
        <v>94.78</v>
      </c>
    </row>
    <row r="19" spans="1:36" ht="14.4">
      <c r="A19" s="1630" t="s">
        <v>1290</v>
      </c>
      <c r="B19" s="1631" t="s">
        <v>1291</v>
      </c>
      <c r="C19" s="126">
        <f ca="1">SUMIF(INDIRECT("'"&amp;C4&amp;"'"&amp;"!A:A"),结果表1004!B19,INDIRECT("'"&amp;C4&amp;"'"&amp;"!B:B"))</f>
        <v>111.84990000000001</v>
      </c>
      <c r="D19" s="127">
        <f ca="1">SUMIF(INDIRECT("'"&amp;D4&amp;"'"&amp;"!A:A"),结果表1004!B19,INDIRECT("'"&amp;D4&amp;"'"&amp;"!B:B"))</f>
        <v>71.690899999999999</v>
      </c>
      <c r="E19" s="1630" t="s">
        <v>1292</v>
      </c>
      <c r="F19" s="1631" t="s">
        <v>1291</v>
      </c>
      <c r="G19" s="128">
        <f ca="1">ROUND(C19*$C$18+D19*$D$18,0)</f>
        <v>96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SUMIF(INDIRECT("'"&amp;C4&amp;"'"&amp;"!A:A"),结果表1004!B20,INDIRECT("'"&amp;C4&amp;"'"&amp;"!B:B"))</f>
        <v>11801</v>
      </c>
      <c r="D20" s="130">
        <f ca="1">SUMIF(INDIRECT("'"&amp;D4&amp;"'"&amp;"!A:A"),结果表1004!B20,INDIRECT("'"&amp;D4&amp;"'"&amp;"!B:B"))</f>
        <v>7564</v>
      </c>
      <c r="E20" s="1633"/>
      <c r="F20" s="43" t="s">
        <v>1295</v>
      </c>
      <c r="G20" s="131">
        <f ca="1">ROUND(C20*$C$18+D20*$D$18,0)</f>
        <v>10106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0.56016872434297804</v>
      </c>
      <c r="E22" s="121"/>
      <c r="F22" s="121"/>
      <c r="G22" s="121"/>
      <c r="H22" s="121"/>
      <c r="I22" s="121"/>
    </row>
    <row r="23" spans="1:36" ht="13.8" thickBot="1">
      <c r="A23" s="646"/>
      <c r="B23" s="646"/>
      <c r="C23" s="646"/>
      <c r="D23" s="646"/>
      <c r="E23" s="121"/>
      <c r="F23" s="121"/>
      <c r="G23" s="121"/>
      <c r="H23" s="121"/>
      <c r="I23" s="121"/>
    </row>
    <row r="24" spans="1:36" ht="14.4">
      <c r="A24" s="3362" t="s">
        <v>1299</v>
      </c>
      <c r="B24" s="1631" t="s">
        <v>1291</v>
      </c>
      <c r="C24" s="128">
        <f>IF(B30=0,0,D30)</f>
        <v>0</v>
      </c>
      <c r="D24" s="1637"/>
      <c r="E24" s="121"/>
      <c r="F24" s="121"/>
      <c r="G24" s="121"/>
      <c r="H24" s="121"/>
      <c r="I24" s="121"/>
    </row>
    <row r="25" spans="1:36" ht="14.4">
      <c r="A25" s="33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10106</v>
      </c>
      <c r="D32" s="1641" t="s">
        <v>3517</v>
      </c>
      <c r="E32" s="121"/>
      <c r="F32" s="121"/>
      <c r="G32" s="121"/>
      <c r="H32" s="121"/>
      <c r="I32" s="121"/>
    </row>
    <row r="33" spans="1:15" ht="14.4">
      <c r="A33" s="740" t="s">
        <v>1306</v>
      </c>
      <c r="B33" s="123"/>
      <c r="C33" s="1642" t="s">
        <v>3518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39" t="s">
        <v>1312</v>
      </c>
      <c r="B36" s="1652" t="s">
        <v>1313</v>
      </c>
      <c r="C36" s="137"/>
      <c r="D36" s="1653"/>
      <c r="E36" s="1567"/>
      <c r="F36" s="1654"/>
      <c r="G36" s="121"/>
      <c r="H36" s="121"/>
      <c r="I36" s="121"/>
    </row>
    <row r="37" spans="1:15" ht="15" thickBot="1">
      <c r="A37" s="3340"/>
      <c r="B37" s="1555" t="s">
        <v>1314</v>
      </c>
      <c r="C37" s="139"/>
      <c r="D37" s="1071"/>
      <c r="E37" s="1071"/>
      <c r="F37" s="1654"/>
      <c r="G37" s="121"/>
      <c r="H37" s="121"/>
      <c r="I37" s="121"/>
    </row>
    <row r="38" spans="1:15" ht="15" thickBot="1">
      <c r="A38" s="3341"/>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9" t="s">
        <v>1326</v>
      </c>
      <c r="B45" s="3360"/>
      <c r="C45" s="3361"/>
      <c r="D45" s="3179">
        <f ca="1">典型户型修正!S26</f>
        <v>90.074799999999996</v>
      </c>
      <c r="E45" s="148" t="s">
        <v>1327</v>
      </c>
      <c r="F45" s="149">
        <v>1</v>
      </c>
      <c r="G45" s="150" t="s">
        <v>1328</v>
      </c>
      <c r="H45" s="121"/>
      <c r="I45" s="121"/>
      <c r="J45" s="3279" t="s">
        <v>1329</v>
      </c>
      <c r="K45" s="3279"/>
      <c r="L45" s="3279"/>
      <c r="M45" s="3279"/>
      <c r="N45" s="3279"/>
      <c r="O45" s="3279"/>
    </row>
    <row r="46" spans="1:15" ht="14.25" customHeight="1">
      <c r="A46" s="3356" t="s">
        <v>1330</v>
      </c>
      <c r="B46" s="3357"/>
      <c r="C46" s="3357"/>
      <c r="D46" s="3357"/>
      <c r="E46" s="3357"/>
      <c r="F46" s="3357"/>
      <c r="G46" s="3358"/>
      <c r="H46" s="1668"/>
      <c r="I46" s="151"/>
      <c r="J46" s="2309">
        <v>1</v>
      </c>
      <c r="K46" s="3280" t="s">
        <v>1331</v>
      </c>
      <c r="L46" s="3280"/>
      <c r="M46" s="3281"/>
      <c r="N46" s="3281"/>
      <c r="O46" s="3281"/>
    </row>
    <row r="47" spans="1:15" ht="12" customHeight="1">
      <c r="A47" s="152" t="s">
        <v>1332</v>
      </c>
      <c r="B47" s="153"/>
      <c r="C47" s="154"/>
      <c r="D47" s="1024" t="s">
        <v>1333</v>
      </c>
      <c r="E47" s="294" t="s">
        <v>1334</v>
      </c>
      <c r="F47" s="155" t="s">
        <v>1335</v>
      </c>
      <c r="G47" s="2332" t="s">
        <v>1336</v>
      </c>
      <c r="H47" s="2333"/>
      <c r="I47" s="151"/>
      <c r="J47" s="2309">
        <v>2</v>
      </c>
      <c r="K47" s="3280" t="s">
        <v>1337</v>
      </c>
      <c r="L47" s="3280"/>
      <c r="M47" s="3282">
        <f>'数据-取费表'!B2</f>
        <v>45828</v>
      </c>
      <c r="N47" s="3282"/>
      <c r="O47" s="3282"/>
    </row>
    <row r="48" spans="1:15" ht="39.6">
      <c r="A48" s="3342" t="s">
        <v>1338</v>
      </c>
      <c r="B48" s="3343"/>
      <c r="C48" s="3343"/>
      <c r="D48" s="12">
        <f ca="1">IF(H48="情况1",0,IF(H48="情况2",D52,IF(H48="情况3",D53,IF(H48="情况4",D54))))</f>
        <v>0</v>
      </c>
      <c r="E48" s="1256" t="str">
        <f>IF(H48="情况4","(销售额-原购置价)×税（费）率","销售额×税（费）率")</f>
        <v>(销售额-原购置价)×税（费）率</v>
      </c>
      <c r="F48" s="2334">
        <f>IF(H48="情况1","免征",'数据-取费表'!B41)</f>
        <v>5.6000000000000001E-2</v>
      </c>
      <c r="G48" s="2335" t="s">
        <v>1339</v>
      </c>
      <c r="H48" s="2336" t="s">
        <v>3538</v>
      </c>
      <c r="I48" s="1668"/>
      <c r="J48" s="2309">
        <v>3</v>
      </c>
      <c r="K48" s="3280" t="s">
        <v>1340</v>
      </c>
      <c r="L48" s="3280"/>
      <c r="M48" s="3283">
        <f ca="1">D45</f>
        <v>90.074799999999996</v>
      </c>
      <c r="N48" s="3283"/>
      <c r="O48" s="3283"/>
    </row>
    <row r="49" spans="1:35" ht="25.5" customHeight="1">
      <c r="A49" s="2152" t="s">
        <v>1341</v>
      </c>
      <c r="B49" s="3328" t="s">
        <v>1342</v>
      </c>
      <c r="C49" s="3328"/>
      <c r="D49" s="1478">
        <v>0</v>
      </c>
      <c r="E49" s="316" t="s">
        <v>1343</v>
      </c>
      <c r="F49" s="2232" t="s">
        <v>28</v>
      </c>
      <c r="G49" s="3311"/>
      <c r="H49" s="2134" t="s">
        <v>2132</v>
      </c>
      <c r="I49" s="2135"/>
      <c r="J49" s="2309">
        <v>4</v>
      </c>
      <c r="K49" s="3280" t="str">
        <f>IF(项目基本情况!E8="房地产抵押价值","房地产抵押价值","抵押担保权已注销时的房地产抵押价值")</f>
        <v>房地产抵押价值</v>
      </c>
      <c r="L49" s="3280"/>
      <c r="M49" s="3283">
        <f ca="1">M48</f>
        <v>90.074799999999996</v>
      </c>
      <c r="N49" s="3283"/>
      <c r="O49" s="3283"/>
    </row>
    <row r="50" spans="1:35" ht="25.5" customHeight="1">
      <c r="A50" s="2337"/>
      <c r="B50" s="3328" t="s">
        <v>1344</v>
      </c>
      <c r="C50" s="3328"/>
      <c r="D50" s="2189"/>
      <c r="E50" s="323"/>
      <c r="F50" s="2232"/>
      <c r="G50" s="3312"/>
      <c r="H50" s="2136" t="s">
        <v>2133</v>
      </c>
      <c r="I50" s="2135"/>
      <c r="J50" s="3279" t="s">
        <v>1345</v>
      </c>
      <c r="K50" s="3279"/>
      <c r="L50" s="3279"/>
      <c r="M50" s="3279"/>
      <c r="N50" s="3279"/>
      <c r="O50" s="3279"/>
    </row>
    <row r="51" spans="1:35" ht="20.399999999999999" customHeight="1">
      <c r="A51" s="2338"/>
      <c r="B51" s="3328" t="s">
        <v>1346</v>
      </c>
      <c r="C51" s="3328"/>
      <c r="D51" s="1024"/>
      <c r="E51" s="319"/>
      <c r="F51" s="2232"/>
      <c r="G51" s="3313"/>
      <c r="H51" s="2136" t="s">
        <v>2134</v>
      </c>
      <c r="I51" s="2135"/>
      <c r="J51" s="2310" t="s">
        <v>1347</v>
      </c>
      <c r="K51" s="3280" t="s">
        <v>1348</v>
      </c>
      <c r="L51" s="3280"/>
      <c r="M51" s="2310" t="s">
        <v>1349</v>
      </c>
      <c r="N51" s="2310" t="s">
        <v>1350</v>
      </c>
      <c r="O51" s="2310" t="s">
        <v>1351</v>
      </c>
    </row>
    <row r="52" spans="1:35" ht="24" customHeight="1">
      <c r="A52" s="2153" t="s">
        <v>1352</v>
      </c>
      <c r="B52" s="3328" t="s">
        <v>1353</v>
      </c>
      <c r="C52" s="3328"/>
      <c r="D52" s="1024">
        <f ca="1">ROUND(D45*'数据-取费表'!B41/(1+'数据-取费表'!C42),0)</f>
        <v>5</v>
      </c>
      <c r="E52" s="1256" t="s">
        <v>1354</v>
      </c>
      <c r="F52" s="2339">
        <f>'数据-取费表'!B41</f>
        <v>5.6000000000000001E-2</v>
      </c>
      <c r="G52" s="2340"/>
      <c r="H52" s="2330"/>
      <c r="I52" s="1669"/>
      <c r="J52" s="2309">
        <v>1</v>
      </c>
      <c r="K52" s="3305" t="s">
        <v>1355</v>
      </c>
      <c r="L52" s="3305"/>
      <c r="M52" s="2311">
        <f ca="1">D48</f>
        <v>0</v>
      </c>
      <c r="N52" s="2309" t="str">
        <f>E48</f>
        <v>(销售额-原购置价)×税（费）率</v>
      </c>
      <c r="O52" s="2312">
        <f>F48</f>
        <v>5.6000000000000001E-2</v>
      </c>
    </row>
    <row r="53" spans="1:35" ht="12" customHeight="1">
      <c r="A53" s="2153" t="s">
        <v>1356</v>
      </c>
      <c r="B53" s="3329" t="s">
        <v>2289</v>
      </c>
      <c r="C53" s="3330"/>
      <c r="D53" s="1024">
        <f ca="1">ROUND(D45*'数据-取费表'!B41/(1+'数据-取费表'!C42),0)</f>
        <v>5</v>
      </c>
      <c r="E53" s="1256" t="s">
        <v>1354</v>
      </c>
      <c r="F53" s="2339">
        <f>'数据-取费表'!B41</f>
        <v>5.6000000000000001E-2</v>
      </c>
      <c r="G53" s="2340"/>
      <c r="H53" s="2330"/>
      <c r="I53" s="1669"/>
      <c r="J53" s="2309">
        <v>2</v>
      </c>
      <c r="K53" s="3305" t="s">
        <v>1357</v>
      </c>
      <c r="L53" s="3305"/>
      <c r="M53" s="2311">
        <f t="shared" ref="M53:O54" ca="1" si="0">D55</f>
        <v>4.4999999999999998E-2</v>
      </c>
      <c r="N53" s="2309" t="str">
        <f t="shared" si="0"/>
        <v>销售额×税（费）率</v>
      </c>
      <c r="O53" s="2312">
        <f t="shared" si="0"/>
        <v>5.0000000000000001E-4</v>
      </c>
    </row>
    <row r="54" spans="1:35" ht="12" customHeight="1">
      <c r="A54" s="2153" t="s">
        <v>1358</v>
      </c>
      <c r="B54" s="3329" t="s">
        <v>2290</v>
      </c>
      <c r="C54" s="3330"/>
      <c r="D54" s="1024">
        <f ca="1">C68</f>
        <v>0</v>
      </c>
      <c r="E54" s="319" t="s">
        <v>1359</v>
      </c>
      <c r="F54" s="2339">
        <f>'数据-取费表'!B41</f>
        <v>5.6000000000000001E-2</v>
      </c>
      <c r="G54" s="2340"/>
      <c r="H54" s="2341"/>
      <c r="I54" s="1669"/>
      <c r="J54" s="2309">
        <v>3</v>
      </c>
      <c r="K54" s="3305" t="s">
        <v>1360</v>
      </c>
      <c r="L54" s="3305"/>
      <c r="M54" s="2311">
        <f t="shared" ca="1" si="0"/>
        <v>0</v>
      </c>
      <c r="N54" s="2309" t="str">
        <f t="shared" si="0"/>
        <v>增值额×税（费）率</v>
      </c>
      <c r="O54" s="2313" t="str">
        <f t="shared" si="0"/>
        <v>——</v>
      </c>
    </row>
    <row r="55" spans="1:35" ht="24" customHeight="1">
      <c r="A55" s="3365" t="s">
        <v>1361</v>
      </c>
      <c r="B55" s="3343"/>
      <c r="C55" s="3343"/>
      <c r="D55" s="1504">
        <f ca="1">IF(H55="个人住宅",0,ROUND(D45*I55,4))</f>
        <v>4.4999999999999998E-2</v>
      </c>
      <c r="E55" s="1256" t="s">
        <v>1362</v>
      </c>
      <c r="F55" s="2339">
        <f>IF(H55="正常",I55,"免征")</f>
        <v>5.0000000000000001E-4</v>
      </c>
      <c r="G55" s="2340"/>
      <c r="H55" s="2336" t="s">
        <v>3465</v>
      </c>
      <c r="I55" s="157">
        <f>'数据-取费表'!B49</f>
        <v>5.0000000000000001E-4</v>
      </c>
      <c r="J55" s="2309" t="str">
        <f>IF(H59="非个人房产","",4)</f>
        <v/>
      </c>
      <c r="K55" s="3305" t="str">
        <f>IF(H59="非个人房产","——","个人所得税")</f>
        <v>——</v>
      </c>
      <c r="L55" s="3305"/>
      <c r="M55" s="2314" t="str">
        <f>D59</f>
        <v>——</v>
      </c>
      <c r="N55" s="1883" t="str">
        <f>E59</f>
        <v>——</v>
      </c>
      <c r="O55" s="2315" t="str">
        <f>F59</f>
        <v>——</v>
      </c>
    </row>
    <row r="56" spans="1:35" ht="25.2">
      <c r="A56" s="3365" t="s">
        <v>1363</v>
      </c>
      <c r="B56" s="3343"/>
      <c r="C56" s="3343"/>
      <c r="D56" s="12">
        <f ca="1">IF(H56="个人住宅",D57,D58)</f>
        <v>0</v>
      </c>
      <c r="E56" s="1256" t="s">
        <v>1364</v>
      </c>
      <c r="F56" s="2339" t="str">
        <f>IF(H56="正常",F58,"免征")</f>
        <v>——</v>
      </c>
      <c r="G56" s="2342" t="s">
        <v>1365</v>
      </c>
      <c r="H56" s="2343" t="s">
        <v>3465</v>
      </c>
      <c r="I56" s="1670"/>
      <c r="J56" s="2309" t="str">
        <f>IF(项目基本情况!K6="上海银行",IF(J55="",4,J55+1),"")</f>
        <v/>
      </c>
      <c r="K56" s="3286" t="str">
        <f>IF(项目基本情况!K6="上海银行","其他处置费用","")</f>
        <v/>
      </c>
      <c r="L56" s="3287"/>
      <c r="M56" s="2311" t="str">
        <f>IF(项目基本情况!K6="上海银行",M69,"")</f>
        <v/>
      </c>
      <c r="N56" s="3286" t="str">
        <f>IF(项目基本情况!K6="上海银行","包含处置中涉及的律师、诉讼、拍卖、评估等费用","")</f>
        <v/>
      </c>
      <c r="O56" s="3289"/>
    </row>
    <row r="57" spans="1:35" ht="13.2">
      <c r="A57" s="2153" t="s">
        <v>1341</v>
      </c>
      <c r="B57" s="3329" t="s">
        <v>1366</v>
      </c>
      <c r="C57" s="3330"/>
      <c r="D57" s="1478">
        <v>0</v>
      </c>
      <c r="E57" s="316" t="s">
        <v>1343</v>
      </c>
      <c r="F57" s="294"/>
      <c r="G57" s="2340"/>
      <c r="H57" s="2344"/>
      <c r="I57" s="1670"/>
      <c r="J57" s="3305">
        <f>IF(AND(J55="",J56=""),4,IF(项目基本情况!K6="上海银行",结果表1004!J56+1,结果表1004!J55+1))</f>
        <v>4</v>
      </c>
      <c r="K57" s="3305" t="s">
        <v>1367</v>
      </c>
      <c r="L57" s="2316" t="s">
        <v>1368</v>
      </c>
      <c r="M57" s="2317"/>
      <c r="N57" s="2318">
        <f ca="1">SUMIF(M52:M56,"&lt;9e307")</f>
        <v>4.4999999999999998E-2</v>
      </c>
      <c r="O57" s="2319"/>
      <c r="P57" s="2460">
        <f ca="1">N57/M49</f>
        <v>4.9958478953047915E-4</v>
      </c>
    </row>
    <row r="58" spans="1:35" ht="25.2">
      <c r="A58" s="2153" t="s">
        <v>1352</v>
      </c>
      <c r="B58" s="3329" t="s">
        <v>1369</v>
      </c>
      <c r="C58" s="3328"/>
      <c r="D58" s="12">
        <f ca="1">IF(H58="转让取得",C81,C97)</f>
        <v>0</v>
      </c>
      <c r="E58" s="1256" t="s">
        <v>1364</v>
      </c>
      <c r="F58" s="294" t="s">
        <v>28</v>
      </c>
      <c r="G58" s="2340"/>
      <c r="H58" s="2343" t="s">
        <v>3539</v>
      </c>
      <c r="I58" s="1670"/>
      <c r="J58" s="3305"/>
      <c r="K58" s="3305"/>
      <c r="L58" s="2316" t="s">
        <v>1370</v>
      </c>
      <c r="M58" s="2320"/>
      <c r="N58" s="2321" t="str">
        <f ca="1">NUMBERSTRING(INT(N57*10000),2)&amp;"元整"</f>
        <v>肆佰伍拾元整</v>
      </c>
      <c r="O58" s="2322"/>
    </row>
    <row r="59" spans="1:35" ht="24.6" thickBot="1">
      <c r="A59" s="3309" t="s">
        <v>1371</v>
      </c>
      <c r="B59" s="3310"/>
      <c r="C59" s="3310"/>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3540</v>
      </c>
      <c r="I59" s="2137" t="s">
        <v>2135</v>
      </c>
      <c r="J59" s="3307">
        <f>J57+1</f>
        <v>5</v>
      </c>
      <c r="K59" s="3305" t="s">
        <v>1372</v>
      </c>
      <c r="L59" s="2309" t="s">
        <v>1368</v>
      </c>
      <c r="M59" s="2323"/>
      <c r="N59" s="2324">
        <f ca="1">M49-N57</f>
        <v>90.029799999999994</v>
      </c>
      <c r="O59" s="2325"/>
    </row>
    <row r="60" spans="1:35" ht="12" customHeight="1">
      <c r="A60" s="1671"/>
      <c r="B60" s="646"/>
      <c r="C60" s="646"/>
      <c r="D60" s="646"/>
      <c r="E60" s="1466"/>
      <c r="F60" s="1670"/>
      <c r="G60" s="1670"/>
      <c r="H60" s="151"/>
      <c r="I60" s="121"/>
      <c r="J60" s="3308"/>
      <c r="K60" s="3305"/>
      <c r="L60" s="2316" t="s">
        <v>1370</v>
      </c>
      <c r="M60" s="2320"/>
      <c r="N60" s="2321" t="str">
        <f ca="1">NUMBERSTRING(INT(N59*10000),2)&amp;"元整"</f>
        <v>玖拾万零贰佰玖拾捌元整</v>
      </c>
      <c r="O60" s="2322"/>
    </row>
    <row r="61" spans="1:35" ht="13.8" thickBot="1">
      <c r="A61" s="3364" t="s">
        <v>1373</v>
      </c>
      <c r="B61" s="3364"/>
      <c r="C61" s="3364"/>
      <c r="D61" s="3364"/>
      <c r="E61" s="3364"/>
      <c r="F61" s="1670"/>
      <c r="G61" s="1670"/>
      <c r="H61" s="151"/>
      <c r="I61" s="121"/>
      <c r="J61" s="2309">
        <f>J59+1</f>
        <v>6</v>
      </c>
      <c r="K61" s="3305" t="s">
        <v>1374</v>
      </c>
      <c r="L61" s="3305"/>
      <c r="M61" s="2326"/>
      <c r="N61" s="3188">
        <f ca="1">ROUND(N59*10000/'数据-基础表'!G15,0)</f>
        <v>10101</v>
      </c>
      <c r="O61" s="2328"/>
    </row>
    <row r="62" spans="1:35" ht="13.2">
      <c r="A62" s="3324" t="s">
        <v>1375</v>
      </c>
      <c r="B62" s="3325"/>
      <c r="C62" s="1865"/>
      <c r="D62" s="1865" t="s">
        <v>1376</v>
      </c>
      <c r="E62" s="158" t="s">
        <v>1377</v>
      </c>
      <c r="F62" s="1670"/>
      <c r="G62" s="1670"/>
      <c r="H62" s="151"/>
      <c r="I62" s="121"/>
    </row>
    <row r="63" spans="1:35" ht="13.2">
      <c r="A63" s="165" t="s">
        <v>330</v>
      </c>
      <c r="B63" s="159" t="s">
        <v>1378</v>
      </c>
      <c r="C63" s="3181">
        <f ca="1">ROUND((C64+C65)/(1+'数据-取费表'!C42),4)</f>
        <v>85.785499999999999</v>
      </c>
      <c r="D63" s="159"/>
      <c r="E63" s="160"/>
      <c r="F63" s="1670"/>
      <c r="G63" s="1670"/>
      <c r="H63" s="151"/>
      <c r="I63" s="121"/>
      <c r="J63" s="3288" t="s">
        <v>1379</v>
      </c>
      <c r="K63" s="1245" t="s">
        <v>1380</v>
      </c>
      <c r="L63" s="1245">
        <f ca="1">IF(M49&gt;10000,M49*0.5%,IF(AND(M49&gt;1000,M49&lt;=10000),M49*1%,IF(AND(M49&gt;100,M49&lt;=1000),M49*3%,IF(AND(M49&gt;10,M49&lt;=100),M49*5%,M49*8%))))</f>
        <v>4.5037399999999996</v>
      </c>
      <c r="M63" s="294">
        <f ca="1">ROUND(L63,1)</f>
        <v>4.5</v>
      </c>
      <c r="N63" s="2329"/>
      <c r="Z63" s="1623"/>
      <c r="AI63" s="1561"/>
    </row>
    <row r="64" spans="1:35" ht="14.25" customHeight="1">
      <c r="A64" s="161" t="s">
        <v>325</v>
      </c>
      <c r="B64" s="162" t="s">
        <v>1381</v>
      </c>
      <c r="C64" s="3182">
        <f ca="1">D45</f>
        <v>90.074799999999996</v>
      </c>
      <c r="D64" s="162" t="s">
        <v>26</v>
      </c>
      <c r="E64" s="164"/>
      <c r="F64" s="1670"/>
      <c r="G64" s="1670"/>
      <c r="H64" s="151"/>
      <c r="I64" s="121"/>
      <c r="J64" s="3288"/>
      <c r="K64" s="1245" t="s">
        <v>1382</v>
      </c>
      <c r="L64" s="1245">
        <f ca="1">IF(M49&gt;2000,M49*0.5%,IF(AND(M49&gt;1000,M49&lt;=2000),M49*0.6%,IF(AND(M49&gt;500,M49&lt;=1000),M49*0.7%,IF(AND(M49&gt;200,M49&lt;=500),M49*0.8%,IF(AND(M49&gt;100,M49&lt;=200),M49*0.9%,IF(AND(M49&gt;50,M49&lt;=100),M49*1%,IF(AND(M49&gt;20,M49&lt;=50),M49*1.5%,IF(AND(M49&gt;10,M49&lt;=20),M49*2%,IF(AND(M49&gt;1,M49&lt;=10),M49*2.5%)))))))))</f>
        <v>0.90074799999999999</v>
      </c>
      <c r="M64" s="294">
        <f t="shared" ref="M64:M65" ca="1" si="1">ROUND(L64,1)</f>
        <v>0.9</v>
      </c>
      <c r="N64" s="2330" t="s">
        <v>1383</v>
      </c>
      <c r="Z64" s="1623"/>
      <c r="AI64" s="1561"/>
    </row>
    <row r="65" spans="1:35" ht="14.25" customHeight="1">
      <c r="A65" s="161" t="s">
        <v>326</v>
      </c>
      <c r="B65" s="162" t="s">
        <v>1384</v>
      </c>
      <c r="C65" s="2349"/>
      <c r="D65" s="162"/>
      <c r="E65" s="164"/>
      <c r="F65" s="1670"/>
      <c r="G65" s="1670"/>
      <c r="H65" s="151"/>
      <c r="I65" s="121"/>
      <c r="J65" s="3288"/>
      <c r="K65" s="1245" t="s">
        <v>1385</v>
      </c>
      <c r="L65" s="1245">
        <f ca="1">IF(M49&gt;1000,M49*0.1%,IF(AND(M49&gt;500,M49&lt;=1000),M49*0.5%,IF(AND(M49&gt;50,M49&lt;=500),M49*1%,IF(AND(M49&gt;1,M49&lt;=50),M49*1.5%))))</f>
        <v>0.90074799999999999</v>
      </c>
      <c r="M65" s="294">
        <f t="shared" ca="1" si="1"/>
        <v>0.9</v>
      </c>
      <c r="N65" s="2330" t="s">
        <v>1383</v>
      </c>
      <c r="Z65" s="1623"/>
      <c r="AI65" s="1561"/>
    </row>
    <row r="66" spans="1:35" ht="14.25" customHeight="1">
      <c r="A66" s="165" t="s">
        <v>327</v>
      </c>
      <c r="B66" s="166" t="s">
        <v>1386</v>
      </c>
      <c r="C66" s="2350">
        <f>C75/1.05</f>
        <v>93.374285714285719</v>
      </c>
      <c r="D66" s="166" t="s">
        <v>26</v>
      </c>
      <c r="E66" s="1251" t="s">
        <v>671</v>
      </c>
      <c r="F66" s="1670"/>
      <c r="G66" s="1670"/>
      <c r="H66" s="151"/>
      <c r="I66" s="121"/>
      <c r="J66" s="3288"/>
      <c r="K66" s="1245" t="s">
        <v>1387</v>
      </c>
      <c r="L66" s="1245">
        <f ca="1">M49*0.5%</f>
        <v>0.450374</v>
      </c>
      <c r="M66" s="294">
        <f ca="1">IF(L66&gt;0.5,0.5,ROUND(L66,0))</f>
        <v>0</v>
      </c>
      <c r="N66" s="2330" t="s">
        <v>1388</v>
      </c>
      <c r="Z66" s="1623"/>
      <c r="AI66" s="1561"/>
    </row>
    <row r="67" spans="1:35" ht="14.25" customHeight="1">
      <c r="A67" s="165" t="s">
        <v>328</v>
      </c>
      <c r="B67" s="166" t="s">
        <v>1389</v>
      </c>
      <c r="C67" s="2351">
        <f ca="1">C63-C66</f>
        <v>-7.58878571428572</v>
      </c>
      <c r="D67" s="162" t="s">
        <v>26</v>
      </c>
      <c r="E67" s="164"/>
      <c r="F67" s="1670"/>
      <c r="G67" s="1670"/>
      <c r="H67" s="151"/>
      <c r="I67" s="121"/>
      <c r="J67" s="3288"/>
      <c r="K67" s="1245" t="s">
        <v>1390</v>
      </c>
      <c r="L67" s="1245">
        <f ca="1">IF(M49&gt;=10000,(8.25+(M49-10000)*0.01%),IF(AND(M49&gt;=8000,M49&lt;10000),(7.85+(M49-8000)*0.02%),IF(AND(M49&gt;=5000,M49&lt;8000),(6.65+(M49-5000)*0.04%),IF(AND(M49&gt;=2000,M49&lt;5000),(4.25+(PM49-2000)*0.08%),IF(AND(M49&gt;=1000,M49&lt;2000),(2.75+(M49-1000)*0.15%),IF(AND(M49&gt;=100,M49&lt;1000),(0.5+(M49-100)*0.25%),IF(AND(M49&gt;0,M49&lt;100),M49*0.5%)))))))</f>
        <v>0.450374</v>
      </c>
      <c r="M67" s="294">
        <f ca="1">ROUND(L67*0.9,1)</f>
        <v>0.4</v>
      </c>
      <c r="N67" s="2329"/>
      <c r="Z67" s="1623"/>
      <c r="AI67" s="1561"/>
    </row>
    <row r="68" spans="1:35" ht="14.25" customHeight="1" thickBot="1">
      <c r="A68" s="168" t="s">
        <v>329</v>
      </c>
      <c r="B68" s="169" t="s">
        <v>1391</v>
      </c>
      <c r="C68" s="3180">
        <f ca="1">IF(C67&lt;=0,0,ROUND(C67*D68,4))</f>
        <v>0</v>
      </c>
      <c r="D68" s="2352">
        <f>'数据-取费表'!B41</f>
        <v>5.6000000000000001E-2</v>
      </c>
      <c r="E68" s="170"/>
      <c r="F68" s="1670"/>
      <c r="G68" s="1670"/>
      <c r="H68" s="151"/>
      <c r="I68" s="121"/>
      <c r="J68" s="3288"/>
      <c r="K68" s="1245" t="s">
        <v>1392</v>
      </c>
      <c r="L68" s="1245">
        <f ca="1">IF(M49&gt;10000,M49*0.5%,IF(AND(M49&gt;5000,M49&lt;=10000),M49*1%,IF(AND(M49&gt;1000,M49&lt;=5000),M49*2%,IF(AND(M49&gt;200,M49&lt;=1000),M49*3%,M49*5%))))</f>
        <v>4.5037399999999996</v>
      </c>
      <c r="M68" s="294">
        <f ca="1">ROUND(L68,1)</f>
        <v>4.5</v>
      </c>
      <c r="N68" s="2329"/>
      <c r="Z68" s="1623"/>
      <c r="AI68" s="1561"/>
    </row>
    <row r="69" spans="1:35" ht="16.5" customHeight="1">
      <c r="A69" s="1672"/>
      <c r="B69" s="1673"/>
      <c r="C69" s="1674"/>
      <c r="D69" s="1675"/>
      <c r="E69" s="1676"/>
      <c r="F69" s="1466"/>
      <c r="G69" s="1466"/>
      <c r="H69" s="1467"/>
      <c r="I69" s="646"/>
      <c r="J69" s="3288"/>
      <c r="K69" s="1245" t="s">
        <v>1393</v>
      </c>
      <c r="L69" s="1245"/>
      <c r="M69" s="294">
        <f ca="1">ROUND(SUM(M63:M68),0)</f>
        <v>11</v>
      </c>
      <c r="N69" s="2331">
        <f ca="1">M69/M49</f>
        <v>0.12212072632967268</v>
      </c>
      <c r="Z69" s="1623"/>
      <c r="AI69" s="1561"/>
    </row>
    <row r="70" spans="1:35" s="642" customFormat="1" ht="14.4" thickBot="1">
      <c r="A70" s="3332" t="s">
        <v>1394</v>
      </c>
      <c r="B70" s="3333"/>
      <c r="C70" s="3333"/>
      <c r="D70" s="3333"/>
      <c r="E70" s="3333"/>
      <c r="F70" s="3333"/>
      <c r="G70" s="3333"/>
      <c r="H70" s="333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4" t="s">
        <v>1375</v>
      </c>
      <c r="B71" s="332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3183">
        <f ca="1">ROUND(D45/(1+'数据-取费表'!C42),4)</f>
        <v>85.785499999999999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3183">
        <f ca="1">C74+C78</f>
        <v>111.44340000000001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3085">
        <f>ROUND(IF(G77="2016年5月1日后购买",C75/(1+'数据-取费表'!C42)+C76+C77,C75+C76+C77),4)</f>
        <v>110.92870000000001</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3184">
        <f>面积信息!K4</f>
        <v>98.043000000000006</v>
      </c>
      <c r="D75" s="162" t="s">
        <v>26</v>
      </c>
      <c r="E75" s="176" t="s">
        <v>1399</v>
      </c>
      <c r="F75" s="2354" t="s">
        <v>3541</v>
      </c>
      <c r="G75" s="176" t="s">
        <v>1400</v>
      </c>
      <c r="H75" s="2355">
        <f>2025-2022</f>
        <v>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085">
        <f>IF(F75="购房发票",ROUND(C75*H75*D76,4),0)</f>
        <v>14.7065</v>
      </c>
      <c r="D76" s="2356">
        <v>0.05</v>
      </c>
      <c r="E76" s="3329" t="s">
        <v>1402</v>
      </c>
      <c r="F76" s="3328"/>
      <c r="G76" s="3328"/>
      <c r="H76" s="333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085">
        <f>ROUND(IF(G77="个人住宅",0,IF(G77="2016年5月1日前购买",C75*D77,C75*D77/(1+'数据-取费表'!C42))),4)</f>
        <v>2.8479000000000001</v>
      </c>
      <c r="D77" s="2357">
        <f>'数据-取费表'!B48+'数据-取费表'!B49</f>
        <v>3.0499999999999999E-2</v>
      </c>
      <c r="E77" s="12" t="s">
        <v>1404</v>
      </c>
      <c r="F77" s="178"/>
      <c r="G77" s="1682" t="s">
        <v>3542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185">
        <f ca="1">ROUND(D45*D78/(1+'数据-取费表'!C42),4)</f>
        <v>0.51470000000000005</v>
      </c>
      <c r="D78" s="2359">
        <f>'数据-取费表'!B43</f>
        <v>6.000000000000001E-3</v>
      </c>
      <c r="E78" s="3321" t="s">
        <v>1406</v>
      </c>
      <c r="F78" s="3322"/>
      <c r="G78" s="3322"/>
      <c r="H78" s="332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1">
        <f ca="1">C72-C73</f>
        <v>-25.657900000000012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3186">
        <f ca="1">ROUND(IF(C79&lt;=0,0,IF(C80&gt;=200%,C79*60%-C73*35%,IF(C80&gt;=100%,C79*50%-C73*15%,IF(C80&gt;=50%,C79*40%-C73*5%,IF(C80&lt;50%,C79*30%,0))))),4)</f>
        <v>0</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2" t="s">
        <v>1410</v>
      </c>
      <c r="B83" s="3333"/>
      <c r="C83" s="3333"/>
      <c r="D83" s="3333"/>
      <c r="E83" s="3333"/>
      <c r="F83" s="3333"/>
      <c r="G83" s="3333"/>
      <c r="H83" s="333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4" t="s">
        <v>1375</v>
      </c>
      <c r="B84" s="332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86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1</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8">
        <f>C88+C89</f>
        <v>0</v>
      </c>
      <c r="D87" s="2359"/>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4"/>
      <c r="D88" s="2359"/>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8">
        <f>ROUND(C88*D89,0)</f>
        <v>0</v>
      </c>
      <c r="D89" s="2359">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4"/>
      <c r="D90" s="2359"/>
      <c r="E90" s="185" t="str">
        <f>IF(H88="-","土地取得成本中已包含该笔费用"," ")</f>
        <v xml:space="preserve"> </v>
      </c>
      <c r="F90" s="2148"/>
      <c r="G90" s="3290" t="s">
        <v>2127</v>
      </c>
      <c r="H90" s="3291"/>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321" t="s">
        <v>1419</v>
      </c>
      <c r="F91" s="3322"/>
      <c r="G91" s="332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321" t="s">
        <v>1422</v>
      </c>
      <c r="F92" s="3322"/>
      <c r="G92" s="3322"/>
      <c r="H92" s="3323"/>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1</v>
      </c>
      <c r="D93" s="2359">
        <f>'数据-取费表'!B43</f>
        <v>6.000000000000001E-3</v>
      </c>
      <c r="E93" s="3321" t="s">
        <v>1406</v>
      </c>
      <c r="F93" s="3322"/>
      <c r="G93" s="3322"/>
      <c r="H93" s="332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366" t="s">
        <v>1426</v>
      </c>
      <c r="F94" s="3367"/>
      <c r="G94" s="3367"/>
      <c r="H94" s="336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1">
        <f ca="1">ROUND(C85-C86,0)</f>
        <v>85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f ca="1">IF(C95&lt;=0,0,C95/C86)</f>
        <v>85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1">
        <f ca="1">ROUND(IF(C95&lt;=0,0,IF(C96&gt;=200%,C95*60%-C86*35%,IF(C96&gt;=100%,C95*50%-C86*15%,IF(C96&gt;=50%,C95*40%-C86*5%,IF(C96&lt;50%,C95*30%,0))))),0)</f>
        <v>51</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1" t="s">
        <v>1428</v>
      </c>
      <c r="B100" s="3272"/>
      <c r="C100" s="3272"/>
      <c r="D100" s="3306"/>
      <c r="E100" s="3272" t="s">
        <v>1429</v>
      </c>
      <c r="F100" s="3272"/>
      <c r="G100" s="3272"/>
      <c r="H100" s="3306"/>
      <c r="I100" s="121"/>
    </row>
    <row r="101" spans="1:35" ht="18.75" customHeight="1">
      <c r="A101" s="3314" t="s">
        <v>1430</v>
      </c>
      <c r="B101" s="3315"/>
      <c r="C101" s="2367" t="str">
        <f>C4</f>
        <v>比较法-办公</v>
      </c>
      <c r="D101" s="2368" t="str">
        <f>D4</f>
        <v>收益法 (元)</v>
      </c>
      <c r="E101" s="3284" t="s">
        <v>1431</v>
      </c>
      <c r="F101" s="3285"/>
      <c r="G101" s="1687" t="s">
        <v>1432</v>
      </c>
      <c r="H101" s="2377">
        <f ca="1">H118</f>
        <v>95.784700000000001</v>
      </c>
      <c r="I101" s="121"/>
    </row>
    <row r="102" spans="1:35" ht="18.75" customHeight="1">
      <c r="A102" s="3316" t="s">
        <v>1433</v>
      </c>
      <c r="B102" s="2366" t="s">
        <v>1432</v>
      </c>
      <c r="C102" s="2367">
        <f ca="1">IF(D32="楼面单价",ROUND(C19,0),C19)</f>
        <v>112</v>
      </c>
      <c r="D102" s="2368">
        <f ca="1">IF(D32="楼面单价",ROUND(D19,0),D19)</f>
        <v>72</v>
      </c>
      <c r="E102" s="3284"/>
      <c r="F102" s="3285"/>
      <c r="G102" s="1687" t="s">
        <v>1434</v>
      </c>
      <c r="H102" s="2340">
        <f ca="1">I118</f>
        <v>10106</v>
      </c>
      <c r="I102" s="121"/>
    </row>
    <row r="103" spans="1:35" ht="42.75" customHeight="1">
      <c r="A103" s="3316"/>
      <c r="B103" s="2366" t="s">
        <v>1434</v>
      </c>
      <c r="C103" s="2369">
        <f ca="1">C20</f>
        <v>11801</v>
      </c>
      <c r="D103" s="2370">
        <f ca="1">D20</f>
        <v>7564</v>
      </c>
      <c r="E103" s="3277" t="s">
        <v>1435</v>
      </c>
      <c r="F103" s="3278"/>
      <c r="G103" s="1688" t="s">
        <v>1436</v>
      </c>
      <c r="H103" s="2377">
        <f>IF(D36="正常操作",H104+H105+H106,H105+H106)</f>
        <v>0</v>
      </c>
      <c r="I103" s="121"/>
    </row>
    <row r="104" spans="1:35" ht="18.75" customHeight="1">
      <c r="A104" s="3316" t="s">
        <v>1437</v>
      </c>
      <c r="B104" s="2371" t="s">
        <v>1432</v>
      </c>
      <c r="C104" s="2372">
        <f ca="1">H118</f>
        <v>95.784700000000001</v>
      </c>
      <c r="D104" s="2373"/>
      <c r="E104" s="1555" t="s">
        <v>1438</v>
      </c>
      <c r="F104" s="1548"/>
      <c r="G104" s="1688" t="s">
        <v>1436</v>
      </c>
      <c r="H104" s="2378">
        <f>IF(D36="同一抵押权人同一抵押物续贷",C36&amp;"（续贷，未扣减，详见特别提示）",C36)</f>
        <v>0</v>
      </c>
      <c r="I104" s="121"/>
    </row>
    <row r="105" spans="1:35" ht="18.75" customHeight="1" thickBot="1">
      <c r="A105" s="3326"/>
      <c r="B105" s="2374" t="s">
        <v>1434</v>
      </c>
      <c r="C105" s="2375">
        <f ca="1">I118</f>
        <v>10106</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317" t="str">
        <f>IF(项目基本情况!E8="已注销","——","3.房地产抵押价值")</f>
        <v>3.房地产抵押价值</v>
      </c>
      <c r="F107" s="3285"/>
      <c r="G107" s="1687" t="s">
        <v>1432</v>
      </c>
      <c r="H107" s="2377">
        <f ca="1">IF(E107="——","——",H101-H103)</f>
        <v>95.784700000000001</v>
      </c>
      <c r="I107" s="121"/>
    </row>
    <row r="108" spans="1:35" ht="18.75" customHeight="1">
      <c r="A108" s="121"/>
      <c r="B108" s="121"/>
      <c r="C108" s="121"/>
      <c r="D108" s="121"/>
      <c r="E108" s="3317"/>
      <c r="F108" s="3285"/>
      <c r="G108" s="1687" t="s">
        <v>1434</v>
      </c>
      <c r="H108" s="2340">
        <f ca="1">IF(H107=H101,H102,ROUND(H107*10000/'数据-汇总表'!E3,0))</f>
        <v>10106</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285"/>
      <c r="G109" s="1687" t="s">
        <v>1432</v>
      </c>
      <c r="H109" s="2380" t="str">
        <f>IF(E109="——","——",H101-H105-H106)</f>
        <v>——</v>
      </c>
      <c r="I109" s="121"/>
    </row>
    <row r="110" spans="1:35" ht="18.75" customHeight="1">
      <c r="A110" s="121"/>
      <c r="B110" s="121"/>
      <c r="C110" s="121"/>
      <c r="D110" s="121"/>
      <c r="E110" s="3317"/>
      <c r="F110" s="3285"/>
      <c r="G110" s="1687" t="s">
        <v>1434</v>
      </c>
      <c r="H110" s="2340" t="str">
        <f>IF(H109="——","——",ROUND(H109*10000/'数据-汇总表'!E3,0))</f>
        <v>——</v>
      </c>
      <c r="I110" s="121"/>
    </row>
    <row r="111" spans="1:35" ht="18.75" customHeight="1">
      <c r="A111" s="121"/>
      <c r="B111" s="121"/>
      <c r="C111" s="121"/>
      <c r="D111" s="121"/>
      <c r="E111" s="3318" t="str">
        <f>IF(项目基本情况!E9="抵押净值",IF(OR(项目基本情况!E8="已注销",项目基本情况!E8="房地产抵押价值"),"4.抵押净值","5.抵押净值"),"——")</f>
        <v>4.抵押净值</v>
      </c>
      <c r="F111" s="3304"/>
      <c r="G111" s="1687" t="s">
        <v>1432</v>
      </c>
      <c r="H111" s="2377">
        <f ca="1">IF(E111="——","——",N59)</f>
        <v>90.029799999999994</v>
      </c>
      <c r="I111" s="121"/>
    </row>
    <row r="112" spans="1:35" ht="18.75" customHeight="1" thickBot="1">
      <c r="A112" s="121"/>
      <c r="B112" s="121"/>
      <c r="C112" s="121"/>
      <c r="D112" s="121"/>
      <c r="E112" s="3319"/>
      <c r="F112" s="3320"/>
      <c r="G112" s="1690" t="s">
        <v>1434</v>
      </c>
      <c r="H112" s="2381">
        <f ca="1">IF(E111="——","——",N61)</f>
        <v>10101</v>
      </c>
      <c r="I112" s="121"/>
    </row>
    <row r="113" spans="1:27" ht="18.75" customHeight="1">
      <c r="A113" s="121"/>
      <c r="B113" s="121"/>
      <c r="C113" s="121"/>
      <c r="D113" s="121"/>
      <c r="E113" s="3327" t="s">
        <v>1440</v>
      </c>
      <c r="F113" s="3327"/>
      <c r="G113" s="3327"/>
      <c r="H113" s="3327"/>
      <c r="I113" s="121"/>
    </row>
    <row r="114" spans="1:27" ht="3.75" customHeight="1">
      <c r="A114" s="646"/>
      <c r="B114" s="646"/>
      <c r="C114" s="646"/>
      <c r="D114" s="646"/>
      <c r="E114" s="1671"/>
      <c r="F114" s="1671"/>
      <c r="G114" s="1671"/>
      <c r="H114" s="1671"/>
      <c r="I114" s="646"/>
    </row>
    <row r="115" spans="1:27" ht="18.75" customHeight="1">
      <c r="A115" s="3335" t="s">
        <v>1442</v>
      </c>
      <c r="B115" s="3336"/>
      <c r="C115" s="3336"/>
      <c r="D115" s="3336"/>
      <c r="E115" s="3336"/>
      <c r="F115" s="3336"/>
      <c r="G115" s="3336"/>
      <c r="H115" s="3336"/>
      <c r="I115" s="3337"/>
    </row>
    <row r="116" spans="1:27" ht="27" customHeight="1">
      <c r="A116" s="3292" t="s">
        <v>1443</v>
      </c>
      <c r="B116" s="3296" t="s">
        <v>1444</v>
      </c>
      <c r="C116" s="3296" t="s">
        <v>1445</v>
      </c>
      <c r="D116" s="3302" t="s">
        <v>1446</v>
      </c>
      <c r="E116" s="3303"/>
      <c r="F116" s="3334" t="s">
        <v>1447</v>
      </c>
      <c r="G116" s="3334"/>
      <c r="H116" s="3292" t="s">
        <v>1448</v>
      </c>
      <c r="I116" s="3292"/>
    </row>
    <row r="117" spans="1:27" ht="18.75" customHeight="1">
      <c r="A117" s="3292"/>
      <c r="B117" s="3297"/>
      <c r="C117" s="3297"/>
      <c r="D117" s="2150" t="s">
        <v>1449</v>
      </c>
      <c r="E117" s="2150" t="s">
        <v>1450</v>
      </c>
      <c r="F117" s="2150" t="s">
        <v>1449</v>
      </c>
      <c r="G117" s="2150" t="s">
        <v>1451</v>
      </c>
      <c r="H117" s="2150" t="s">
        <v>1449</v>
      </c>
      <c r="I117" s="2150" t="s">
        <v>1451</v>
      </c>
    </row>
    <row r="118" spans="1:27" ht="24.75" customHeight="1">
      <c r="A118" s="2382" t="str">
        <f>项目基本情况!S2</f>
        <v>北京市房山区辰光东路16号院5号楼10层1001等共计9套房地产</v>
      </c>
      <c r="B118" s="2150">
        <f>M18</f>
        <v>94.78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78">
        <f ca="1">ROUND(IF(D32="总价",C32,I118*B118/10000),4)</f>
        <v>95.784700000000001</v>
      </c>
      <c r="I118" s="2150">
        <f ca="1">ROUND(IF(D32="楼面单价",C32,H118*10000/B118),0)</f>
        <v>10106</v>
      </c>
    </row>
    <row r="119" spans="1:27" ht="18.75" customHeight="1">
      <c r="A119" s="3292" t="s">
        <v>1452</v>
      </c>
      <c r="B119" s="3292"/>
      <c r="C119" s="3292"/>
      <c r="D119" s="3298" t="str">
        <f>NUMBERSTRING(INT(D118*10000),2)&amp;"元整"</f>
        <v>零元整</v>
      </c>
      <c r="E119" s="3299"/>
      <c r="F119" s="3298" t="str">
        <f>NUMBERSTRING(INT(F118*10000),2)&amp;"元整"</f>
        <v>零元整</v>
      </c>
      <c r="G119" s="3299"/>
      <c r="H119" s="3298" t="str">
        <f ca="1">NUMBERSTRING(INT(H118*10000),2)&amp;"元整"</f>
        <v>玖拾伍万柒仟捌佰肆拾柒元整</v>
      </c>
      <c r="I119" s="3299"/>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8" t="s">
        <v>1452</v>
      </c>
      <c r="B121" s="3300"/>
      <c r="C121" s="3299"/>
      <c r="D121" s="3298" t="str">
        <f>IF(D120=0,"零元整",NUMBERSTRING(INT(D120*10000),2)&amp;"元整")</f>
        <v>零元整</v>
      </c>
      <c r="E121" s="3300"/>
      <c r="F121" s="3300"/>
      <c r="G121" s="3300"/>
      <c r="H121" s="3300"/>
      <c r="I121" s="3299"/>
      <c r="AA121" s="684"/>
    </row>
    <row r="122" spans="1:27" ht="18.75" customHeight="1">
      <c r="A122" s="3304" t="str">
        <f>IF(项目基本情况!B9="房地产市场价值","",MID(E107,3,LEN(E107)-2))</f>
        <v>房地产抵押价值</v>
      </c>
      <c r="B122" s="3304"/>
      <c r="C122" s="3304"/>
      <c r="D122" s="3293">
        <f ca="1">H107</f>
        <v>95.784700000000001</v>
      </c>
      <c r="E122" s="3294"/>
      <c r="F122" s="3294"/>
      <c r="G122" s="3294"/>
      <c r="H122" s="3294"/>
      <c r="I122" s="3295"/>
      <c r="AA122" s="684"/>
    </row>
    <row r="123" spans="1:27" ht="18.75" customHeight="1">
      <c r="A123" s="3292" t="s">
        <v>1452</v>
      </c>
      <c r="B123" s="3292"/>
      <c r="C123" s="3292"/>
      <c r="D123" s="3298" t="str">
        <f ca="1">NUMBERSTRING(INT(D122*10000),2)&amp;"元整"</f>
        <v>玖拾伍万柒仟捌佰肆拾柒元整</v>
      </c>
      <c r="E123" s="3300"/>
      <c r="F123" s="3300"/>
      <c r="G123" s="3300"/>
      <c r="H123" s="3300"/>
      <c r="I123" s="3299"/>
      <c r="AA123" s="684"/>
    </row>
    <row r="124" spans="1:27" ht="18.75" customHeight="1">
      <c r="A124" s="3304" t="str">
        <f>IF(项目基本情况!B9="房地产市场价值","",MID(E109,3,LEN(E109)-2))</f>
        <v/>
      </c>
      <c r="B124" s="3304"/>
      <c r="C124" s="3304"/>
      <c r="D124" s="3293" t="str">
        <f>H109</f>
        <v>——</v>
      </c>
      <c r="E124" s="3294"/>
      <c r="F124" s="3294"/>
      <c r="G124" s="3294"/>
      <c r="H124" s="3294"/>
      <c r="I124" s="3295"/>
      <c r="AA124" s="684"/>
    </row>
    <row r="125" spans="1:27" ht="18.75" customHeight="1">
      <c r="A125" s="3292" t="s">
        <v>1452</v>
      </c>
      <c r="B125" s="3292"/>
      <c r="C125" s="3292"/>
      <c r="D125" s="3298" t="e">
        <f>NUMBERSTRING(INT(D124*10000),2)&amp;"元整"</f>
        <v>#VALUE!</v>
      </c>
      <c r="E125" s="3300"/>
      <c r="F125" s="3300"/>
      <c r="G125" s="3300"/>
      <c r="H125" s="3300"/>
      <c r="I125" s="3299"/>
      <c r="AA125" s="684"/>
    </row>
    <row r="126" spans="1:27" ht="18.75" customHeight="1">
      <c r="A126" s="3304" t="str">
        <f>IF(项目基本情况!B9="房地产市场价值","",MID(E111,3,LEN(E111)-2))</f>
        <v>抵押净值</v>
      </c>
      <c r="B126" s="3304"/>
      <c r="C126" s="3304"/>
      <c r="D126" s="3293">
        <f ca="1">H111</f>
        <v>90.029799999999994</v>
      </c>
      <c r="E126" s="3294"/>
      <c r="F126" s="3294"/>
      <c r="G126" s="3294"/>
      <c r="H126" s="3294"/>
      <c r="I126" s="3295"/>
      <c r="AA126" s="684"/>
    </row>
    <row r="127" spans="1:27" ht="18.75" customHeight="1">
      <c r="A127" s="3292" t="s">
        <v>1452</v>
      </c>
      <c r="B127" s="3292"/>
      <c r="C127" s="3292"/>
      <c r="D127" s="3298" t="str">
        <f ca="1">NUMBERSTRING(INT(D126*10000),2)&amp;"元整"</f>
        <v>玖拾万零贰佰玖拾捌元整</v>
      </c>
      <c r="E127" s="3300"/>
      <c r="F127" s="3300"/>
      <c r="G127" s="3300"/>
      <c r="H127" s="3300"/>
      <c r="I127" s="3299"/>
      <c r="AA127" s="684"/>
    </row>
    <row r="128" spans="1:27" ht="21.75" customHeight="1">
      <c r="A128" s="3301" t="s">
        <v>1453</v>
      </c>
      <c r="B128" s="3301"/>
      <c r="C128" s="3301"/>
      <c r="D128" s="3301"/>
      <c r="E128" s="3301"/>
      <c r="F128" s="3301"/>
      <c r="G128" s="3301"/>
      <c r="H128" s="3301"/>
      <c r="I128" s="330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C5:D7">
    <cfRule type="cellIs" dxfId="166" priority="6" stopIfTrue="1" operator="equal">
      <formula>25</formula>
    </cfRule>
  </conditionalFormatting>
  <conditionalFormatting sqref="C8:D13">
    <cfRule type="cellIs" dxfId="165" priority="5" stopIfTrue="1" operator="equal">
      <formula>15</formula>
    </cfRule>
  </conditionalFormatting>
  <conditionalFormatting sqref="C14:D16">
    <cfRule type="cellIs" dxfId="164" priority="4" stopIfTrue="1" operator="equal">
      <formula>30</formula>
    </cfRule>
  </conditionalFormatting>
  <conditionalFormatting sqref="E36">
    <cfRule type="expression" dxfId="163" priority="1" stopIfTrue="1">
      <formula>$D$36="同一抵押权人同一抵押物续贷"</formula>
    </cfRule>
  </conditionalFormatting>
  <dataValidations count="23">
    <dataValidation type="list" allowBlank="1" showInputMessage="1" showErrorMessage="1" sqref="C4:D4 D33" xr:uid="{6B67CDF7-C9CE-422F-9534-F7596E0F37D4}">
      <formula1>估价方法</formula1>
    </dataValidation>
    <dataValidation type="list" allowBlank="1" showInputMessage="1" showErrorMessage="1" sqref="H55:H56" xr:uid="{7FC71E95-020B-4C94-B91E-F3EF09113895}">
      <formula1>"个人住宅,正常"</formula1>
    </dataValidation>
    <dataValidation type="list" allowBlank="1" showInputMessage="1" showErrorMessage="1" sqref="H48" xr:uid="{2BABD226-80E5-4CE7-BDDC-BBCF63F1C5B5}">
      <formula1>"情况1,情况2,情况3,情况4"</formula1>
    </dataValidation>
    <dataValidation type="list" allowBlank="1" showInputMessage="1" showErrorMessage="1" sqref="H58" xr:uid="{E198279E-2BE6-48E7-A37F-1011A29773C1}">
      <formula1>"转让取得,自行开发建设"</formula1>
    </dataValidation>
    <dataValidation type="list" allowBlank="1" showInputMessage="1" showErrorMessage="1" sqref="D32" xr:uid="{4FF58D7C-F67C-48D8-8586-B711E9E61B54}">
      <formula1>"总价,楼面单价"</formula1>
    </dataValidation>
    <dataValidation type="list" allowBlank="1" showInputMessage="1" showErrorMessage="1" sqref="F45" xr:uid="{03F13FE6-CF18-4A72-ACF7-3068FC3F7D69}">
      <formula1>"100%,70%,56%"</formula1>
    </dataValidation>
    <dataValidation type="list" allowBlank="1" showInputMessage="1" showErrorMessage="1" sqref="C33" xr:uid="{F1EC7DAD-1ABE-4E15-ABB1-BEB77D060E59}">
      <formula1>"成本比率,收益比率,自定义"</formula1>
    </dataValidation>
    <dataValidation type="list" allowBlank="1" showInputMessage="1" showErrorMessage="1" sqref="H91" xr:uid="{CA7CFA43-20CD-4137-895A-1CBB4E74ABCF}">
      <formula1>"企业提供（在右侧录入）,——"</formula1>
    </dataValidation>
    <dataValidation type="list" allowBlank="1" showInputMessage="1" showErrorMessage="1" sqref="H88" xr:uid="{57D913C1-6299-4775-9BD2-23FF129CEC66}">
      <formula1>"仅含出让金,出让金+开发费"</formula1>
    </dataValidation>
    <dataValidation type="list" allowBlank="1" showInputMessage="1" showErrorMessage="1" sqref="F75" xr:uid="{A1124236-1409-440B-96EC-98EBD58E7A39}">
      <formula1>"买卖合同,购房发票"</formula1>
    </dataValidation>
    <dataValidation type="list" allowBlank="1" showInputMessage="1" showErrorMessage="1" sqref="D36" xr:uid="{B90A2B7C-FBEF-4E05-9328-596B5D4818DF}">
      <formula1>"同一抵押权人同一抵押物续贷,注销后放款,正常操作"</formula1>
    </dataValidation>
    <dataValidation type="list" allowBlank="1" showInputMessage="1" showErrorMessage="1" sqref="B116:B117" xr:uid="{F5FF778C-EE44-4CF9-AD13-63C1171426E3}">
      <formula1>"建筑面积,规划建筑面积,（规划）建筑面积"</formula1>
    </dataValidation>
    <dataValidation type="list" allowBlank="1" showInputMessage="1" showErrorMessage="1" sqref="C116:C117" xr:uid="{A6C819B3-17D1-4560-A318-D167912866AF}">
      <formula1>"土地面积,分摊土地面积,（分摊）土地面积"</formula1>
    </dataValidation>
    <dataValidation type="list" allowBlank="1" showInputMessage="1" showErrorMessage="1" sqref="D116:E116" xr:uid="{1E4CF65C-69C3-4B85-B5C5-80120DA21F3C}">
      <formula1>"出让国有建设用地使用权价值,划拨国有建设用地使用权价值"</formula1>
    </dataValidation>
    <dataValidation type="list" allowBlank="1" showInputMessage="1" showErrorMessage="1" sqref="F116:G116" xr:uid="{D010EC6C-9324-468B-9337-BF3AB3BDC36B}">
      <formula1>"建筑物价值,在建建筑物价值,建筑物/在建建筑物价值"</formula1>
    </dataValidation>
    <dataValidation type="list" allowBlank="1" showInputMessage="1" showErrorMessage="1" sqref="C129" xr:uid="{D69293A4-E1A4-4CAB-8C85-BC978456B80A}">
      <formula1>"无,有"</formula1>
    </dataValidation>
    <dataValidation type="list" showInputMessage="1" showErrorMessage="1" sqref="G1" xr:uid="{55E12536-98D5-4A31-919C-ABFE7B55C4A0}">
      <formula1>"现房,在建,土地,-"</formula1>
    </dataValidation>
    <dataValidation type="list" allowBlank="1" showInputMessage="1" showErrorMessage="1" sqref="I1" xr:uid="{79694F07-9E50-403E-A46A-564596292802}">
      <formula1>"项目局部,项目全部,——"</formula1>
    </dataValidation>
    <dataValidation type="list" allowBlank="1" showInputMessage="1" showErrorMessage="1" sqref="C1" xr:uid="{4AE50320-8EFE-4C02-8C29-688588D7FAAF}">
      <formula1>项目类型</formula1>
    </dataValidation>
    <dataValidation type="list" allowBlank="1" showInputMessage="1" showErrorMessage="1" sqref="G77" xr:uid="{16D0299A-8311-47F4-82A1-DF9E940A3149}">
      <formula1>"个人住宅,2016年5月1日前购买,2016年5月1日后购买"</formula1>
    </dataValidation>
    <dataValidation type="list" allowBlank="1" showInputMessage="1" showErrorMessage="1" sqref="E103" xr:uid="{55526670-1971-4F72-B941-5E801A1E9AAC}">
      <formula1>"2.估价师知悉的法定优先受偿款,2.估价师知悉的除抵押担保权以外的法定优先受偿款"</formula1>
    </dataValidation>
    <dataValidation type="list" allowBlank="1" showInputMessage="1" showErrorMessage="1" sqref="H59" xr:uid="{465C7137-7CB3-4FCE-8C3A-D443B832034E}">
      <formula1>"非个人房产,个人住宅（满五唯一有凭证）,个人其他（有凭证）,个人其他（无凭证）"</formula1>
    </dataValidation>
    <dataValidation type="list" allowBlank="1" showInputMessage="1" showErrorMessage="1" sqref="D92" xr:uid="{2FA0BC63-8583-4665-97A5-196BF002D2FD}">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7AB6D-6052-478B-9252-CEFF2C5F560C}">
  <sheetPr>
    <tabColor rgb="FFFF0000"/>
  </sheetPr>
  <dimension ref="A1:AJ512"/>
  <sheetViews>
    <sheetView view="pageBreakPreview" topLeftCell="A55" zoomScale="70" zoomScaleNormal="100" zoomScaleSheetLayoutView="70" zoomScalePageLayoutView="80" workbookViewId="0">
      <selection activeCell="C75" sqref="C7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1001</v>
      </c>
      <c r="D1" s="646"/>
      <c r="E1" s="646"/>
      <c r="F1" s="1621" t="s">
        <v>1263</v>
      </c>
      <c r="G1" s="1453"/>
      <c r="H1" s="1621" t="str">
        <f>IF(G1="现房","——","估价对象范围")</f>
        <v>估价对象范围</v>
      </c>
      <c r="I1" s="1622"/>
    </row>
    <row r="2" spans="1:12" ht="21.75" customHeight="1" thickBot="1">
      <c r="A2" s="3344" t="str">
        <f>项目基本情况!S2</f>
        <v>北京市房山区辰光东路16号院5号楼10层1001等共计9套房地产</v>
      </c>
      <c r="B2" s="3345"/>
      <c r="C2" s="3345"/>
      <c r="D2" s="3345"/>
      <c r="E2" s="3345"/>
      <c r="F2" s="3345"/>
      <c r="G2" s="3345"/>
      <c r="H2" s="3345"/>
      <c r="I2" s="3346"/>
    </row>
    <row r="3" spans="1:12" ht="13.2">
      <c r="A3" s="3348" t="s">
        <v>1264</v>
      </c>
      <c r="B3" s="3349"/>
      <c r="C3" s="3349"/>
      <c r="D3" s="3349"/>
      <c r="E3" s="3349"/>
      <c r="F3" s="3349"/>
      <c r="G3" s="3349"/>
      <c r="H3" s="3349"/>
      <c r="I3" s="3349"/>
    </row>
    <row r="4" spans="1:12" ht="14.4">
      <c r="A4" s="1624" t="s">
        <v>1265</v>
      </c>
      <c r="B4" s="1625" t="s">
        <v>1266</v>
      </c>
      <c r="C4" s="1626" t="s">
        <v>3456</v>
      </c>
      <c r="D4" s="1626" t="s">
        <v>3454</v>
      </c>
      <c r="E4" s="3353" t="s">
        <v>1267</v>
      </c>
      <c r="F4" s="3354"/>
      <c r="G4" s="3354"/>
      <c r="H4" s="3354"/>
      <c r="I4" s="3355"/>
      <c r="K4" s="138" t="str">
        <f>IF(ISNUMBER(FIND("比较法",结果表1005!C4)),"比较法",IF(ISNUMBER(FIND("成本法",结果表1005!C4)),"成本法",IF(ISNUMBER(FIND("假设开发法",结果表1005!C4)),"假设开发法",IF(ISNUMBER(FIND("收益法",结果表1005!C4)),"收益法","基准地价系数修正法"))))</f>
        <v>比较法</v>
      </c>
      <c r="L4" s="138" t="str">
        <f>IF(ISNUMBER(FIND("比较法",结果表1005!D4)),"比较法",IF(ISNUMBER(FIND("成本法",结果表1005!D4)),"成本法",IF(ISNUMBER(FIND("假设开发法",结果表1005!D4)),"假设开发法",IF(ISNUMBER(FIND("收益法",结果表1005!D4)),"收益法","基准地价系数修正法"))))</f>
        <v>收益法</v>
      </c>
    </row>
    <row r="5" spans="1:12" ht="13.2">
      <c r="A5" s="3292" t="s">
        <v>1268</v>
      </c>
      <c r="B5" s="3347">
        <v>25</v>
      </c>
      <c r="C5" s="3350"/>
      <c r="D5" s="3338"/>
      <c r="E5" s="123" t="s">
        <v>1269</v>
      </c>
      <c r="F5" s="1627"/>
      <c r="G5" s="1627"/>
      <c r="H5" s="1627"/>
      <c r="I5" s="1281"/>
    </row>
    <row r="6" spans="1:12" ht="13.2">
      <c r="A6" s="3292"/>
      <c r="B6" s="3347"/>
      <c r="C6" s="3352"/>
      <c r="D6" s="3338"/>
      <c r="E6" s="123" t="s">
        <v>1270</v>
      </c>
      <c r="F6" s="1627"/>
      <c r="G6" s="1627"/>
      <c r="H6" s="1627"/>
      <c r="I6" s="1281"/>
    </row>
    <row r="7" spans="1:12" ht="13.2">
      <c r="A7" s="3292"/>
      <c r="B7" s="3347"/>
      <c r="C7" s="3351"/>
      <c r="D7" s="3338"/>
      <c r="E7" s="123" t="s">
        <v>1271</v>
      </c>
      <c r="F7" s="1627"/>
      <c r="G7" s="1627"/>
      <c r="H7" s="1627"/>
      <c r="I7" s="1281"/>
    </row>
    <row r="8" spans="1:12" ht="13.2">
      <c r="A8" s="3292" t="s">
        <v>1272</v>
      </c>
      <c r="B8" s="3347">
        <v>15</v>
      </c>
      <c r="C8" s="3350"/>
      <c r="D8" s="3338"/>
      <c r="E8" s="123" t="s">
        <v>1273</v>
      </c>
      <c r="F8" s="1627"/>
      <c r="G8" s="1627"/>
      <c r="H8" s="1627"/>
      <c r="I8" s="1281"/>
    </row>
    <row r="9" spans="1:12" ht="13.2">
      <c r="A9" s="3292"/>
      <c r="B9" s="3347"/>
      <c r="C9" s="3351"/>
      <c r="D9" s="3338"/>
      <c r="E9" s="123" t="s">
        <v>1274</v>
      </c>
      <c r="F9" s="1627"/>
      <c r="G9" s="1627"/>
      <c r="H9" s="1627"/>
      <c r="I9" s="1281"/>
    </row>
    <row r="10" spans="1:12" ht="13.2">
      <c r="A10" s="3292" t="s">
        <v>1275</v>
      </c>
      <c r="B10" s="3347">
        <v>15</v>
      </c>
      <c r="C10" s="3350"/>
      <c r="D10" s="3338"/>
      <c r="E10" s="123" t="s">
        <v>1276</v>
      </c>
      <c r="F10" s="1627"/>
      <c r="G10" s="1627"/>
      <c r="H10" s="1627"/>
      <c r="I10" s="1281"/>
    </row>
    <row r="11" spans="1:12" ht="13.2">
      <c r="A11" s="3292"/>
      <c r="B11" s="3347"/>
      <c r="C11" s="3351"/>
      <c r="D11" s="3338"/>
      <c r="E11" s="123" t="s">
        <v>1277</v>
      </c>
      <c r="F11" s="1627"/>
      <c r="G11" s="1627"/>
      <c r="H11" s="1627"/>
      <c r="I11" s="1281"/>
    </row>
    <row r="12" spans="1:12" ht="13.2">
      <c r="A12" s="3292" t="s">
        <v>1278</v>
      </c>
      <c r="B12" s="3347">
        <v>15</v>
      </c>
      <c r="C12" s="3350"/>
      <c r="D12" s="3338"/>
      <c r="E12" s="123" t="s">
        <v>1279</v>
      </c>
      <c r="F12" s="1627"/>
      <c r="G12" s="1627"/>
      <c r="H12" s="1627"/>
      <c r="I12" s="1281"/>
    </row>
    <row r="13" spans="1:12" ht="13.2">
      <c r="A13" s="3292"/>
      <c r="B13" s="3347"/>
      <c r="C13" s="3351"/>
      <c r="D13" s="3338"/>
      <c r="E13" s="123" t="s">
        <v>1280</v>
      </c>
      <c r="F13" s="1627"/>
      <c r="G13" s="1627"/>
      <c r="H13" s="1627"/>
      <c r="I13" s="1281"/>
    </row>
    <row r="14" spans="1:12" ht="13.2">
      <c r="A14" s="3292" t="s">
        <v>1281</v>
      </c>
      <c r="B14" s="3347">
        <v>30</v>
      </c>
      <c r="C14" s="3350">
        <v>6</v>
      </c>
      <c r="D14" s="3338">
        <v>4</v>
      </c>
      <c r="E14" s="123" t="s">
        <v>1282</v>
      </c>
      <c r="F14" s="1627"/>
      <c r="G14" s="1627"/>
      <c r="H14" s="1627"/>
      <c r="I14" s="1281"/>
    </row>
    <row r="15" spans="1:12" ht="13.2">
      <c r="A15" s="3292"/>
      <c r="B15" s="3347"/>
      <c r="C15" s="3352"/>
      <c r="D15" s="3338"/>
      <c r="E15" s="123" t="s">
        <v>1283</v>
      </c>
      <c r="F15" s="1627"/>
      <c r="G15" s="1627"/>
      <c r="H15" s="1627"/>
      <c r="I15" s="1281"/>
    </row>
    <row r="16" spans="1:12" ht="13.2">
      <c r="A16" s="3292"/>
      <c r="B16" s="3347"/>
      <c r="C16" s="3351"/>
      <c r="D16" s="3338"/>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69" t="s">
        <v>2129</v>
      </c>
      <c r="F18" s="3370"/>
      <c r="G18" s="3370"/>
      <c r="H18" s="3370"/>
      <c r="I18" s="3370"/>
      <c r="K18" s="294" t="s">
        <v>1289</v>
      </c>
      <c r="L18" s="294">
        <f>IF(C1="",'数据-汇总表'!E3,SUMIF(项目类型,C1,'数据-汇总表'!E17:E26)+SUMIF(项目类型,C1,'数据-汇总表'!I17:I26))</f>
        <v>94.78</v>
      </c>
      <c r="M18" s="294">
        <f>IF(C1="",'数据-汇总表'!E3,SUMIF(项目类型,C1,'数据-汇总表'!E17:E26))</f>
        <v>94.78</v>
      </c>
    </row>
    <row r="19" spans="1:36" ht="14.4">
      <c r="A19" s="1630" t="s">
        <v>1290</v>
      </c>
      <c r="B19" s="1631" t="s">
        <v>1291</v>
      </c>
      <c r="C19" s="126">
        <f ca="1">SUMIF(INDIRECT("'"&amp;C4&amp;"'"&amp;"!A:A"),结果表1005!B19,INDIRECT("'"&amp;C4&amp;"'"&amp;"!B:B"))</f>
        <v>111.84990000000001</v>
      </c>
      <c r="D19" s="127">
        <f ca="1">SUMIF(INDIRECT("'"&amp;D4&amp;"'"&amp;"!A:A"),结果表1005!B19,INDIRECT("'"&amp;D4&amp;"'"&amp;"!B:B"))</f>
        <v>71.690899999999999</v>
      </c>
      <c r="E19" s="1630" t="s">
        <v>1292</v>
      </c>
      <c r="F19" s="1631" t="s">
        <v>1291</v>
      </c>
      <c r="G19" s="128">
        <f ca="1">ROUND(C19*$C$18+D19*$D$18,0)</f>
        <v>96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SUMIF(INDIRECT("'"&amp;C4&amp;"'"&amp;"!A:A"),结果表1005!B20,INDIRECT("'"&amp;C4&amp;"'"&amp;"!B:B"))</f>
        <v>11801</v>
      </c>
      <c r="D20" s="130">
        <f ca="1">SUMIF(INDIRECT("'"&amp;D4&amp;"'"&amp;"!A:A"),结果表1005!B20,INDIRECT("'"&amp;D4&amp;"'"&amp;"!B:B"))</f>
        <v>7564</v>
      </c>
      <c r="E20" s="1633"/>
      <c r="F20" s="43" t="s">
        <v>1295</v>
      </c>
      <c r="G20" s="131">
        <f ca="1">ROUND(C20*$C$18+D20*$D$18,0)</f>
        <v>10106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0.56016872434297804</v>
      </c>
      <c r="E22" s="121"/>
      <c r="F22" s="121"/>
      <c r="G22" s="121"/>
      <c r="H22" s="121"/>
      <c r="I22" s="121"/>
    </row>
    <row r="23" spans="1:36" ht="13.8" thickBot="1">
      <c r="A23" s="646"/>
      <c r="B23" s="646"/>
      <c r="C23" s="646"/>
      <c r="D23" s="646"/>
      <c r="E23" s="121"/>
      <c r="F23" s="121"/>
      <c r="G23" s="121"/>
      <c r="H23" s="121"/>
      <c r="I23" s="121"/>
    </row>
    <row r="24" spans="1:36" ht="14.4">
      <c r="A24" s="3362" t="s">
        <v>1299</v>
      </c>
      <c r="B24" s="1631" t="s">
        <v>1291</v>
      </c>
      <c r="C24" s="128">
        <f>IF(B30=0,0,D30)</f>
        <v>0</v>
      </c>
      <c r="D24" s="1637"/>
      <c r="E24" s="121"/>
      <c r="F24" s="121"/>
      <c r="G24" s="121"/>
      <c r="H24" s="121"/>
      <c r="I24" s="121"/>
    </row>
    <row r="25" spans="1:36" ht="14.4">
      <c r="A25" s="33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10106</v>
      </c>
      <c r="D32" s="1641" t="s">
        <v>3517</v>
      </c>
      <c r="E32" s="121"/>
      <c r="F32" s="121"/>
      <c r="G32" s="121"/>
      <c r="H32" s="121"/>
      <c r="I32" s="121"/>
    </row>
    <row r="33" spans="1:15" ht="14.4">
      <c r="A33" s="740" t="s">
        <v>1306</v>
      </c>
      <c r="B33" s="123"/>
      <c r="C33" s="1642" t="s">
        <v>3518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39" t="s">
        <v>1312</v>
      </c>
      <c r="B36" s="1652" t="s">
        <v>1313</v>
      </c>
      <c r="C36" s="137"/>
      <c r="D36" s="1653"/>
      <c r="E36" s="1567"/>
      <c r="F36" s="1654"/>
      <c r="G36" s="121"/>
      <c r="H36" s="121"/>
      <c r="I36" s="121"/>
    </row>
    <row r="37" spans="1:15" ht="15" thickBot="1">
      <c r="A37" s="3340"/>
      <c r="B37" s="1555" t="s">
        <v>1314</v>
      </c>
      <c r="C37" s="139"/>
      <c r="D37" s="1071"/>
      <c r="E37" s="1071"/>
      <c r="F37" s="1654"/>
      <c r="G37" s="121"/>
      <c r="H37" s="121"/>
      <c r="I37" s="121"/>
    </row>
    <row r="38" spans="1:15" ht="15" thickBot="1">
      <c r="A38" s="3341"/>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9" t="s">
        <v>1326</v>
      </c>
      <c r="B45" s="3360"/>
      <c r="C45" s="3361"/>
      <c r="D45" s="3179">
        <f ca="1">典型户型修正!S27</f>
        <v>95.4512</v>
      </c>
      <c r="E45" s="148" t="s">
        <v>1327</v>
      </c>
      <c r="F45" s="149">
        <v>1</v>
      </c>
      <c r="G45" s="150" t="s">
        <v>1328</v>
      </c>
      <c r="H45" s="121"/>
      <c r="I45" s="121"/>
      <c r="J45" s="3279" t="s">
        <v>1329</v>
      </c>
      <c r="K45" s="3279"/>
      <c r="L45" s="3279"/>
      <c r="M45" s="3279"/>
      <c r="N45" s="3279"/>
      <c r="O45" s="3279"/>
    </row>
    <row r="46" spans="1:15" ht="14.25" customHeight="1">
      <c r="A46" s="3356" t="s">
        <v>1330</v>
      </c>
      <c r="B46" s="3357"/>
      <c r="C46" s="3357"/>
      <c r="D46" s="3357"/>
      <c r="E46" s="3357"/>
      <c r="F46" s="3357"/>
      <c r="G46" s="3358"/>
      <c r="H46" s="1668"/>
      <c r="I46" s="151"/>
      <c r="J46" s="2309">
        <v>1</v>
      </c>
      <c r="K46" s="3280" t="s">
        <v>1331</v>
      </c>
      <c r="L46" s="3280"/>
      <c r="M46" s="3281"/>
      <c r="N46" s="3281"/>
      <c r="O46" s="3281"/>
    </row>
    <row r="47" spans="1:15" ht="12" customHeight="1">
      <c r="A47" s="152" t="s">
        <v>1332</v>
      </c>
      <c r="B47" s="153"/>
      <c r="C47" s="154"/>
      <c r="D47" s="1024" t="s">
        <v>1333</v>
      </c>
      <c r="E47" s="294" t="s">
        <v>1334</v>
      </c>
      <c r="F47" s="155" t="s">
        <v>1335</v>
      </c>
      <c r="G47" s="2332" t="s">
        <v>1336</v>
      </c>
      <c r="H47" s="2333"/>
      <c r="I47" s="151"/>
      <c r="J47" s="2309">
        <v>2</v>
      </c>
      <c r="K47" s="3280" t="s">
        <v>1337</v>
      </c>
      <c r="L47" s="3280"/>
      <c r="M47" s="3282">
        <f>'数据-取费表'!B2</f>
        <v>45828</v>
      </c>
      <c r="N47" s="3282"/>
      <c r="O47" s="3282"/>
    </row>
    <row r="48" spans="1:15" ht="39.6">
      <c r="A48" s="3342" t="s">
        <v>1338</v>
      </c>
      <c r="B48" s="3343"/>
      <c r="C48" s="3343"/>
      <c r="D48" s="12">
        <f ca="1">IF(H48="情况1",0,IF(H48="情况2",D52,IF(H48="情况3",D53,IF(H48="情况4",D54))))</f>
        <v>0</v>
      </c>
      <c r="E48" s="1256" t="str">
        <f>IF(H48="情况4","(销售额-原购置价)×税（费）率","销售额×税（费）率")</f>
        <v>(销售额-原购置价)×税（费）率</v>
      </c>
      <c r="F48" s="2334">
        <f>IF(H48="情况1","免征",'数据-取费表'!B41)</f>
        <v>5.6000000000000001E-2</v>
      </c>
      <c r="G48" s="2335" t="s">
        <v>1339</v>
      </c>
      <c r="H48" s="2336" t="s">
        <v>3538</v>
      </c>
      <c r="I48" s="1668"/>
      <c r="J48" s="2309">
        <v>3</v>
      </c>
      <c r="K48" s="3280" t="s">
        <v>1340</v>
      </c>
      <c r="L48" s="3280"/>
      <c r="M48" s="3283">
        <f ca="1">D45</f>
        <v>95.4512</v>
      </c>
      <c r="N48" s="3283"/>
      <c r="O48" s="3283"/>
    </row>
    <row r="49" spans="1:35" ht="25.5" customHeight="1">
      <c r="A49" s="2152" t="s">
        <v>1341</v>
      </c>
      <c r="B49" s="3328" t="s">
        <v>1342</v>
      </c>
      <c r="C49" s="3328"/>
      <c r="D49" s="1478">
        <v>0</v>
      </c>
      <c r="E49" s="316" t="s">
        <v>1343</v>
      </c>
      <c r="F49" s="2232" t="s">
        <v>28</v>
      </c>
      <c r="G49" s="3311"/>
      <c r="H49" s="2134" t="s">
        <v>2132</v>
      </c>
      <c r="I49" s="2135"/>
      <c r="J49" s="2309">
        <v>4</v>
      </c>
      <c r="K49" s="3280" t="str">
        <f>IF(项目基本情况!E8="房地产抵押价值","房地产抵押价值","抵押担保权已注销时的房地产抵押价值")</f>
        <v>房地产抵押价值</v>
      </c>
      <c r="L49" s="3280"/>
      <c r="M49" s="3283">
        <f ca="1">M48</f>
        <v>95.4512</v>
      </c>
      <c r="N49" s="3283"/>
      <c r="O49" s="3283"/>
    </row>
    <row r="50" spans="1:35" ht="25.5" customHeight="1">
      <c r="A50" s="2337"/>
      <c r="B50" s="3328" t="s">
        <v>1344</v>
      </c>
      <c r="C50" s="3328"/>
      <c r="D50" s="2189"/>
      <c r="E50" s="323"/>
      <c r="F50" s="2232"/>
      <c r="G50" s="3312"/>
      <c r="H50" s="2136" t="s">
        <v>2133</v>
      </c>
      <c r="I50" s="2135"/>
      <c r="J50" s="3279" t="s">
        <v>1345</v>
      </c>
      <c r="K50" s="3279"/>
      <c r="L50" s="3279"/>
      <c r="M50" s="3279"/>
      <c r="N50" s="3279"/>
      <c r="O50" s="3279"/>
    </row>
    <row r="51" spans="1:35" ht="20.399999999999999" customHeight="1">
      <c r="A51" s="2338"/>
      <c r="B51" s="3328" t="s">
        <v>1346</v>
      </c>
      <c r="C51" s="3328"/>
      <c r="D51" s="1024"/>
      <c r="E51" s="319"/>
      <c r="F51" s="2232"/>
      <c r="G51" s="3313"/>
      <c r="H51" s="2136" t="s">
        <v>2134</v>
      </c>
      <c r="I51" s="2135"/>
      <c r="J51" s="2310" t="s">
        <v>1347</v>
      </c>
      <c r="K51" s="3280" t="s">
        <v>1348</v>
      </c>
      <c r="L51" s="3280"/>
      <c r="M51" s="2310" t="s">
        <v>1349</v>
      </c>
      <c r="N51" s="2310" t="s">
        <v>1350</v>
      </c>
      <c r="O51" s="2310" t="s">
        <v>1351</v>
      </c>
    </row>
    <row r="52" spans="1:35" ht="24" customHeight="1">
      <c r="A52" s="2153" t="s">
        <v>1352</v>
      </c>
      <c r="B52" s="3328" t="s">
        <v>1353</v>
      </c>
      <c r="C52" s="3328"/>
      <c r="D52" s="1024">
        <f ca="1">ROUND(D45*'数据-取费表'!B41/(1+'数据-取费表'!C42),0)</f>
        <v>5</v>
      </c>
      <c r="E52" s="1256" t="s">
        <v>1354</v>
      </c>
      <c r="F52" s="2339">
        <f>'数据-取费表'!B41</f>
        <v>5.6000000000000001E-2</v>
      </c>
      <c r="G52" s="2340"/>
      <c r="H52" s="2330"/>
      <c r="I52" s="1669"/>
      <c r="J52" s="2309">
        <v>1</v>
      </c>
      <c r="K52" s="3305" t="s">
        <v>1355</v>
      </c>
      <c r="L52" s="3305"/>
      <c r="M52" s="2311">
        <f ca="1">D48</f>
        <v>0</v>
      </c>
      <c r="N52" s="2309" t="str">
        <f>E48</f>
        <v>(销售额-原购置价)×税（费）率</v>
      </c>
      <c r="O52" s="2312">
        <f>F48</f>
        <v>5.6000000000000001E-2</v>
      </c>
    </row>
    <row r="53" spans="1:35" ht="12" customHeight="1">
      <c r="A53" s="2153" t="s">
        <v>1356</v>
      </c>
      <c r="B53" s="3329" t="s">
        <v>2289</v>
      </c>
      <c r="C53" s="3330"/>
      <c r="D53" s="1024">
        <f ca="1">ROUND(D45*'数据-取费表'!B41/(1+'数据-取费表'!C42),0)</f>
        <v>5</v>
      </c>
      <c r="E53" s="1256" t="s">
        <v>1354</v>
      </c>
      <c r="F53" s="2339">
        <f>'数据-取费表'!B41</f>
        <v>5.6000000000000001E-2</v>
      </c>
      <c r="G53" s="2340"/>
      <c r="H53" s="2330"/>
      <c r="I53" s="1669"/>
      <c r="J53" s="2309">
        <v>2</v>
      </c>
      <c r="K53" s="3305" t="s">
        <v>1357</v>
      </c>
      <c r="L53" s="3305"/>
      <c r="M53" s="2311">
        <f t="shared" ref="M53:O54" ca="1" si="0">D55</f>
        <v>4.7699999999999999E-2</v>
      </c>
      <c r="N53" s="2309" t="str">
        <f t="shared" si="0"/>
        <v>销售额×税（费）率</v>
      </c>
      <c r="O53" s="2312">
        <f t="shared" si="0"/>
        <v>5.0000000000000001E-4</v>
      </c>
    </row>
    <row r="54" spans="1:35" ht="12" customHeight="1">
      <c r="A54" s="2153" t="s">
        <v>1358</v>
      </c>
      <c r="B54" s="3329" t="s">
        <v>2290</v>
      </c>
      <c r="C54" s="3330"/>
      <c r="D54" s="1024">
        <f ca="1">C68</f>
        <v>0</v>
      </c>
      <c r="E54" s="319" t="s">
        <v>1359</v>
      </c>
      <c r="F54" s="2339">
        <f>'数据-取费表'!B41</f>
        <v>5.6000000000000001E-2</v>
      </c>
      <c r="G54" s="2340"/>
      <c r="H54" s="2341"/>
      <c r="I54" s="1669"/>
      <c r="J54" s="2309">
        <v>3</v>
      </c>
      <c r="K54" s="3305" t="s">
        <v>1360</v>
      </c>
      <c r="L54" s="3305"/>
      <c r="M54" s="2311">
        <f t="shared" ca="1" si="0"/>
        <v>0</v>
      </c>
      <c r="N54" s="2309" t="str">
        <f t="shared" si="0"/>
        <v>增值额×税（费）率</v>
      </c>
      <c r="O54" s="2313" t="str">
        <f t="shared" si="0"/>
        <v>——</v>
      </c>
    </row>
    <row r="55" spans="1:35" ht="24" customHeight="1">
      <c r="A55" s="3365" t="s">
        <v>1361</v>
      </c>
      <c r="B55" s="3343"/>
      <c r="C55" s="3343"/>
      <c r="D55" s="1504">
        <f ca="1">IF(H55="个人住宅",0,ROUND(D45*I55,4))</f>
        <v>4.7699999999999999E-2</v>
      </c>
      <c r="E55" s="1256" t="s">
        <v>1362</v>
      </c>
      <c r="F55" s="2339">
        <f>IF(H55="正常",I55,"免征")</f>
        <v>5.0000000000000001E-4</v>
      </c>
      <c r="G55" s="2340"/>
      <c r="H55" s="2336" t="s">
        <v>3465</v>
      </c>
      <c r="I55" s="157">
        <f>'数据-取费表'!B49</f>
        <v>5.0000000000000001E-4</v>
      </c>
      <c r="J55" s="2309" t="str">
        <f>IF(H59="非个人房产","",4)</f>
        <v/>
      </c>
      <c r="K55" s="3305" t="str">
        <f>IF(H59="非个人房产","——","个人所得税")</f>
        <v>——</v>
      </c>
      <c r="L55" s="3305"/>
      <c r="M55" s="2314" t="str">
        <f>D59</f>
        <v>——</v>
      </c>
      <c r="N55" s="1883" t="str">
        <f>E59</f>
        <v>——</v>
      </c>
      <c r="O55" s="2315" t="str">
        <f>F59</f>
        <v>——</v>
      </c>
    </row>
    <row r="56" spans="1:35" ht="25.2">
      <c r="A56" s="3365" t="s">
        <v>1363</v>
      </c>
      <c r="B56" s="3343"/>
      <c r="C56" s="3343"/>
      <c r="D56" s="12">
        <f ca="1">IF(H56="个人住宅",D57,D58)</f>
        <v>0</v>
      </c>
      <c r="E56" s="1256" t="s">
        <v>1364</v>
      </c>
      <c r="F56" s="2339" t="str">
        <f>IF(H56="正常",F58,"免征")</f>
        <v>——</v>
      </c>
      <c r="G56" s="2342" t="s">
        <v>1365</v>
      </c>
      <c r="H56" s="2343" t="s">
        <v>3465</v>
      </c>
      <c r="I56" s="1670"/>
      <c r="J56" s="2309" t="str">
        <f>IF(项目基本情况!K6="上海银行",IF(J55="",4,J55+1),"")</f>
        <v/>
      </c>
      <c r="K56" s="3286" t="str">
        <f>IF(项目基本情况!K6="上海银行","其他处置费用","")</f>
        <v/>
      </c>
      <c r="L56" s="3287"/>
      <c r="M56" s="2311" t="str">
        <f>IF(项目基本情况!K6="上海银行",M69,"")</f>
        <v/>
      </c>
      <c r="N56" s="3286" t="str">
        <f>IF(项目基本情况!K6="上海银行","包含处置中涉及的律师、诉讼、拍卖、评估等费用","")</f>
        <v/>
      </c>
      <c r="O56" s="3289"/>
    </row>
    <row r="57" spans="1:35" ht="13.2">
      <c r="A57" s="2153" t="s">
        <v>1341</v>
      </c>
      <c r="B57" s="3329" t="s">
        <v>1366</v>
      </c>
      <c r="C57" s="3330"/>
      <c r="D57" s="1478">
        <v>0</v>
      </c>
      <c r="E57" s="316" t="s">
        <v>1343</v>
      </c>
      <c r="F57" s="294"/>
      <c r="G57" s="2340"/>
      <c r="H57" s="2344"/>
      <c r="I57" s="1670"/>
      <c r="J57" s="3305">
        <f>IF(AND(J55="",J56=""),4,IF(项目基本情况!K6="上海银行",结果表1005!J56+1,结果表1005!J55+1))</f>
        <v>4</v>
      </c>
      <c r="K57" s="3305" t="s">
        <v>1367</v>
      </c>
      <c r="L57" s="2316" t="s">
        <v>1368</v>
      </c>
      <c r="M57" s="2317"/>
      <c r="N57" s="2318">
        <f ca="1">SUMIF(M52:M56,"&lt;9e307")</f>
        <v>4.7699999999999999E-2</v>
      </c>
      <c r="O57" s="2319"/>
      <c r="P57" s="2460">
        <f ca="1">N57/M49</f>
        <v>4.9973180012404244E-4</v>
      </c>
    </row>
    <row r="58" spans="1:35" ht="25.2">
      <c r="A58" s="2153" t="s">
        <v>1352</v>
      </c>
      <c r="B58" s="3329" t="s">
        <v>1369</v>
      </c>
      <c r="C58" s="3328"/>
      <c r="D58" s="12">
        <f ca="1">IF(H58="转让取得",C81,C97)</f>
        <v>0</v>
      </c>
      <c r="E58" s="1256" t="s">
        <v>1364</v>
      </c>
      <c r="F58" s="294" t="s">
        <v>28</v>
      </c>
      <c r="G58" s="2340"/>
      <c r="H58" s="2343" t="s">
        <v>3539</v>
      </c>
      <c r="I58" s="1670"/>
      <c r="J58" s="3305"/>
      <c r="K58" s="3305"/>
      <c r="L58" s="2316" t="s">
        <v>1370</v>
      </c>
      <c r="M58" s="2320"/>
      <c r="N58" s="2321" t="str">
        <f ca="1">NUMBERSTRING(INT(N57*10000),2)&amp;"元整"</f>
        <v>肆佰柒拾柒元整</v>
      </c>
      <c r="O58" s="2322"/>
    </row>
    <row r="59" spans="1:35" ht="24.6" thickBot="1">
      <c r="A59" s="3309" t="s">
        <v>1371</v>
      </c>
      <c r="B59" s="3310"/>
      <c r="C59" s="3310"/>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3540</v>
      </c>
      <c r="I59" s="2137" t="s">
        <v>2135</v>
      </c>
      <c r="J59" s="3307">
        <f>J57+1</f>
        <v>5</v>
      </c>
      <c r="K59" s="3305" t="s">
        <v>1372</v>
      </c>
      <c r="L59" s="2309" t="s">
        <v>1368</v>
      </c>
      <c r="M59" s="2323"/>
      <c r="N59" s="2324">
        <f ca="1">M49-N57</f>
        <v>95.403499999999994</v>
      </c>
      <c r="O59" s="2325"/>
    </row>
    <row r="60" spans="1:35" ht="12" customHeight="1">
      <c r="A60" s="1671"/>
      <c r="B60" s="646"/>
      <c r="C60" s="646"/>
      <c r="D60" s="646"/>
      <c r="E60" s="1466"/>
      <c r="F60" s="1670"/>
      <c r="G60" s="1670"/>
      <c r="H60" s="151"/>
      <c r="I60" s="121"/>
      <c r="J60" s="3308"/>
      <c r="K60" s="3305"/>
      <c r="L60" s="2316" t="s">
        <v>1370</v>
      </c>
      <c r="M60" s="2320"/>
      <c r="N60" s="2321" t="str">
        <f ca="1">NUMBERSTRING(INT(N59*10000),2)&amp;"元整"</f>
        <v>玖拾伍万肆仟零叁拾伍元整</v>
      </c>
      <c r="O60" s="2322"/>
    </row>
    <row r="61" spans="1:35" ht="13.8" thickBot="1">
      <c r="A61" s="3364" t="s">
        <v>1373</v>
      </c>
      <c r="B61" s="3364"/>
      <c r="C61" s="3364"/>
      <c r="D61" s="3364"/>
      <c r="E61" s="3364"/>
      <c r="F61" s="1670"/>
      <c r="G61" s="1670"/>
      <c r="H61" s="151"/>
      <c r="I61" s="121"/>
      <c r="J61" s="2309">
        <f>J59+1</f>
        <v>6</v>
      </c>
      <c r="K61" s="3305" t="s">
        <v>1374</v>
      </c>
      <c r="L61" s="3305"/>
      <c r="M61" s="2326"/>
      <c r="N61" s="3188">
        <f ca="1">ROUND(N59*10000/'数据-基础表'!G16,0)</f>
        <v>10101</v>
      </c>
      <c r="O61" s="2328"/>
    </row>
    <row r="62" spans="1:35" ht="13.2">
      <c r="A62" s="3324" t="s">
        <v>1375</v>
      </c>
      <c r="B62" s="3325"/>
      <c r="C62" s="1865"/>
      <c r="D62" s="1865" t="s">
        <v>1376</v>
      </c>
      <c r="E62" s="158" t="s">
        <v>1377</v>
      </c>
      <c r="F62" s="1670"/>
      <c r="G62" s="1670"/>
      <c r="H62" s="151"/>
      <c r="I62" s="121"/>
    </row>
    <row r="63" spans="1:35" ht="13.2">
      <c r="A63" s="165" t="s">
        <v>330</v>
      </c>
      <c r="B63" s="159" t="s">
        <v>1378</v>
      </c>
      <c r="C63" s="3181">
        <f ca="1">ROUND((C64+C65)/(1+'数据-取费表'!C42),4)</f>
        <v>90.905900000000003</v>
      </c>
      <c r="D63" s="159"/>
      <c r="E63" s="160"/>
      <c r="F63" s="1670"/>
      <c r="G63" s="1670"/>
      <c r="H63" s="151"/>
      <c r="I63" s="121"/>
      <c r="J63" s="3288" t="s">
        <v>1379</v>
      </c>
      <c r="K63" s="1245" t="s">
        <v>1380</v>
      </c>
      <c r="L63" s="1245">
        <f ca="1">IF(M49&gt;10000,M49*0.5%,IF(AND(M49&gt;1000,M49&lt;=10000),M49*1%,IF(AND(M49&gt;100,M49&lt;=1000),M49*3%,IF(AND(M49&gt;10,M49&lt;=100),M49*5%,M49*8%))))</f>
        <v>4.7725600000000004</v>
      </c>
      <c r="M63" s="294">
        <f ca="1">ROUND(L63,1)</f>
        <v>4.8</v>
      </c>
      <c r="N63" s="2329"/>
      <c r="Z63" s="1623"/>
      <c r="AI63" s="1561"/>
    </row>
    <row r="64" spans="1:35" ht="14.25" customHeight="1">
      <c r="A64" s="161" t="s">
        <v>325</v>
      </c>
      <c r="B64" s="162" t="s">
        <v>1381</v>
      </c>
      <c r="C64" s="3182">
        <f ca="1">D45</f>
        <v>95.4512</v>
      </c>
      <c r="D64" s="162" t="s">
        <v>26</v>
      </c>
      <c r="E64" s="164"/>
      <c r="F64" s="1670"/>
      <c r="G64" s="1670"/>
      <c r="H64" s="151"/>
      <c r="I64" s="121"/>
      <c r="J64" s="3288"/>
      <c r="K64" s="1245" t="s">
        <v>1382</v>
      </c>
      <c r="L64" s="1245">
        <f ca="1">IF(M49&gt;2000,M49*0.5%,IF(AND(M49&gt;1000,M49&lt;=2000),M49*0.6%,IF(AND(M49&gt;500,M49&lt;=1000),M49*0.7%,IF(AND(M49&gt;200,M49&lt;=500),M49*0.8%,IF(AND(M49&gt;100,M49&lt;=200),M49*0.9%,IF(AND(M49&gt;50,M49&lt;=100),M49*1%,IF(AND(M49&gt;20,M49&lt;=50),M49*1.5%,IF(AND(M49&gt;10,M49&lt;=20),M49*2%,IF(AND(M49&gt;1,M49&lt;=10),M49*2.5%)))))))))</f>
        <v>0.95451200000000003</v>
      </c>
      <c r="M64" s="294">
        <f t="shared" ref="M64:M65" ca="1" si="1">ROUND(L64,1)</f>
        <v>1</v>
      </c>
      <c r="N64" s="2330" t="s">
        <v>1383</v>
      </c>
      <c r="Z64" s="1623"/>
      <c r="AI64" s="1561"/>
    </row>
    <row r="65" spans="1:35" ht="14.25" customHeight="1">
      <c r="A65" s="161" t="s">
        <v>326</v>
      </c>
      <c r="B65" s="162" t="s">
        <v>1384</v>
      </c>
      <c r="C65" s="2349"/>
      <c r="D65" s="162"/>
      <c r="E65" s="164"/>
      <c r="F65" s="1670"/>
      <c r="G65" s="1670"/>
      <c r="H65" s="151"/>
      <c r="I65" s="121"/>
      <c r="J65" s="3288"/>
      <c r="K65" s="1245" t="s">
        <v>1385</v>
      </c>
      <c r="L65" s="1245">
        <f ca="1">IF(M49&gt;1000,M49*0.1%,IF(AND(M49&gt;500,M49&lt;=1000),M49*0.5%,IF(AND(M49&gt;50,M49&lt;=500),M49*1%,IF(AND(M49&gt;1,M49&lt;=50),M49*1.5%))))</f>
        <v>0.95451200000000003</v>
      </c>
      <c r="M65" s="294">
        <f t="shared" ca="1" si="1"/>
        <v>1</v>
      </c>
      <c r="N65" s="2330" t="s">
        <v>1383</v>
      </c>
      <c r="Z65" s="1623"/>
      <c r="AI65" s="1561"/>
    </row>
    <row r="66" spans="1:35" ht="14.25" customHeight="1">
      <c r="A66" s="165" t="s">
        <v>327</v>
      </c>
      <c r="B66" s="166" t="s">
        <v>1386</v>
      </c>
      <c r="C66" s="2350">
        <f>C75/1.05</f>
        <v>98.947619047619042</v>
      </c>
      <c r="D66" s="166" t="s">
        <v>26</v>
      </c>
      <c r="E66" s="1251" t="s">
        <v>671</v>
      </c>
      <c r="F66" s="1670"/>
      <c r="G66" s="1670"/>
      <c r="H66" s="151"/>
      <c r="I66" s="121"/>
      <c r="J66" s="3288"/>
      <c r="K66" s="1245" t="s">
        <v>1387</v>
      </c>
      <c r="L66" s="1245">
        <f ca="1">M49*0.5%</f>
        <v>0.47725600000000001</v>
      </c>
      <c r="M66" s="294">
        <f ca="1">IF(L66&gt;0.5,0.5,ROUND(L66,0))</f>
        <v>0</v>
      </c>
      <c r="N66" s="2330" t="s">
        <v>1388</v>
      </c>
      <c r="Z66" s="1623"/>
      <c r="AI66" s="1561"/>
    </row>
    <row r="67" spans="1:35" ht="14.25" customHeight="1">
      <c r="A67" s="165" t="s">
        <v>328</v>
      </c>
      <c r="B67" s="166" t="s">
        <v>1389</v>
      </c>
      <c r="C67" s="2351">
        <f ca="1">C63-C66</f>
        <v>-8.0417190476190399</v>
      </c>
      <c r="D67" s="162" t="s">
        <v>26</v>
      </c>
      <c r="E67" s="164"/>
      <c r="F67" s="1670"/>
      <c r="G67" s="1670"/>
      <c r="H67" s="151"/>
      <c r="I67" s="121"/>
      <c r="J67" s="3288"/>
      <c r="K67" s="1245" t="s">
        <v>1390</v>
      </c>
      <c r="L67" s="1245">
        <f ca="1">IF(M49&gt;=10000,(8.25+(M49-10000)*0.01%),IF(AND(M49&gt;=8000,M49&lt;10000),(7.85+(M49-8000)*0.02%),IF(AND(M49&gt;=5000,M49&lt;8000),(6.65+(M49-5000)*0.04%),IF(AND(M49&gt;=2000,M49&lt;5000),(4.25+(PM49-2000)*0.08%),IF(AND(M49&gt;=1000,M49&lt;2000),(2.75+(M49-1000)*0.15%),IF(AND(M49&gt;=100,M49&lt;1000),(0.5+(M49-100)*0.25%),IF(AND(M49&gt;0,M49&lt;100),M49*0.5%)))))))</f>
        <v>0.47725600000000001</v>
      </c>
      <c r="M67" s="294">
        <f ca="1">ROUND(L67*0.9,1)</f>
        <v>0.4</v>
      </c>
      <c r="N67" s="2329"/>
      <c r="Z67" s="1623"/>
      <c r="AI67" s="1561"/>
    </row>
    <row r="68" spans="1:35" ht="14.25" customHeight="1" thickBot="1">
      <c r="A68" s="168" t="s">
        <v>329</v>
      </c>
      <c r="B68" s="169" t="s">
        <v>1391</v>
      </c>
      <c r="C68" s="3180">
        <f ca="1">IF(C67&lt;=0,0,ROUND(C67*D68,4))</f>
        <v>0</v>
      </c>
      <c r="D68" s="2352">
        <f>'数据-取费表'!B41</f>
        <v>5.6000000000000001E-2</v>
      </c>
      <c r="E68" s="170"/>
      <c r="F68" s="1670"/>
      <c r="G68" s="1670"/>
      <c r="H68" s="151"/>
      <c r="I68" s="121"/>
      <c r="J68" s="3288"/>
      <c r="K68" s="1245" t="s">
        <v>1392</v>
      </c>
      <c r="L68" s="1245">
        <f ca="1">IF(M49&gt;10000,M49*0.5%,IF(AND(M49&gt;5000,M49&lt;=10000),M49*1%,IF(AND(M49&gt;1000,M49&lt;=5000),M49*2%,IF(AND(M49&gt;200,M49&lt;=1000),M49*3%,M49*5%))))</f>
        <v>4.7725600000000004</v>
      </c>
      <c r="M68" s="294">
        <f ca="1">ROUND(L68,1)</f>
        <v>4.8</v>
      </c>
      <c r="N68" s="2329"/>
      <c r="Z68" s="1623"/>
      <c r="AI68" s="1561"/>
    </row>
    <row r="69" spans="1:35" ht="16.5" customHeight="1">
      <c r="A69" s="1672"/>
      <c r="B69" s="1673"/>
      <c r="C69" s="1674"/>
      <c r="D69" s="1675"/>
      <c r="E69" s="1676"/>
      <c r="F69" s="1466"/>
      <c r="G69" s="1466"/>
      <c r="H69" s="1467"/>
      <c r="I69" s="646"/>
      <c r="J69" s="3288"/>
      <c r="K69" s="1245" t="s">
        <v>1393</v>
      </c>
      <c r="L69" s="1245"/>
      <c r="M69" s="294">
        <f ca="1">ROUND(SUM(M63:M68),0)</f>
        <v>12</v>
      </c>
      <c r="N69" s="2331">
        <f ca="1">M69/M49</f>
        <v>0.12571869185510501</v>
      </c>
      <c r="Z69" s="1623"/>
      <c r="AI69" s="1561"/>
    </row>
    <row r="70" spans="1:35" s="642" customFormat="1" ht="14.4" thickBot="1">
      <c r="A70" s="3332" t="s">
        <v>1394</v>
      </c>
      <c r="B70" s="3333"/>
      <c r="C70" s="3333"/>
      <c r="D70" s="3333"/>
      <c r="E70" s="3333"/>
      <c r="F70" s="3333"/>
      <c r="G70" s="3333"/>
      <c r="H70" s="333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4" t="s">
        <v>1375</v>
      </c>
      <c r="B71" s="332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3183">
        <f ca="1">ROUND(D45/(1+'数据-取费表'!C42),4)</f>
        <v>90.905900000000003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3183">
        <f ca="1">C74+C78</f>
        <v>118.09520000000001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3085">
        <f>ROUND(IF(G77="2016年5月1日后购买",C75/(1+'数据-取费表'!C42)+C76+C77,C75+C76+C77),4)</f>
        <v>117.5498</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3184">
        <f>面积信息!K5</f>
        <v>103.895</v>
      </c>
      <c r="D75" s="162" t="s">
        <v>26</v>
      </c>
      <c r="E75" s="176" t="s">
        <v>1399</v>
      </c>
      <c r="F75" s="2354" t="s">
        <v>3541</v>
      </c>
      <c r="G75" s="176" t="s">
        <v>1400</v>
      </c>
      <c r="H75" s="2355">
        <f>2025-2022</f>
        <v>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085">
        <f>IF(F75="购房发票",ROUND(C75*H75*D76,4),0)</f>
        <v>15.584300000000001</v>
      </c>
      <c r="D76" s="2356">
        <v>0.05</v>
      </c>
      <c r="E76" s="3329" t="s">
        <v>1402</v>
      </c>
      <c r="F76" s="3328"/>
      <c r="G76" s="3328"/>
      <c r="H76" s="333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085">
        <f>ROUND(IF(G77="个人住宅",0,IF(G77="2016年5月1日前购买",C75*D77,C75*D77/(1+'数据-取费表'!C42))),4)</f>
        <v>3.0179</v>
      </c>
      <c r="D77" s="2357">
        <f>'数据-取费表'!B48+'数据-取费表'!B49</f>
        <v>3.0499999999999999E-2</v>
      </c>
      <c r="E77" s="12" t="s">
        <v>1404</v>
      </c>
      <c r="F77" s="178"/>
      <c r="G77" s="1682" t="s">
        <v>3542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185">
        <f ca="1">ROUND(D45*D78/(1+'数据-取费表'!C42),4)</f>
        <v>0.5454</v>
      </c>
      <c r="D78" s="2359">
        <f>'数据-取费表'!B43</f>
        <v>6.000000000000001E-3</v>
      </c>
      <c r="E78" s="3321" t="s">
        <v>1406</v>
      </c>
      <c r="F78" s="3322"/>
      <c r="G78" s="3322"/>
      <c r="H78" s="332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1">
        <f ca="1">C72-C73</f>
        <v>-27.189300000000003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3186">
        <f ca="1">ROUND(IF(C79&lt;=0,0,IF(C80&gt;=200%,C79*60%-C73*35%,IF(C80&gt;=100%,C79*50%-C73*15%,IF(C80&gt;=50%,C79*40%-C73*5%,IF(C80&lt;50%,C79*30%,0))))),4)</f>
        <v>0</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2" t="s">
        <v>1410</v>
      </c>
      <c r="B83" s="3333"/>
      <c r="C83" s="3333"/>
      <c r="D83" s="3333"/>
      <c r="E83" s="3333"/>
      <c r="F83" s="3333"/>
      <c r="G83" s="3333"/>
      <c r="H83" s="333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4" t="s">
        <v>1375</v>
      </c>
      <c r="B84" s="332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91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1</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8">
        <f>C88+C89</f>
        <v>0</v>
      </c>
      <c r="D87" s="2359"/>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4"/>
      <c r="D88" s="2359"/>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8">
        <f>ROUND(C88*D89,0)</f>
        <v>0</v>
      </c>
      <c r="D89" s="2359">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4"/>
      <c r="D90" s="2359"/>
      <c r="E90" s="185" t="str">
        <f>IF(H88="-","土地取得成本中已包含该笔费用"," ")</f>
        <v xml:space="preserve"> </v>
      </c>
      <c r="F90" s="2148"/>
      <c r="G90" s="3290" t="s">
        <v>2127</v>
      </c>
      <c r="H90" s="3291"/>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321" t="s">
        <v>1419</v>
      </c>
      <c r="F91" s="3322"/>
      <c r="G91" s="332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321" t="s">
        <v>1422</v>
      </c>
      <c r="F92" s="3322"/>
      <c r="G92" s="3322"/>
      <c r="H92" s="3323"/>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1</v>
      </c>
      <c r="D93" s="2359">
        <f>'数据-取费表'!B43</f>
        <v>6.000000000000001E-3</v>
      </c>
      <c r="E93" s="3321" t="s">
        <v>1406</v>
      </c>
      <c r="F93" s="3322"/>
      <c r="G93" s="3322"/>
      <c r="H93" s="332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366" t="s">
        <v>1426</v>
      </c>
      <c r="F94" s="3367"/>
      <c r="G94" s="3367"/>
      <c r="H94" s="336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1">
        <f ca="1">ROUND(C85-C86,0)</f>
        <v>90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f ca="1">IF(C95&lt;=0,0,C95/C86)</f>
        <v>90</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1">
        <f ca="1">ROUND(IF(C95&lt;=0,0,IF(C96&gt;=200%,C95*60%-C86*35%,IF(C96&gt;=100%,C95*50%-C86*15%,IF(C96&gt;=50%,C95*40%-C86*5%,IF(C96&lt;50%,C95*30%,0))))),0)</f>
        <v>54</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1" t="s">
        <v>1428</v>
      </c>
      <c r="B100" s="3272"/>
      <c r="C100" s="3272"/>
      <c r="D100" s="3306"/>
      <c r="E100" s="3272" t="s">
        <v>1429</v>
      </c>
      <c r="F100" s="3272"/>
      <c r="G100" s="3272"/>
      <c r="H100" s="3306"/>
      <c r="I100" s="121"/>
    </row>
    <row r="101" spans="1:35" ht="18.75" customHeight="1">
      <c r="A101" s="3314" t="s">
        <v>1430</v>
      </c>
      <c r="B101" s="3315"/>
      <c r="C101" s="2367" t="str">
        <f>C4</f>
        <v>比较法-办公</v>
      </c>
      <c r="D101" s="2368" t="str">
        <f>D4</f>
        <v>收益法 (元)</v>
      </c>
      <c r="E101" s="3284" t="s">
        <v>1431</v>
      </c>
      <c r="F101" s="3285"/>
      <c r="G101" s="1687" t="s">
        <v>1432</v>
      </c>
      <c r="H101" s="2377">
        <f ca="1">H118</f>
        <v>95.784700000000001</v>
      </c>
      <c r="I101" s="121"/>
    </row>
    <row r="102" spans="1:35" ht="18.75" customHeight="1">
      <c r="A102" s="3316" t="s">
        <v>1433</v>
      </c>
      <c r="B102" s="2366" t="s">
        <v>1432</v>
      </c>
      <c r="C102" s="2367">
        <f ca="1">IF(D32="楼面单价",ROUND(C19,0),C19)</f>
        <v>112</v>
      </c>
      <c r="D102" s="2368">
        <f ca="1">IF(D32="楼面单价",ROUND(D19,0),D19)</f>
        <v>72</v>
      </c>
      <c r="E102" s="3284"/>
      <c r="F102" s="3285"/>
      <c r="G102" s="1687" t="s">
        <v>1434</v>
      </c>
      <c r="H102" s="2340">
        <f ca="1">I118</f>
        <v>10106</v>
      </c>
      <c r="I102" s="121"/>
    </row>
    <row r="103" spans="1:35" ht="42.75" customHeight="1">
      <c r="A103" s="3316"/>
      <c r="B103" s="2366" t="s">
        <v>1434</v>
      </c>
      <c r="C103" s="2369">
        <f ca="1">C20</f>
        <v>11801</v>
      </c>
      <c r="D103" s="2370">
        <f ca="1">D20</f>
        <v>7564</v>
      </c>
      <c r="E103" s="3277" t="s">
        <v>1435</v>
      </c>
      <c r="F103" s="3278"/>
      <c r="G103" s="1688" t="s">
        <v>1436</v>
      </c>
      <c r="H103" s="2377">
        <f>IF(D36="正常操作",H104+H105+H106,H105+H106)</f>
        <v>0</v>
      </c>
      <c r="I103" s="121"/>
    </row>
    <row r="104" spans="1:35" ht="18.75" customHeight="1">
      <c r="A104" s="3316" t="s">
        <v>1437</v>
      </c>
      <c r="B104" s="2371" t="s">
        <v>1432</v>
      </c>
      <c r="C104" s="2372">
        <f ca="1">H118</f>
        <v>95.784700000000001</v>
      </c>
      <c r="D104" s="2373"/>
      <c r="E104" s="1555" t="s">
        <v>1438</v>
      </c>
      <c r="F104" s="1548"/>
      <c r="G104" s="1688" t="s">
        <v>1436</v>
      </c>
      <c r="H104" s="2378">
        <f>IF(D36="同一抵押权人同一抵押物续贷",C36&amp;"（续贷，未扣减，详见特别提示）",C36)</f>
        <v>0</v>
      </c>
      <c r="I104" s="121"/>
    </row>
    <row r="105" spans="1:35" ht="18.75" customHeight="1" thickBot="1">
      <c r="A105" s="3326"/>
      <c r="B105" s="2374" t="s">
        <v>1434</v>
      </c>
      <c r="C105" s="2375">
        <f ca="1">I118</f>
        <v>10106</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317" t="str">
        <f>IF(项目基本情况!E8="已注销","——","3.房地产抵押价值")</f>
        <v>3.房地产抵押价值</v>
      </c>
      <c r="F107" s="3285"/>
      <c r="G107" s="1687" t="s">
        <v>1432</v>
      </c>
      <c r="H107" s="2377">
        <f ca="1">IF(E107="——","——",H101-H103)</f>
        <v>95.784700000000001</v>
      </c>
      <c r="I107" s="121"/>
    </row>
    <row r="108" spans="1:35" ht="18.75" customHeight="1">
      <c r="A108" s="121"/>
      <c r="B108" s="121"/>
      <c r="C108" s="121"/>
      <c r="D108" s="121"/>
      <c r="E108" s="3317"/>
      <c r="F108" s="3285"/>
      <c r="G108" s="1687" t="s">
        <v>1434</v>
      </c>
      <c r="H108" s="2340">
        <f ca="1">IF(H107=H101,H102,ROUND(H107*10000/'数据-汇总表'!E3,0))</f>
        <v>10106</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285"/>
      <c r="G109" s="1687" t="s">
        <v>1432</v>
      </c>
      <c r="H109" s="2380" t="str">
        <f>IF(E109="——","——",H101-H105-H106)</f>
        <v>——</v>
      </c>
      <c r="I109" s="121"/>
    </row>
    <row r="110" spans="1:35" ht="18.75" customHeight="1">
      <c r="A110" s="121"/>
      <c r="B110" s="121"/>
      <c r="C110" s="121"/>
      <c r="D110" s="121"/>
      <c r="E110" s="3317"/>
      <c r="F110" s="3285"/>
      <c r="G110" s="1687" t="s">
        <v>1434</v>
      </c>
      <c r="H110" s="2340" t="str">
        <f>IF(H109="——","——",ROUND(H109*10000/'数据-汇总表'!E3,0))</f>
        <v>——</v>
      </c>
      <c r="I110" s="121"/>
    </row>
    <row r="111" spans="1:35" ht="18.75" customHeight="1">
      <c r="A111" s="121"/>
      <c r="B111" s="121"/>
      <c r="C111" s="121"/>
      <c r="D111" s="121"/>
      <c r="E111" s="3318" t="str">
        <f>IF(项目基本情况!E9="抵押净值",IF(OR(项目基本情况!E8="已注销",项目基本情况!E8="房地产抵押价值"),"4.抵押净值","5.抵押净值"),"——")</f>
        <v>4.抵押净值</v>
      </c>
      <c r="F111" s="3304"/>
      <c r="G111" s="1687" t="s">
        <v>1432</v>
      </c>
      <c r="H111" s="2377">
        <f ca="1">IF(E111="——","——",N59)</f>
        <v>95.403499999999994</v>
      </c>
      <c r="I111" s="121"/>
    </row>
    <row r="112" spans="1:35" ht="18.75" customHeight="1" thickBot="1">
      <c r="A112" s="121"/>
      <c r="B112" s="121"/>
      <c r="C112" s="121"/>
      <c r="D112" s="121"/>
      <c r="E112" s="3319"/>
      <c r="F112" s="3320"/>
      <c r="G112" s="1690" t="s">
        <v>1434</v>
      </c>
      <c r="H112" s="2381">
        <f ca="1">IF(E111="——","——",N61)</f>
        <v>10101</v>
      </c>
      <c r="I112" s="121"/>
    </row>
    <row r="113" spans="1:27" ht="18.75" customHeight="1">
      <c r="A113" s="121"/>
      <c r="B113" s="121"/>
      <c r="C113" s="121"/>
      <c r="D113" s="121"/>
      <c r="E113" s="3327" t="s">
        <v>1440</v>
      </c>
      <c r="F113" s="3327"/>
      <c r="G113" s="3327"/>
      <c r="H113" s="3327"/>
      <c r="I113" s="121"/>
    </row>
    <row r="114" spans="1:27" ht="3.75" customHeight="1">
      <c r="A114" s="646"/>
      <c r="B114" s="646"/>
      <c r="C114" s="646"/>
      <c r="D114" s="646"/>
      <c r="E114" s="1671"/>
      <c r="F114" s="1671"/>
      <c r="G114" s="1671"/>
      <c r="H114" s="1671"/>
      <c r="I114" s="646"/>
    </row>
    <row r="115" spans="1:27" ht="18.75" customHeight="1">
      <c r="A115" s="3335" t="s">
        <v>1442</v>
      </c>
      <c r="B115" s="3336"/>
      <c r="C115" s="3336"/>
      <c r="D115" s="3336"/>
      <c r="E115" s="3336"/>
      <c r="F115" s="3336"/>
      <c r="G115" s="3336"/>
      <c r="H115" s="3336"/>
      <c r="I115" s="3337"/>
    </row>
    <row r="116" spans="1:27" ht="27" customHeight="1">
      <c r="A116" s="3292" t="s">
        <v>1443</v>
      </c>
      <c r="B116" s="3296" t="s">
        <v>1444</v>
      </c>
      <c r="C116" s="3296" t="s">
        <v>1445</v>
      </c>
      <c r="D116" s="3302" t="s">
        <v>1446</v>
      </c>
      <c r="E116" s="3303"/>
      <c r="F116" s="3334" t="s">
        <v>1447</v>
      </c>
      <c r="G116" s="3334"/>
      <c r="H116" s="3292" t="s">
        <v>1448</v>
      </c>
      <c r="I116" s="3292"/>
    </row>
    <row r="117" spans="1:27" ht="18.75" customHeight="1">
      <c r="A117" s="3292"/>
      <c r="B117" s="3297"/>
      <c r="C117" s="3297"/>
      <c r="D117" s="2150" t="s">
        <v>1449</v>
      </c>
      <c r="E117" s="2150" t="s">
        <v>1450</v>
      </c>
      <c r="F117" s="2150" t="s">
        <v>1449</v>
      </c>
      <c r="G117" s="2150" t="s">
        <v>1451</v>
      </c>
      <c r="H117" s="2150" t="s">
        <v>1449</v>
      </c>
      <c r="I117" s="2150" t="s">
        <v>1451</v>
      </c>
    </row>
    <row r="118" spans="1:27" ht="24.75" customHeight="1">
      <c r="A118" s="2382" t="str">
        <f>项目基本情况!S2</f>
        <v>北京市房山区辰光东路16号院5号楼10层1001等共计9套房地产</v>
      </c>
      <c r="B118" s="2150">
        <f>M18</f>
        <v>94.78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78">
        <f ca="1">ROUND(IF(D32="总价",C32,I118*B118/10000),4)</f>
        <v>95.784700000000001</v>
      </c>
      <c r="I118" s="2150">
        <f ca="1">ROUND(IF(D32="楼面单价",C32,H118*10000/B118),0)</f>
        <v>10106</v>
      </c>
    </row>
    <row r="119" spans="1:27" ht="18.75" customHeight="1">
      <c r="A119" s="3292" t="s">
        <v>1452</v>
      </c>
      <c r="B119" s="3292"/>
      <c r="C119" s="3292"/>
      <c r="D119" s="3298" t="str">
        <f>NUMBERSTRING(INT(D118*10000),2)&amp;"元整"</f>
        <v>零元整</v>
      </c>
      <c r="E119" s="3299"/>
      <c r="F119" s="3298" t="str">
        <f>NUMBERSTRING(INT(F118*10000),2)&amp;"元整"</f>
        <v>零元整</v>
      </c>
      <c r="G119" s="3299"/>
      <c r="H119" s="3298" t="str">
        <f ca="1">NUMBERSTRING(INT(H118*10000),2)&amp;"元整"</f>
        <v>玖拾伍万柒仟捌佰肆拾柒元整</v>
      </c>
      <c r="I119" s="3299"/>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8" t="s">
        <v>1452</v>
      </c>
      <c r="B121" s="3300"/>
      <c r="C121" s="3299"/>
      <c r="D121" s="3298" t="str">
        <f>IF(D120=0,"零元整",NUMBERSTRING(INT(D120*10000),2)&amp;"元整")</f>
        <v>零元整</v>
      </c>
      <c r="E121" s="3300"/>
      <c r="F121" s="3300"/>
      <c r="G121" s="3300"/>
      <c r="H121" s="3300"/>
      <c r="I121" s="3299"/>
      <c r="AA121" s="684"/>
    </row>
    <row r="122" spans="1:27" ht="18.75" customHeight="1">
      <c r="A122" s="3304" t="str">
        <f>IF(项目基本情况!B9="房地产市场价值","",MID(E107,3,LEN(E107)-2))</f>
        <v>房地产抵押价值</v>
      </c>
      <c r="B122" s="3304"/>
      <c r="C122" s="3304"/>
      <c r="D122" s="3293">
        <f ca="1">H107</f>
        <v>95.784700000000001</v>
      </c>
      <c r="E122" s="3294"/>
      <c r="F122" s="3294"/>
      <c r="G122" s="3294"/>
      <c r="H122" s="3294"/>
      <c r="I122" s="3295"/>
      <c r="AA122" s="684"/>
    </row>
    <row r="123" spans="1:27" ht="18.75" customHeight="1">
      <c r="A123" s="3292" t="s">
        <v>1452</v>
      </c>
      <c r="B123" s="3292"/>
      <c r="C123" s="3292"/>
      <c r="D123" s="3298" t="str">
        <f ca="1">NUMBERSTRING(INT(D122*10000),2)&amp;"元整"</f>
        <v>玖拾伍万柒仟捌佰肆拾柒元整</v>
      </c>
      <c r="E123" s="3300"/>
      <c r="F123" s="3300"/>
      <c r="G123" s="3300"/>
      <c r="H123" s="3300"/>
      <c r="I123" s="3299"/>
      <c r="AA123" s="684"/>
    </row>
    <row r="124" spans="1:27" ht="18.75" customHeight="1">
      <c r="A124" s="3304" t="str">
        <f>IF(项目基本情况!B9="房地产市场价值","",MID(E109,3,LEN(E109)-2))</f>
        <v/>
      </c>
      <c r="B124" s="3304"/>
      <c r="C124" s="3304"/>
      <c r="D124" s="3293" t="str">
        <f>H109</f>
        <v>——</v>
      </c>
      <c r="E124" s="3294"/>
      <c r="F124" s="3294"/>
      <c r="G124" s="3294"/>
      <c r="H124" s="3294"/>
      <c r="I124" s="3295"/>
      <c r="AA124" s="684"/>
    </row>
    <row r="125" spans="1:27" ht="18.75" customHeight="1">
      <c r="A125" s="3292" t="s">
        <v>1452</v>
      </c>
      <c r="B125" s="3292"/>
      <c r="C125" s="3292"/>
      <c r="D125" s="3298" t="e">
        <f>NUMBERSTRING(INT(D124*10000),2)&amp;"元整"</f>
        <v>#VALUE!</v>
      </c>
      <c r="E125" s="3300"/>
      <c r="F125" s="3300"/>
      <c r="G125" s="3300"/>
      <c r="H125" s="3300"/>
      <c r="I125" s="3299"/>
      <c r="AA125" s="684"/>
    </row>
    <row r="126" spans="1:27" ht="18.75" customHeight="1">
      <c r="A126" s="3304" t="str">
        <f>IF(项目基本情况!B9="房地产市场价值","",MID(E111,3,LEN(E111)-2))</f>
        <v>抵押净值</v>
      </c>
      <c r="B126" s="3304"/>
      <c r="C126" s="3304"/>
      <c r="D126" s="3293">
        <f ca="1">H111</f>
        <v>95.403499999999994</v>
      </c>
      <c r="E126" s="3294"/>
      <c r="F126" s="3294"/>
      <c r="G126" s="3294"/>
      <c r="H126" s="3294"/>
      <c r="I126" s="3295"/>
      <c r="AA126" s="684"/>
    </row>
    <row r="127" spans="1:27" ht="18.75" customHeight="1">
      <c r="A127" s="3292" t="s">
        <v>1452</v>
      </c>
      <c r="B127" s="3292"/>
      <c r="C127" s="3292"/>
      <c r="D127" s="3298" t="str">
        <f ca="1">NUMBERSTRING(INT(D126*10000),2)&amp;"元整"</f>
        <v>玖拾伍万肆仟零叁拾伍元整</v>
      </c>
      <c r="E127" s="3300"/>
      <c r="F127" s="3300"/>
      <c r="G127" s="3300"/>
      <c r="H127" s="3300"/>
      <c r="I127" s="3299"/>
      <c r="AA127" s="684"/>
    </row>
    <row r="128" spans="1:27" ht="21.75" customHeight="1">
      <c r="A128" s="3301" t="s">
        <v>1453</v>
      </c>
      <c r="B128" s="3301"/>
      <c r="C128" s="3301"/>
      <c r="D128" s="3301"/>
      <c r="E128" s="3301"/>
      <c r="F128" s="3301"/>
      <c r="G128" s="3301"/>
      <c r="H128" s="3301"/>
      <c r="I128" s="330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D7">
    <cfRule type="cellIs" dxfId="160" priority="6" stopIfTrue="1" operator="equal">
      <formula>25</formula>
    </cfRule>
  </conditionalFormatting>
  <conditionalFormatting sqref="C8:D13">
    <cfRule type="cellIs" dxfId="159" priority="5" stopIfTrue="1" operator="equal">
      <formula>15</formula>
    </cfRule>
  </conditionalFormatting>
  <conditionalFormatting sqref="C14:D16">
    <cfRule type="cellIs" dxfId="158" priority="4" stopIfTrue="1" operator="equal">
      <formula>30</formula>
    </cfRule>
  </conditionalFormatting>
  <conditionalFormatting sqref="E36">
    <cfRule type="expression" dxfId="157" priority="1" stopIfTrue="1">
      <formula>$D$36="同一抵押权人同一抵押物续贷"</formula>
    </cfRule>
  </conditionalFormatting>
  <dataValidations count="23">
    <dataValidation type="list" allowBlank="1" showInputMessage="1" showErrorMessage="1" sqref="D92" xr:uid="{7836F144-51AB-4706-8A63-98E973A5DC91}">
      <formula1>"0,5%,10%"</formula1>
    </dataValidation>
    <dataValidation type="list" allowBlank="1" showInputMessage="1" showErrorMessage="1" sqref="H59" xr:uid="{9D83A916-1AF0-4539-9D6F-1E3805DF973C}">
      <formula1>"非个人房产,个人住宅（满五唯一有凭证）,个人其他（有凭证）,个人其他（无凭证）"</formula1>
    </dataValidation>
    <dataValidation type="list" allowBlank="1" showInputMessage="1" showErrorMessage="1" sqref="E103" xr:uid="{D0FAE20F-4686-4B60-83BE-D0247BE16219}">
      <formula1>"2.估价师知悉的法定优先受偿款,2.估价师知悉的除抵押担保权以外的法定优先受偿款"</formula1>
    </dataValidation>
    <dataValidation type="list" allowBlank="1" showInputMessage="1" showErrorMessage="1" sqref="G77" xr:uid="{68DF9364-0197-4C55-A3E6-52FFE92EABF0}">
      <formula1>"个人住宅,2016年5月1日前购买,2016年5月1日后购买"</formula1>
    </dataValidation>
    <dataValidation type="list" allowBlank="1" showInputMessage="1" showErrorMessage="1" sqref="C1" xr:uid="{BDA1CC18-A21B-4CD4-AF71-E543783FB25C}">
      <formula1>项目类型</formula1>
    </dataValidation>
    <dataValidation type="list" allowBlank="1" showInputMessage="1" showErrorMessage="1" sqref="I1" xr:uid="{1151907F-2994-4BA5-BDE2-312FED7C501D}">
      <formula1>"项目局部,项目全部,——"</formula1>
    </dataValidation>
    <dataValidation type="list" showInputMessage="1" showErrorMessage="1" sqref="G1" xr:uid="{B144DDEF-2290-4B41-B04D-8701B02A87C1}">
      <formula1>"现房,在建,土地,-"</formula1>
    </dataValidation>
    <dataValidation type="list" allowBlank="1" showInputMessage="1" showErrorMessage="1" sqref="C129" xr:uid="{424855CF-BEAE-4A2D-ABB5-AEAC26A5829B}">
      <formula1>"无,有"</formula1>
    </dataValidation>
    <dataValidation type="list" allowBlank="1" showInputMessage="1" showErrorMessage="1" sqref="F116:G116" xr:uid="{D7553A6C-3D85-4707-A5EC-C39DD3F39CE1}">
      <formula1>"建筑物价值,在建建筑物价值,建筑物/在建建筑物价值"</formula1>
    </dataValidation>
    <dataValidation type="list" allowBlank="1" showInputMessage="1" showErrorMessage="1" sqref="D116:E116" xr:uid="{5A86E4EF-EDE4-46F6-9DEE-FB7A5DE8A78E}">
      <formula1>"出让国有建设用地使用权价值,划拨国有建设用地使用权价值"</formula1>
    </dataValidation>
    <dataValidation type="list" allowBlank="1" showInputMessage="1" showErrorMessage="1" sqref="C116:C117" xr:uid="{F254860B-ADBA-4A98-8E44-1FCB6B21950F}">
      <formula1>"土地面积,分摊土地面积,（分摊）土地面积"</formula1>
    </dataValidation>
    <dataValidation type="list" allowBlank="1" showInputMessage="1" showErrorMessage="1" sqref="B116:B117" xr:uid="{6393C1B0-8B4E-4105-BDA6-28F24A164F60}">
      <formula1>"建筑面积,规划建筑面积,（规划）建筑面积"</formula1>
    </dataValidation>
    <dataValidation type="list" allowBlank="1" showInputMessage="1" showErrorMessage="1" sqref="D36" xr:uid="{D28ADAE8-6243-47F4-AC0F-BB551A820DD6}">
      <formula1>"同一抵押权人同一抵押物续贷,注销后放款,正常操作"</formula1>
    </dataValidation>
    <dataValidation type="list" allowBlank="1" showInputMessage="1" showErrorMessage="1" sqref="F75" xr:uid="{279AC4C6-F5C8-4974-B162-37C255899CBA}">
      <formula1>"买卖合同,购房发票"</formula1>
    </dataValidation>
    <dataValidation type="list" allowBlank="1" showInputMessage="1" showErrorMessage="1" sqref="H88" xr:uid="{66F6C993-A515-479D-BD51-2965139587AB}">
      <formula1>"仅含出让金,出让金+开发费"</formula1>
    </dataValidation>
    <dataValidation type="list" allowBlank="1" showInputMessage="1" showErrorMessage="1" sqref="H91" xr:uid="{E5584358-2A9C-4DBC-9D01-1B11024F8006}">
      <formula1>"企业提供（在右侧录入）,——"</formula1>
    </dataValidation>
    <dataValidation type="list" allowBlank="1" showInputMessage="1" showErrorMessage="1" sqref="C33" xr:uid="{A68ABAAD-D189-46E2-A4B4-4A788597627E}">
      <formula1>"成本比率,收益比率,自定义"</formula1>
    </dataValidation>
    <dataValidation type="list" allowBlank="1" showInputMessage="1" showErrorMessage="1" sqref="F45" xr:uid="{C162FCFC-4AC4-4A55-92B6-1E0329AFF75D}">
      <formula1>"100%,70%,56%"</formula1>
    </dataValidation>
    <dataValidation type="list" allowBlank="1" showInputMessage="1" showErrorMessage="1" sqref="D32" xr:uid="{EA82A7A8-A5C8-4F31-82DD-F7F7A7494AD4}">
      <formula1>"总价,楼面单价"</formula1>
    </dataValidation>
    <dataValidation type="list" allowBlank="1" showInputMessage="1" showErrorMessage="1" sqref="H58" xr:uid="{47962CB7-A632-47E8-A96B-0C6DB0A1AC26}">
      <formula1>"转让取得,自行开发建设"</formula1>
    </dataValidation>
    <dataValidation type="list" allowBlank="1" showInputMessage="1" showErrorMessage="1" sqref="H48" xr:uid="{C6B6D5F2-3793-47BA-A62B-DC7B836A1008}">
      <formula1>"情况1,情况2,情况3,情况4"</formula1>
    </dataValidation>
    <dataValidation type="list" allowBlank="1" showInputMessage="1" showErrorMessage="1" sqref="H55:H56" xr:uid="{D6194571-1EAA-4DD7-AE89-433DFBA8177E}">
      <formula1>"个人住宅,正常"</formula1>
    </dataValidation>
    <dataValidation type="list" allowBlank="1" showInputMessage="1" showErrorMessage="1" sqref="C4:D4 D33" xr:uid="{600AA15A-2E99-441E-973E-72CC0C7F6979}">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81A59-CC13-4C78-A527-29CEF1A24DA5}">
  <sheetPr>
    <tabColor rgb="FFFF0000"/>
  </sheetPr>
  <dimension ref="A1:AJ512"/>
  <sheetViews>
    <sheetView view="pageBreakPreview" topLeftCell="A52" zoomScale="70" zoomScaleNormal="100" zoomScaleSheetLayoutView="70" zoomScalePageLayoutView="80" workbookViewId="0">
      <selection activeCell="C75" sqref="C7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1001</v>
      </c>
      <c r="D1" s="646"/>
      <c r="E1" s="646"/>
      <c r="F1" s="1621" t="s">
        <v>1263</v>
      </c>
      <c r="G1" s="1453"/>
      <c r="H1" s="1621" t="str">
        <f>IF(G1="现房","——","估价对象范围")</f>
        <v>估价对象范围</v>
      </c>
      <c r="I1" s="1622"/>
    </row>
    <row r="2" spans="1:12" ht="21.75" customHeight="1" thickBot="1">
      <c r="A2" s="3344" t="str">
        <f>项目基本情况!S2</f>
        <v>北京市房山区辰光东路16号院5号楼10层1001等共计9套房地产</v>
      </c>
      <c r="B2" s="3345"/>
      <c r="C2" s="3345"/>
      <c r="D2" s="3345"/>
      <c r="E2" s="3345"/>
      <c r="F2" s="3345"/>
      <c r="G2" s="3345"/>
      <c r="H2" s="3345"/>
      <c r="I2" s="3346"/>
    </row>
    <row r="3" spans="1:12" ht="13.2">
      <c r="A3" s="3348" t="s">
        <v>1264</v>
      </c>
      <c r="B3" s="3349"/>
      <c r="C3" s="3349"/>
      <c r="D3" s="3349"/>
      <c r="E3" s="3349"/>
      <c r="F3" s="3349"/>
      <c r="G3" s="3349"/>
      <c r="H3" s="3349"/>
      <c r="I3" s="3349"/>
    </row>
    <row r="4" spans="1:12" ht="14.4">
      <c r="A4" s="1624" t="s">
        <v>1265</v>
      </c>
      <c r="B4" s="1625" t="s">
        <v>1266</v>
      </c>
      <c r="C4" s="1626" t="s">
        <v>3456</v>
      </c>
      <c r="D4" s="1626" t="s">
        <v>3454</v>
      </c>
      <c r="E4" s="3353" t="s">
        <v>1267</v>
      </c>
      <c r="F4" s="3354"/>
      <c r="G4" s="3354"/>
      <c r="H4" s="3354"/>
      <c r="I4" s="3355"/>
      <c r="K4" s="138" t="str">
        <f>IF(ISNUMBER(FIND("比较法",结果表1006!C4)),"比较法",IF(ISNUMBER(FIND("成本法",结果表1006!C4)),"成本法",IF(ISNUMBER(FIND("假设开发法",结果表1006!C4)),"假设开发法",IF(ISNUMBER(FIND("收益法",结果表1006!C4)),"收益法","基准地价系数修正法"))))</f>
        <v>比较法</v>
      </c>
      <c r="L4" s="138" t="str">
        <f>IF(ISNUMBER(FIND("比较法",结果表1006!D4)),"比较法",IF(ISNUMBER(FIND("成本法",结果表1006!D4)),"成本法",IF(ISNUMBER(FIND("假设开发法",结果表1006!D4)),"假设开发法",IF(ISNUMBER(FIND("收益法",结果表1006!D4)),"收益法","基准地价系数修正法"))))</f>
        <v>收益法</v>
      </c>
    </row>
    <row r="5" spans="1:12" ht="13.2">
      <c r="A5" s="3292" t="s">
        <v>1268</v>
      </c>
      <c r="B5" s="3347">
        <v>25</v>
      </c>
      <c r="C5" s="3350"/>
      <c r="D5" s="3338"/>
      <c r="E5" s="123" t="s">
        <v>1269</v>
      </c>
      <c r="F5" s="1627"/>
      <c r="G5" s="1627"/>
      <c r="H5" s="1627"/>
      <c r="I5" s="1281"/>
    </row>
    <row r="6" spans="1:12" ht="13.2">
      <c r="A6" s="3292"/>
      <c r="B6" s="3347"/>
      <c r="C6" s="3352"/>
      <c r="D6" s="3338"/>
      <c r="E6" s="123" t="s">
        <v>1270</v>
      </c>
      <c r="F6" s="1627"/>
      <c r="G6" s="1627"/>
      <c r="H6" s="1627"/>
      <c r="I6" s="1281"/>
    </row>
    <row r="7" spans="1:12" ht="13.2">
      <c r="A7" s="3292"/>
      <c r="B7" s="3347"/>
      <c r="C7" s="3351"/>
      <c r="D7" s="3338"/>
      <c r="E7" s="123" t="s">
        <v>1271</v>
      </c>
      <c r="F7" s="1627"/>
      <c r="G7" s="1627"/>
      <c r="H7" s="1627"/>
      <c r="I7" s="1281"/>
    </row>
    <row r="8" spans="1:12" ht="13.2">
      <c r="A8" s="3292" t="s">
        <v>1272</v>
      </c>
      <c r="B8" s="3347">
        <v>15</v>
      </c>
      <c r="C8" s="3350"/>
      <c r="D8" s="3338"/>
      <c r="E8" s="123" t="s">
        <v>1273</v>
      </c>
      <c r="F8" s="1627"/>
      <c r="G8" s="1627"/>
      <c r="H8" s="1627"/>
      <c r="I8" s="1281"/>
    </row>
    <row r="9" spans="1:12" ht="13.2">
      <c r="A9" s="3292"/>
      <c r="B9" s="3347"/>
      <c r="C9" s="3351"/>
      <c r="D9" s="3338"/>
      <c r="E9" s="123" t="s">
        <v>1274</v>
      </c>
      <c r="F9" s="1627"/>
      <c r="G9" s="1627"/>
      <c r="H9" s="1627"/>
      <c r="I9" s="1281"/>
    </row>
    <row r="10" spans="1:12" ht="13.2">
      <c r="A10" s="3292" t="s">
        <v>1275</v>
      </c>
      <c r="B10" s="3347">
        <v>15</v>
      </c>
      <c r="C10" s="3350"/>
      <c r="D10" s="3338"/>
      <c r="E10" s="123" t="s">
        <v>1276</v>
      </c>
      <c r="F10" s="1627"/>
      <c r="G10" s="1627"/>
      <c r="H10" s="1627"/>
      <c r="I10" s="1281"/>
    </row>
    <row r="11" spans="1:12" ht="13.2">
      <c r="A11" s="3292"/>
      <c r="B11" s="3347"/>
      <c r="C11" s="3351"/>
      <c r="D11" s="3338"/>
      <c r="E11" s="123" t="s">
        <v>1277</v>
      </c>
      <c r="F11" s="1627"/>
      <c r="G11" s="1627"/>
      <c r="H11" s="1627"/>
      <c r="I11" s="1281"/>
    </row>
    <row r="12" spans="1:12" ht="13.2">
      <c r="A12" s="3292" t="s">
        <v>1278</v>
      </c>
      <c r="B12" s="3347">
        <v>15</v>
      </c>
      <c r="C12" s="3350"/>
      <c r="D12" s="3338"/>
      <c r="E12" s="123" t="s">
        <v>1279</v>
      </c>
      <c r="F12" s="1627"/>
      <c r="G12" s="1627"/>
      <c r="H12" s="1627"/>
      <c r="I12" s="1281"/>
    </row>
    <row r="13" spans="1:12" ht="13.2">
      <c r="A13" s="3292"/>
      <c r="B13" s="3347"/>
      <c r="C13" s="3351"/>
      <c r="D13" s="3338"/>
      <c r="E13" s="123" t="s">
        <v>1280</v>
      </c>
      <c r="F13" s="1627"/>
      <c r="G13" s="1627"/>
      <c r="H13" s="1627"/>
      <c r="I13" s="1281"/>
    </row>
    <row r="14" spans="1:12" ht="13.2">
      <c r="A14" s="3292" t="s">
        <v>1281</v>
      </c>
      <c r="B14" s="3347">
        <v>30</v>
      </c>
      <c r="C14" s="3350">
        <v>6</v>
      </c>
      <c r="D14" s="3338">
        <v>4</v>
      </c>
      <c r="E14" s="123" t="s">
        <v>1282</v>
      </c>
      <c r="F14" s="1627"/>
      <c r="G14" s="1627"/>
      <c r="H14" s="1627"/>
      <c r="I14" s="1281"/>
    </row>
    <row r="15" spans="1:12" ht="13.2">
      <c r="A15" s="3292"/>
      <c r="B15" s="3347"/>
      <c r="C15" s="3352"/>
      <c r="D15" s="3338"/>
      <c r="E15" s="123" t="s">
        <v>1283</v>
      </c>
      <c r="F15" s="1627"/>
      <c r="G15" s="1627"/>
      <c r="H15" s="1627"/>
      <c r="I15" s="1281"/>
    </row>
    <row r="16" spans="1:12" ht="13.2">
      <c r="A16" s="3292"/>
      <c r="B16" s="3347"/>
      <c r="C16" s="3351"/>
      <c r="D16" s="3338"/>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69" t="s">
        <v>2129</v>
      </c>
      <c r="F18" s="3370"/>
      <c r="G18" s="3370"/>
      <c r="H18" s="3370"/>
      <c r="I18" s="3370"/>
      <c r="K18" s="294" t="s">
        <v>1289</v>
      </c>
      <c r="L18" s="294">
        <f>IF(C1="",'数据-汇总表'!E3,SUMIF(项目类型,C1,'数据-汇总表'!E17:E26)+SUMIF(项目类型,C1,'数据-汇总表'!I17:I26))</f>
        <v>94.78</v>
      </c>
      <c r="M18" s="294">
        <f>IF(C1="",'数据-汇总表'!E3,SUMIF(项目类型,C1,'数据-汇总表'!E17:E26))</f>
        <v>94.78</v>
      </c>
    </row>
    <row r="19" spans="1:36" ht="14.4">
      <c r="A19" s="1630" t="s">
        <v>1290</v>
      </c>
      <c r="B19" s="1631" t="s">
        <v>1291</v>
      </c>
      <c r="C19" s="126">
        <f ca="1">SUMIF(INDIRECT("'"&amp;C4&amp;"'"&amp;"!A:A"),结果表1006!B19,INDIRECT("'"&amp;C4&amp;"'"&amp;"!B:B"))</f>
        <v>111.84990000000001</v>
      </c>
      <c r="D19" s="127">
        <f ca="1">SUMIF(INDIRECT("'"&amp;D4&amp;"'"&amp;"!A:A"),结果表1006!B19,INDIRECT("'"&amp;D4&amp;"'"&amp;"!B:B"))</f>
        <v>71.690899999999999</v>
      </c>
      <c r="E19" s="1630" t="s">
        <v>1292</v>
      </c>
      <c r="F19" s="1631" t="s">
        <v>1291</v>
      </c>
      <c r="G19" s="128">
        <f ca="1">ROUND(C19*$C$18+D19*$D$18,0)</f>
        <v>96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SUMIF(INDIRECT("'"&amp;C4&amp;"'"&amp;"!A:A"),结果表1006!B20,INDIRECT("'"&amp;C4&amp;"'"&amp;"!B:B"))</f>
        <v>11801</v>
      </c>
      <c r="D20" s="130">
        <f ca="1">SUMIF(INDIRECT("'"&amp;D4&amp;"'"&amp;"!A:A"),结果表1006!B20,INDIRECT("'"&amp;D4&amp;"'"&amp;"!B:B"))</f>
        <v>7564</v>
      </c>
      <c r="E20" s="1633"/>
      <c r="F20" s="43" t="s">
        <v>1295</v>
      </c>
      <c r="G20" s="131">
        <f ca="1">ROUND(C20*$C$18+D20*$D$18,0)</f>
        <v>10106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0.56016872434297804</v>
      </c>
      <c r="E22" s="121"/>
      <c r="F22" s="121"/>
      <c r="G22" s="121"/>
      <c r="H22" s="121"/>
      <c r="I22" s="121"/>
    </row>
    <row r="23" spans="1:36" ht="13.8" thickBot="1">
      <c r="A23" s="646"/>
      <c r="B23" s="646"/>
      <c r="C23" s="646"/>
      <c r="D23" s="646"/>
      <c r="E23" s="121"/>
      <c r="F23" s="121"/>
      <c r="G23" s="121"/>
      <c r="H23" s="121"/>
      <c r="I23" s="121"/>
    </row>
    <row r="24" spans="1:36" ht="14.4">
      <c r="A24" s="3362" t="s">
        <v>1299</v>
      </c>
      <c r="B24" s="1631" t="s">
        <v>1291</v>
      </c>
      <c r="C24" s="128">
        <f>IF(B30=0,0,D30)</f>
        <v>0</v>
      </c>
      <c r="D24" s="1637"/>
      <c r="E24" s="121"/>
      <c r="F24" s="121"/>
      <c r="G24" s="121"/>
      <c r="H24" s="121"/>
      <c r="I24" s="121"/>
    </row>
    <row r="25" spans="1:36" ht="14.4">
      <c r="A25" s="33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10106</v>
      </c>
      <c r="D32" s="1641" t="s">
        <v>3517</v>
      </c>
      <c r="E32" s="121"/>
      <c r="F32" s="121"/>
      <c r="G32" s="121"/>
      <c r="H32" s="121"/>
      <c r="I32" s="121"/>
    </row>
    <row r="33" spans="1:15" ht="14.4">
      <c r="A33" s="740" t="s">
        <v>1306</v>
      </c>
      <c r="B33" s="123"/>
      <c r="C33" s="1642" t="s">
        <v>3518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39" t="s">
        <v>1312</v>
      </c>
      <c r="B36" s="1652" t="s">
        <v>1313</v>
      </c>
      <c r="C36" s="137"/>
      <c r="D36" s="1653"/>
      <c r="E36" s="1567"/>
      <c r="F36" s="1654"/>
      <c r="G36" s="121"/>
      <c r="H36" s="121"/>
      <c r="I36" s="121"/>
    </row>
    <row r="37" spans="1:15" ht="15" thickBot="1">
      <c r="A37" s="3340"/>
      <c r="B37" s="1555" t="s">
        <v>1314</v>
      </c>
      <c r="C37" s="139"/>
      <c r="D37" s="1071"/>
      <c r="E37" s="1071"/>
      <c r="F37" s="1654"/>
      <c r="G37" s="121"/>
      <c r="H37" s="121"/>
      <c r="I37" s="121"/>
    </row>
    <row r="38" spans="1:15" ht="15" thickBot="1">
      <c r="A38" s="3341"/>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9" t="s">
        <v>1326</v>
      </c>
      <c r="B45" s="3360"/>
      <c r="C45" s="3361"/>
      <c r="D45" s="3179">
        <f ca="1">典型户型修正!S28</f>
        <v>134.3492</v>
      </c>
      <c r="E45" s="148" t="s">
        <v>1327</v>
      </c>
      <c r="F45" s="149">
        <v>1</v>
      </c>
      <c r="G45" s="150" t="s">
        <v>1328</v>
      </c>
      <c r="H45" s="121"/>
      <c r="I45" s="121"/>
      <c r="J45" s="3279" t="s">
        <v>1329</v>
      </c>
      <c r="K45" s="3279"/>
      <c r="L45" s="3279"/>
      <c r="M45" s="3279"/>
      <c r="N45" s="3279"/>
      <c r="O45" s="3279"/>
    </row>
    <row r="46" spans="1:15" ht="14.25" customHeight="1">
      <c r="A46" s="3356" t="s">
        <v>1330</v>
      </c>
      <c r="B46" s="3357"/>
      <c r="C46" s="3357"/>
      <c r="D46" s="3357"/>
      <c r="E46" s="3357"/>
      <c r="F46" s="3357"/>
      <c r="G46" s="3358"/>
      <c r="H46" s="1668"/>
      <c r="I46" s="151"/>
      <c r="J46" s="2309">
        <v>1</v>
      </c>
      <c r="K46" s="3280" t="s">
        <v>1331</v>
      </c>
      <c r="L46" s="3280"/>
      <c r="M46" s="3281"/>
      <c r="N46" s="3281"/>
      <c r="O46" s="3281"/>
    </row>
    <row r="47" spans="1:15" ht="12" customHeight="1">
      <c r="A47" s="152" t="s">
        <v>1332</v>
      </c>
      <c r="B47" s="153"/>
      <c r="C47" s="154"/>
      <c r="D47" s="1024" t="s">
        <v>1333</v>
      </c>
      <c r="E47" s="294" t="s">
        <v>1334</v>
      </c>
      <c r="F47" s="155" t="s">
        <v>1335</v>
      </c>
      <c r="G47" s="2332" t="s">
        <v>1336</v>
      </c>
      <c r="H47" s="2333"/>
      <c r="I47" s="151"/>
      <c r="J47" s="2309">
        <v>2</v>
      </c>
      <c r="K47" s="3280" t="s">
        <v>1337</v>
      </c>
      <c r="L47" s="3280"/>
      <c r="M47" s="3282">
        <f>'数据-取费表'!B2</f>
        <v>45828</v>
      </c>
      <c r="N47" s="3282"/>
      <c r="O47" s="3282"/>
    </row>
    <row r="48" spans="1:15" ht="39.6">
      <c r="A48" s="3342" t="s">
        <v>1338</v>
      </c>
      <c r="B48" s="3343"/>
      <c r="C48" s="3343"/>
      <c r="D48" s="12">
        <f ca="1">IF(H48="情况1",0,IF(H48="情况2",D52,IF(H48="情况3",D53,IF(H48="情况4",D54))))</f>
        <v>0</v>
      </c>
      <c r="E48" s="1256" t="str">
        <f>IF(H48="情况4","(销售额-原购置价)×税（费）率","销售额×税（费）率")</f>
        <v>(销售额-原购置价)×税（费）率</v>
      </c>
      <c r="F48" s="2334">
        <f>IF(H48="情况1","免征",'数据-取费表'!B41)</f>
        <v>5.6000000000000001E-2</v>
      </c>
      <c r="G48" s="2335" t="s">
        <v>1339</v>
      </c>
      <c r="H48" s="2336" t="s">
        <v>3538</v>
      </c>
      <c r="I48" s="1668"/>
      <c r="J48" s="2309">
        <v>3</v>
      </c>
      <c r="K48" s="3280" t="s">
        <v>1340</v>
      </c>
      <c r="L48" s="3280"/>
      <c r="M48" s="3283">
        <f ca="1">D45</f>
        <v>134.3492</v>
      </c>
      <c r="N48" s="3283"/>
      <c r="O48" s="3283"/>
    </row>
    <row r="49" spans="1:35" ht="25.5" customHeight="1">
      <c r="A49" s="2152" t="s">
        <v>1341</v>
      </c>
      <c r="B49" s="3328" t="s">
        <v>1342</v>
      </c>
      <c r="C49" s="3328"/>
      <c r="D49" s="1478">
        <v>0</v>
      </c>
      <c r="E49" s="316" t="s">
        <v>1343</v>
      </c>
      <c r="F49" s="2232" t="s">
        <v>28</v>
      </c>
      <c r="G49" s="3311"/>
      <c r="H49" s="2134" t="s">
        <v>2132</v>
      </c>
      <c r="I49" s="2135"/>
      <c r="J49" s="2309">
        <v>4</v>
      </c>
      <c r="K49" s="3280" t="str">
        <f>IF(项目基本情况!E8="房地产抵押价值","房地产抵押价值","抵押担保权已注销时的房地产抵押价值")</f>
        <v>房地产抵押价值</v>
      </c>
      <c r="L49" s="3280"/>
      <c r="M49" s="3283">
        <f ca="1">M48</f>
        <v>134.3492</v>
      </c>
      <c r="N49" s="3283"/>
      <c r="O49" s="3283"/>
    </row>
    <row r="50" spans="1:35" ht="25.5" customHeight="1">
      <c r="A50" s="2337"/>
      <c r="B50" s="3328" t="s">
        <v>1344</v>
      </c>
      <c r="C50" s="3328"/>
      <c r="D50" s="2189"/>
      <c r="E50" s="323"/>
      <c r="F50" s="2232"/>
      <c r="G50" s="3312"/>
      <c r="H50" s="2136" t="s">
        <v>2133</v>
      </c>
      <c r="I50" s="2135"/>
      <c r="J50" s="3279" t="s">
        <v>1345</v>
      </c>
      <c r="K50" s="3279"/>
      <c r="L50" s="3279"/>
      <c r="M50" s="3279"/>
      <c r="N50" s="3279"/>
      <c r="O50" s="3279"/>
    </row>
    <row r="51" spans="1:35" ht="20.399999999999999" customHeight="1">
      <c r="A51" s="2338"/>
      <c r="B51" s="3328" t="s">
        <v>1346</v>
      </c>
      <c r="C51" s="3328"/>
      <c r="D51" s="1024"/>
      <c r="E51" s="319"/>
      <c r="F51" s="2232"/>
      <c r="G51" s="3313"/>
      <c r="H51" s="2136" t="s">
        <v>2134</v>
      </c>
      <c r="I51" s="2135"/>
      <c r="J51" s="2310" t="s">
        <v>1347</v>
      </c>
      <c r="K51" s="3280" t="s">
        <v>1348</v>
      </c>
      <c r="L51" s="3280"/>
      <c r="M51" s="2310" t="s">
        <v>1349</v>
      </c>
      <c r="N51" s="2310" t="s">
        <v>1350</v>
      </c>
      <c r="O51" s="2310" t="s">
        <v>1351</v>
      </c>
    </row>
    <row r="52" spans="1:35" ht="24" customHeight="1">
      <c r="A52" s="2153" t="s">
        <v>1352</v>
      </c>
      <c r="B52" s="3328" t="s">
        <v>1353</v>
      </c>
      <c r="C52" s="3328"/>
      <c r="D52" s="1024">
        <f ca="1">ROUND(D45*'数据-取费表'!B41/(1+'数据-取费表'!C42),0)</f>
        <v>7</v>
      </c>
      <c r="E52" s="1256" t="s">
        <v>1354</v>
      </c>
      <c r="F52" s="2339">
        <f>'数据-取费表'!B41</f>
        <v>5.6000000000000001E-2</v>
      </c>
      <c r="G52" s="2340"/>
      <c r="H52" s="2330"/>
      <c r="I52" s="1669"/>
      <c r="J52" s="2309">
        <v>1</v>
      </c>
      <c r="K52" s="3305" t="s">
        <v>1355</v>
      </c>
      <c r="L52" s="3305"/>
      <c r="M52" s="2311">
        <f ca="1">D48</f>
        <v>0</v>
      </c>
      <c r="N52" s="2309" t="str">
        <f>E48</f>
        <v>(销售额-原购置价)×税（费）率</v>
      </c>
      <c r="O52" s="2312">
        <f>F48</f>
        <v>5.6000000000000001E-2</v>
      </c>
    </row>
    <row r="53" spans="1:35" ht="12" customHeight="1">
      <c r="A53" s="2153" t="s">
        <v>1356</v>
      </c>
      <c r="B53" s="3329" t="s">
        <v>2289</v>
      </c>
      <c r="C53" s="3330"/>
      <c r="D53" s="1024">
        <f ca="1">ROUND(D45*'数据-取费表'!B41/(1+'数据-取费表'!C42),0)</f>
        <v>7</v>
      </c>
      <c r="E53" s="1256" t="s">
        <v>1354</v>
      </c>
      <c r="F53" s="2339">
        <f>'数据-取费表'!B41</f>
        <v>5.6000000000000001E-2</v>
      </c>
      <c r="G53" s="2340"/>
      <c r="H53" s="2330"/>
      <c r="I53" s="1669"/>
      <c r="J53" s="2309">
        <v>2</v>
      </c>
      <c r="K53" s="3305" t="s">
        <v>1357</v>
      </c>
      <c r="L53" s="3305"/>
      <c r="M53" s="2311">
        <f t="shared" ref="M53:O54" ca="1" si="0">D55</f>
        <v>6.7199999999999996E-2</v>
      </c>
      <c r="N53" s="2309" t="str">
        <f t="shared" si="0"/>
        <v>销售额×税（费）率</v>
      </c>
      <c r="O53" s="2312">
        <f t="shared" si="0"/>
        <v>5.0000000000000001E-4</v>
      </c>
    </row>
    <row r="54" spans="1:35" ht="12" customHeight="1">
      <c r="A54" s="2153" t="s">
        <v>1358</v>
      </c>
      <c r="B54" s="3329" t="s">
        <v>2290</v>
      </c>
      <c r="C54" s="3330"/>
      <c r="D54" s="1024">
        <f ca="1">C68</f>
        <v>0</v>
      </c>
      <c r="E54" s="319" t="s">
        <v>1359</v>
      </c>
      <c r="F54" s="2339">
        <f>'数据-取费表'!B41</f>
        <v>5.6000000000000001E-2</v>
      </c>
      <c r="G54" s="2340"/>
      <c r="H54" s="2341"/>
      <c r="I54" s="1669"/>
      <c r="J54" s="2309">
        <v>3</v>
      </c>
      <c r="K54" s="3305" t="s">
        <v>1360</v>
      </c>
      <c r="L54" s="3305"/>
      <c r="M54" s="2311">
        <f t="shared" ca="1" si="0"/>
        <v>0</v>
      </c>
      <c r="N54" s="2309" t="str">
        <f t="shared" si="0"/>
        <v>增值额×税（费）率</v>
      </c>
      <c r="O54" s="2313" t="str">
        <f t="shared" si="0"/>
        <v>——</v>
      </c>
    </row>
    <row r="55" spans="1:35" ht="24" customHeight="1">
      <c r="A55" s="3365" t="s">
        <v>1361</v>
      </c>
      <c r="B55" s="3343"/>
      <c r="C55" s="3343"/>
      <c r="D55" s="1504">
        <f ca="1">IF(H55="个人住宅",0,ROUND(D45*I55,4))</f>
        <v>6.7199999999999996E-2</v>
      </c>
      <c r="E55" s="1256" t="s">
        <v>1362</v>
      </c>
      <c r="F55" s="2339">
        <f>IF(H55="正常",I55,"免征")</f>
        <v>5.0000000000000001E-4</v>
      </c>
      <c r="G55" s="2340"/>
      <c r="H55" s="2336" t="s">
        <v>3465</v>
      </c>
      <c r="I55" s="157">
        <f>'数据-取费表'!B49</f>
        <v>5.0000000000000001E-4</v>
      </c>
      <c r="J55" s="2309" t="str">
        <f>IF(H59="非个人房产","",4)</f>
        <v/>
      </c>
      <c r="K55" s="3305" t="str">
        <f>IF(H59="非个人房产","——","个人所得税")</f>
        <v>——</v>
      </c>
      <c r="L55" s="3305"/>
      <c r="M55" s="2314" t="str">
        <f>D59</f>
        <v>——</v>
      </c>
      <c r="N55" s="1883" t="str">
        <f>E59</f>
        <v>——</v>
      </c>
      <c r="O55" s="2315" t="str">
        <f>F59</f>
        <v>——</v>
      </c>
    </row>
    <row r="56" spans="1:35" ht="25.2">
      <c r="A56" s="3365" t="s">
        <v>1363</v>
      </c>
      <c r="B56" s="3343"/>
      <c r="C56" s="3343"/>
      <c r="D56" s="12">
        <f ca="1">IF(H56="个人住宅",D57,D58)</f>
        <v>0</v>
      </c>
      <c r="E56" s="1256" t="s">
        <v>1364</v>
      </c>
      <c r="F56" s="2339" t="str">
        <f>IF(H56="正常",F58,"免征")</f>
        <v>——</v>
      </c>
      <c r="G56" s="2342" t="s">
        <v>1365</v>
      </c>
      <c r="H56" s="2343" t="s">
        <v>3465</v>
      </c>
      <c r="I56" s="1670"/>
      <c r="J56" s="2309" t="str">
        <f>IF(项目基本情况!K6="上海银行",IF(J55="",4,J55+1),"")</f>
        <v/>
      </c>
      <c r="K56" s="3286" t="str">
        <f>IF(项目基本情况!K6="上海银行","其他处置费用","")</f>
        <v/>
      </c>
      <c r="L56" s="3287"/>
      <c r="M56" s="2311" t="str">
        <f>IF(项目基本情况!K6="上海银行",M69,"")</f>
        <v/>
      </c>
      <c r="N56" s="3286" t="str">
        <f>IF(项目基本情况!K6="上海银行","包含处置中涉及的律师、诉讼、拍卖、评估等费用","")</f>
        <v/>
      </c>
      <c r="O56" s="3289"/>
    </row>
    <row r="57" spans="1:35" ht="13.2">
      <c r="A57" s="2153" t="s">
        <v>1341</v>
      </c>
      <c r="B57" s="3329" t="s">
        <v>1366</v>
      </c>
      <c r="C57" s="3330"/>
      <c r="D57" s="1478">
        <v>0</v>
      </c>
      <c r="E57" s="316" t="s">
        <v>1343</v>
      </c>
      <c r="F57" s="294"/>
      <c r="G57" s="2340"/>
      <c r="H57" s="2344"/>
      <c r="I57" s="1670"/>
      <c r="J57" s="3305">
        <f>IF(AND(J55="",J56=""),4,IF(项目基本情况!K6="上海银行",结果表1006!J56+1,结果表1006!J55+1))</f>
        <v>4</v>
      </c>
      <c r="K57" s="3305" t="s">
        <v>1367</v>
      </c>
      <c r="L57" s="2316" t="s">
        <v>1368</v>
      </c>
      <c r="M57" s="2317"/>
      <c r="N57" s="2318">
        <f ca="1">SUMIF(M52:M56,"&lt;9e307")</f>
        <v>6.7199999999999996E-2</v>
      </c>
      <c r="O57" s="2319"/>
      <c r="P57" s="2460">
        <f ca="1">N57/M49</f>
        <v>5.001890595552486E-4</v>
      </c>
    </row>
    <row r="58" spans="1:35" ht="25.2">
      <c r="A58" s="2153" t="s">
        <v>1352</v>
      </c>
      <c r="B58" s="3329" t="s">
        <v>1369</v>
      </c>
      <c r="C58" s="3328"/>
      <c r="D58" s="12">
        <f ca="1">IF(H58="转让取得",C81,C97)</f>
        <v>0</v>
      </c>
      <c r="E58" s="1256" t="s">
        <v>1364</v>
      </c>
      <c r="F58" s="294" t="s">
        <v>28</v>
      </c>
      <c r="G58" s="2340"/>
      <c r="H58" s="2343" t="s">
        <v>3539</v>
      </c>
      <c r="I58" s="1670"/>
      <c r="J58" s="3305"/>
      <c r="K58" s="3305"/>
      <c r="L58" s="2316" t="s">
        <v>1370</v>
      </c>
      <c r="M58" s="2320"/>
      <c r="N58" s="2321" t="str">
        <f ca="1">NUMBERSTRING(INT(N57*10000),2)&amp;"元整"</f>
        <v>陆佰柒拾贰元整</v>
      </c>
      <c r="O58" s="2322"/>
    </row>
    <row r="59" spans="1:35" ht="24.6" thickBot="1">
      <c r="A59" s="3309" t="s">
        <v>1371</v>
      </c>
      <c r="B59" s="3310"/>
      <c r="C59" s="3310"/>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3540</v>
      </c>
      <c r="I59" s="2137" t="s">
        <v>2135</v>
      </c>
      <c r="J59" s="3307">
        <f>J57+1</f>
        <v>5</v>
      </c>
      <c r="K59" s="3305" t="s">
        <v>1372</v>
      </c>
      <c r="L59" s="2309" t="s">
        <v>1368</v>
      </c>
      <c r="M59" s="2323"/>
      <c r="N59" s="2324">
        <f ca="1">M49-N57</f>
        <v>134.28199999999998</v>
      </c>
      <c r="O59" s="2325"/>
    </row>
    <row r="60" spans="1:35" ht="12" customHeight="1">
      <c r="A60" s="1671"/>
      <c r="B60" s="646"/>
      <c r="C60" s="646"/>
      <c r="D60" s="646"/>
      <c r="E60" s="1466"/>
      <c r="F60" s="1670"/>
      <c r="G60" s="1670"/>
      <c r="H60" s="151"/>
      <c r="I60" s="121"/>
      <c r="J60" s="3308"/>
      <c r="K60" s="3305"/>
      <c r="L60" s="2316" t="s">
        <v>1370</v>
      </c>
      <c r="M60" s="2320"/>
      <c r="N60" s="2321" t="str">
        <f ca="1">NUMBERSTRING(INT(N59*10000),2)&amp;"元整"</f>
        <v>壹佰叁拾肆万贰仟捌佰贰拾元整</v>
      </c>
      <c r="O60" s="2322"/>
    </row>
    <row r="61" spans="1:35" ht="13.8" thickBot="1">
      <c r="A61" s="3364" t="s">
        <v>1373</v>
      </c>
      <c r="B61" s="3364"/>
      <c r="C61" s="3364"/>
      <c r="D61" s="3364"/>
      <c r="E61" s="3364"/>
      <c r="F61" s="1670"/>
      <c r="G61" s="1670"/>
      <c r="H61" s="151"/>
      <c r="I61" s="121"/>
      <c r="J61" s="2309">
        <f>J59+1</f>
        <v>6</v>
      </c>
      <c r="K61" s="3305" t="s">
        <v>1374</v>
      </c>
      <c r="L61" s="3305"/>
      <c r="M61" s="2326"/>
      <c r="N61" s="3188">
        <f ca="1">ROUND(N59*10000/'数据-基础表'!G17,0)</f>
        <v>10101</v>
      </c>
      <c r="O61" s="2328"/>
    </row>
    <row r="62" spans="1:35" ht="13.2">
      <c r="A62" s="3324" t="s">
        <v>1375</v>
      </c>
      <c r="B62" s="3325"/>
      <c r="C62" s="1865"/>
      <c r="D62" s="1865" t="s">
        <v>1376</v>
      </c>
      <c r="E62" s="158" t="s">
        <v>1377</v>
      </c>
      <c r="F62" s="1670"/>
      <c r="G62" s="1670"/>
      <c r="H62" s="151"/>
      <c r="I62" s="121"/>
    </row>
    <row r="63" spans="1:35" ht="13.2">
      <c r="A63" s="165" t="s">
        <v>330</v>
      </c>
      <c r="B63" s="159" t="s">
        <v>1378</v>
      </c>
      <c r="C63" s="3181">
        <f ca="1">ROUND((C64+C65)/(1+'数据-取费表'!C42),4)</f>
        <v>127.9516</v>
      </c>
      <c r="D63" s="159"/>
      <c r="E63" s="160"/>
      <c r="F63" s="1670"/>
      <c r="G63" s="1670"/>
      <c r="H63" s="151"/>
      <c r="I63" s="121"/>
      <c r="J63" s="3288" t="s">
        <v>1379</v>
      </c>
      <c r="K63" s="1245" t="s">
        <v>1380</v>
      </c>
      <c r="L63" s="1245">
        <f ca="1">IF(M49&gt;10000,M49*0.5%,IF(AND(M49&gt;1000,M49&lt;=10000),M49*1%,IF(AND(M49&gt;100,M49&lt;=1000),M49*3%,IF(AND(M49&gt;10,M49&lt;=100),M49*5%,M49*8%))))</f>
        <v>4.0304760000000002</v>
      </c>
      <c r="M63" s="294">
        <f ca="1">ROUND(L63,1)</f>
        <v>4</v>
      </c>
      <c r="N63" s="2329"/>
      <c r="Z63" s="1623"/>
      <c r="AI63" s="1561"/>
    </row>
    <row r="64" spans="1:35" ht="14.25" customHeight="1">
      <c r="A64" s="161" t="s">
        <v>325</v>
      </c>
      <c r="B64" s="162" t="s">
        <v>1381</v>
      </c>
      <c r="C64" s="3182">
        <f ca="1">D45</f>
        <v>134.3492</v>
      </c>
      <c r="D64" s="162" t="s">
        <v>26</v>
      </c>
      <c r="E64" s="164"/>
      <c r="F64" s="1670"/>
      <c r="G64" s="1670"/>
      <c r="H64" s="151"/>
      <c r="I64" s="121"/>
      <c r="J64" s="3288"/>
      <c r="K64" s="1245" t="s">
        <v>1382</v>
      </c>
      <c r="L64" s="1245">
        <f ca="1">IF(M49&gt;2000,M49*0.5%,IF(AND(M49&gt;1000,M49&lt;=2000),M49*0.6%,IF(AND(M49&gt;500,M49&lt;=1000),M49*0.7%,IF(AND(M49&gt;200,M49&lt;=500),M49*0.8%,IF(AND(M49&gt;100,M49&lt;=200),M49*0.9%,IF(AND(M49&gt;50,M49&lt;=100),M49*1%,IF(AND(M49&gt;20,M49&lt;=50),M49*1.5%,IF(AND(M49&gt;10,M49&lt;=20),M49*2%,IF(AND(M49&gt;1,M49&lt;=10),M49*2.5%)))))))))</f>
        <v>1.2091428000000002</v>
      </c>
      <c r="M64" s="294">
        <f t="shared" ref="M64:M65" ca="1" si="1">ROUND(L64,1)</f>
        <v>1.2</v>
      </c>
      <c r="N64" s="2330" t="s">
        <v>1383</v>
      </c>
      <c r="Z64" s="1623"/>
      <c r="AI64" s="1561"/>
    </row>
    <row r="65" spans="1:35" ht="14.25" customHeight="1">
      <c r="A65" s="161" t="s">
        <v>326</v>
      </c>
      <c r="B65" s="162" t="s">
        <v>1384</v>
      </c>
      <c r="C65" s="2349"/>
      <c r="D65" s="162"/>
      <c r="E65" s="164"/>
      <c r="F65" s="1670"/>
      <c r="G65" s="1670"/>
      <c r="H65" s="151"/>
      <c r="I65" s="121"/>
      <c r="J65" s="3288"/>
      <c r="K65" s="1245" t="s">
        <v>1385</v>
      </c>
      <c r="L65" s="1245">
        <f ca="1">IF(M49&gt;1000,M49*0.1%,IF(AND(M49&gt;500,M49&lt;=1000),M49*0.5%,IF(AND(M49&gt;50,M49&lt;=500),M49*1%,IF(AND(M49&gt;1,M49&lt;=50),M49*1.5%))))</f>
        <v>1.3434919999999999</v>
      </c>
      <c r="M65" s="294">
        <f t="shared" ca="1" si="1"/>
        <v>1.3</v>
      </c>
      <c r="N65" s="2330" t="s">
        <v>1383</v>
      </c>
      <c r="Z65" s="1623"/>
      <c r="AI65" s="1561"/>
    </row>
    <row r="66" spans="1:35" ht="14.25" customHeight="1">
      <c r="A66" s="165" t="s">
        <v>327</v>
      </c>
      <c r="B66" s="166" t="s">
        <v>1386</v>
      </c>
      <c r="C66" s="2350">
        <f>C75/1.05</f>
        <v>139.27047619047619</v>
      </c>
      <c r="D66" s="166" t="s">
        <v>26</v>
      </c>
      <c r="E66" s="1251" t="s">
        <v>671</v>
      </c>
      <c r="F66" s="1670"/>
      <c r="G66" s="1670"/>
      <c r="H66" s="151"/>
      <c r="I66" s="121"/>
      <c r="J66" s="3288"/>
      <c r="K66" s="1245" t="s">
        <v>1387</v>
      </c>
      <c r="L66" s="1245">
        <f ca="1">M49*0.5%</f>
        <v>0.67174599999999995</v>
      </c>
      <c r="M66" s="294">
        <f ca="1">IF(L66&gt;0.5,0.5,ROUND(L66,0))</f>
        <v>0.5</v>
      </c>
      <c r="N66" s="2330" t="s">
        <v>1388</v>
      </c>
      <c r="Z66" s="1623"/>
      <c r="AI66" s="1561"/>
    </row>
    <row r="67" spans="1:35" ht="14.25" customHeight="1">
      <c r="A67" s="165" t="s">
        <v>328</v>
      </c>
      <c r="B67" s="166" t="s">
        <v>1389</v>
      </c>
      <c r="C67" s="2351">
        <f ca="1">C63-C66</f>
        <v>-11.318876190476189</v>
      </c>
      <c r="D67" s="162" t="s">
        <v>26</v>
      </c>
      <c r="E67" s="164"/>
      <c r="F67" s="1670"/>
      <c r="G67" s="1670"/>
      <c r="H67" s="151"/>
      <c r="I67" s="121"/>
      <c r="J67" s="3288"/>
      <c r="K67" s="1245" t="s">
        <v>1390</v>
      </c>
      <c r="L67" s="1245">
        <f ca="1">IF(M49&gt;=10000,(8.25+(M49-10000)*0.01%),IF(AND(M49&gt;=8000,M49&lt;10000),(7.85+(M49-8000)*0.02%),IF(AND(M49&gt;=5000,M49&lt;8000),(6.65+(M49-5000)*0.04%),IF(AND(M49&gt;=2000,M49&lt;5000),(4.25+(PM49-2000)*0.08%),IF(AND(M49&gt;=1000,M49&lt;2000),(2.75+(M49-1000)*0.15%),IF(AND(M49&gt;=100,M49&lt;1000),(0.5+(M49-100)*0.25%),IF(AND(M49&gt;0,M49&lt;100),M49*0.5%)))))))</f>
        <v>0.58587299999999998</v>
      </c>
      <c r="M67" s="294">
        <f ca="1">ROUND(L67*0.9,1)</f>
        <v>0.5</v>
      </c>
      <c r="N67" s="2329"/>
      <c r="Z67" s="1623"/>
      <c r="AI67" s="1561"/>
    </row>
    <row r="68" spans="1:35" ht="14.25" customHeight="1" thickBot="1">
      <c r="A68" s="168" t="s">
        <v>329</v>
      </c>
      <c r="B68" s="169" t="s">
        <v>1391</v>
      </c>
      <c r="C68" s="3180">
        <f ca="1">IF(C67&lt;=0,0,ROUND(C67*D68,4))</f>
        <v>0</v>
      </c>
      <c r="D68" s="2352">
        <f>'数据-取费表'!B41</f>
        <v>5.6000000000000001E-2</v>
      </c>
      <c r="E68" s="170"/>
      <c r="F68" s="1670"/>
      <c r="G68" s="1670"/>
      <c r="H68" s="151"/>
      <c r="I68" s="121"/>
      <c r="J68" s="3288"/>
      <c r="K68" s="1245" t="s">
        <v>1392</v>
      </c>
      <c r="L68" s="1245">
        <f ca="1">IF(M49&gt;10000,M49*0.5%,IF(AND(M49&gt;5000,M49&lt;=10000),M49*1%,IF(AND(M49&gt;1000,M49&lt;=5000),M49*2%,IF(AND(M49&gt;200,M49&lt;=1000),M49*3%,M49*5%))))</f>
        <v>6.71746</v>
      </c>
      <c r="M68" s="294">
        <f ca="1">ROUND(L68,1)</f>
        <v>6.7</v>
      </c>
      <c r="N68" s="2329"/>
      <c r="Z68" s="1623"/>
      <c r="AI68" s="1561"/>
    </row>
    <row r="69" spans="1:35" ht="16.5" customHeight="1">
      <c r="A69" s="1672"/>
      <c r="B69" s="1673"/>
      <c r="C69" s="1674"/>
      <c r="D69" s="1675"/>
      <c r="E69" s="1676"/>
      <c r="F69" s="1466"/>
      <c r="G69" s="1466"/>
      <c r="H69" s="1467"/>
      <c r="I69" s="646"/>
      <c r="J69" s="3288"/>
      <c r="K69" s="1245" t="s">
        <v>1393</v>
      </c>
      <c r="L69" s="1245"/>
      <c r="M69" s="294">
        <f ca="1">ROUND(SUM(M63:M68),0)</f>
        <v>14</v>
      </c>
      <c r="N69" s="2331">
        <f ca="1">M69/M49</f>
        <v>0.10420605407401012</v>
      </c>
      <c r="Z69" s="1623"/>
      <c r="AI69" s="1561"/>
    </row>
    <row r="70" spans="1:35" s="642" customFormat="1" ht="14.4" thickBot="1">
      <c r="A70" s="3332" t="s">
        <v>1394</v>
      </c>
      <c r="B70" s="3333"/>
      <c r="C70" s="3333"/>
      <c r="D70" s="3333"/>
      <c r="E70" s="3333"/>
      <c r="F70" s="3333"/>
      <c r="G70" s="3333"/>
      <c r="H70" s="333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4" t="s">
        <v>1375</v>
      </c>
      <c r="B71" s="332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3183">
        <f ca="1">ROUND(D45/(1+'数据-取费表'!C42),4)</f>
        <v>127.9516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3183">
        <f ca="1">C74+C78</f>
        <v>166.221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3085">
        <f>ROUND(IF(G77="2016年5月1日后购买",C75/(1+'数据-取费表'!C42)+C76+C77,C75+C76+C77),4)</f>
        <v>165.45330000000001</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3184">
        <f>面积信息!K6</f>
        <v>146.23400000000001</v>
      </c>
      <c r="D75" s="162" t="s">
        <v>26</v>
      </c>
      <c r="E75" s="176" t="s">
        <v>1399</v>
      </c>
      <c r="F75" s="2354" t="s">
        <v>3541</v>
      </c>
      <c r="G75" s="176" t="s">
        <v>1400</v>
      </c>
      <c r="H75" s="2355">
        <f>2025-2022</f>
        <v>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085">
        <f>IF(F75="购房发票",ROUND(C75*H75*D76,4),0)</f>
        <v>21.935099999999998</v>
      </c>
      <c r="D76" s="2356">
        <v>0.05</v>
      </c>
      <c r="E76" s="3329" t="s">
        <v>1402</v>
      </c>
      <c r="F76" s="3328"/>
      <c r="G76" s="3328"/>
      <c r="H76" s="333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085">
        <f>ROUND(IF(G77="个人住宅",0,IF(G77="2016年5月1日前购买",C75*D77,C75*D77/(1+'数据-取费表'!C42))),4)</f>
        <v>4.2477</v>
      </c>
      <c r="D77" s="2357">
        <f>'数据-取费表'!B48+'数据-取费表'!B49</f>
        <v>3.0499999999999999E-2</v>
      </c>
      <c r="E77" s="12" t="s">
        <v>1404</v>
      </c>
      <c r="F77" s="178"/>
      <c r="G77" s="1682" t="s">
        <v>3542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185">
        <f ca="1">ROUND(D45*D78/(1+'数据-取费表'!C42),4)</f>
        <v>0.76770000000000005</v>
      </c>
      <c r="D78" s="2359">
        <f>'数据-取费表'!B43</f>
        <v>6.000000000000001E-3</v>
      </c>
      <c r="E78" s="3321" t="s">
        <v>1406</v>
      </c>
      <c r="F78" s="3322"/>
      <c r="G78" s="3322"/>
      <c r="H78" s="332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1">
        <f ca="1">C72-C73</f>
        <v>-38.269400000000005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3186">
        <f ca="1">ROUND(IF(C79&lt;=0,0,IF(C80&gt;=200%,C79*60%-C73*35%,IF(C80&gt;=100%,C79*50%-C73*15%,IF(C80&gt;=50%,C79*40%-C73*5%,IF(C80&lt;50%,C79*30%,0))))),4)</f>
        <v>0</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2" t="s">
        <v>1410</v>
      </c>
      <c r="B83" s="3333"/>
      <c r="C83" s="3333"/>
      <c r="D83" s="3333"/>
      <c r="E83" s="3333"/>
      <c r="F83" s="3333"/>
      <c r="G83" s="3333"/>
      <c r="H83" s="333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4" t="s">
        <v>1375</v>
      </c>
      <c r="B84" s="332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128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1</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8">
        <f>C88+C89</f>
        <v>0</v>
      </c>
      <c r="D87" s="2359"/>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4"/>
      <c r="D88" s="2359"/>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8">
        <f>ROUND(C88*D89,0)</f>
        <v>0</v>
      </c>
      <c r="D89" s="2359">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4"/>
      <c r="D90" s="2359"/>
      <c r="E90" s="185" t="str">
        <f>IF(H88="-","土地取得成本中已包含该笔费用"," ")</f>
        <v xml:space="preserve"> </v>
      </c>
      <c r="F90" s="2148"/>
      <c r="G90" s="3290" t="s">
        <v>2127</v>
      </c>
      <c r="H90" s="3291"/>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321" t="s">
        <v>1419</v>
      </c>
      <c r="F91" s="3322"/>
      <c r="G91" s="332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321" t="s">
        <v>1422</v>
      </c>
      <c r="F92" s="3322"/>
      <c r="G92" s="3322"/>
      <c r="H92" s="3323"/>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1</v>
      </c>
      <c r="D93" s="2359">
        <f>'数据-取费表'!B43</f>
        <v>6.000000000000001E-3</v>
      </c>
      <c r="E93" s="3321" t="s">
        <v>1406</v>
      </c>
      <c r="F93" s="3322"/>
      <c r="G93" s="3322"/>
      <c r="H93" s="332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366" t="s">
        <v>1426</v>
      </c>
      <c r="F94" s="3367"/>
      <c r="G94" s="3367"/>
      <c r="H94" s="336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1">
        <f ca="1">ROUND(C85-C86,0)</f>
        <v>127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f ca="1">IF(C95&lt;=0,0,C95/C86)</f>
        <v>127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1">
        <f ca="1">ROUND(IF(C95&lt;=0,0,IF(C96&gt;=200%,C95*60%-C86*35%,IF(C96&gt;=100%,C95*50%-C86*15%,IF(C96&gt;=50%,C95*40%-C86*5%,IF(C96&lt;50%,C95*30%,0))))),0)</f>
        <v>76</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1" t="s">
        <v>1428</v>
      </c>
      <c r="B100" s="3272"/>
      <c r="C100" s="3272"/>
      <c r="D100" s="3306"/>
      <c r="E100" s="3272" t="s">
        <v>1429</v>
      </c>
      <c r="F100" s="3272"/>
      <c r="G100" s="3272"/>
      <c r="H100" s="3306"/>
      <c r="I100" s="121"/>
    </row>
    <row r="101" spans="1:35" ht="18.75" customHeight="1">
      <c r="A101" s="3314" t="s">
        <v>1430</v>
      </c>
      <c r="B101" s="3315"/>
      <c r="C101" s="2367" t="str">
        <f>C4</f>
        <v>比较法-办公</v>
      </c>
      <c r="D101" s="2368" t="str">
        <f>D4</f>
        <v>收益法 (元)</v>
      </c>
      <c r="E101" s="3284" t="s">
        <v>1431</v>
      </c>
      <c r="F101" s="3285"/>
      <c r="G101" s="1687" t="s">
        <v>1432</v>
      </c>
      <c r="H101" s="2377">
        <f ca="1">H118</f>
        <v>95.784700000000001</v>
      </c>
      <c r="I101" s="121"/>
    </row>
    <row r="102" spans="1:35" ht="18.75" customHeight="1">
      <c r="A102" s="3316" t="s">
        <v>1433</v>
      </c>
      <c r="B102" s="2366" t="s">
        <v>1432</v>
      </c>
      <c r="C102" s="2367">
        <f ca="1">IF(D32="楼面单价",ROUND(C19,0),C19)</f>
        <v>112</v>
      </c>
      <c r="D102" s="2368">
        <f ca="1">IF(D32="楼面单价",ROUND(D19,0),D19)</f>
        <v>72</v>
      </c>
      <c r="E102" s="3284"/>
      <c r="F102" s="3285"/>
      <c r="G102" s="1687" t="s">
        <v>1434</v>
      </c>
      <c r="H102" s="2340">
        <f ca="1">I118</f>
        <v>10106</v>
      </c>
      <c r="I102" s="121"/>
    </row>
    <row r="103" spans="1:35" ht="42.75" customHeight="1">
      <c r="A103" s="3316"/>
      <c r="B103" s="2366" t="s">
        <v>1434</v>
      </c>
      <c r="C103" s="2369">
        <f ca="1">C20</f>
        <v>11801</v>
      </c>
      <c r="D103" s="2370">
        <f ca="1">D20</f>
        <v>7564</v>
      </c>
      <c r="E103" s="3277" t="s">
        <v>1435</v>
      </c>
      <c r="F103" s="3278"/>
      <c r="G103" s="1688" t="s">
        <v>1436</v>
      </c>
      <c r="H103" s="2377">
        <f>IF(D36="正常操作",H104+H105+H106,H105+H106)</f>
        <v>0</v>
      </c>
      <c r="I103" s="121"/>
    </row>
    <row r="104" spans="1:35" ht="18.75" customHeight="1">
      <c r="A104" s="3316" t="s">
        <v>1437</v>
      </c>
      <c r="B104" s="2371" t="s">
        <v>1432</v>
      </c>
      <c r="C104" s="2372">
        <f ca="1">H118</f>
        <v>95.784700000000001</v>
      </c>
      <c r="D104" s="2373"/>
      <c r="E104" s="1555" t="s">
        <v>1438</v>
      </c>
      <c r="F104" s="1548"/>
      <c r="G104" s="1688" t="s">
        <v>1436</v>
      </c>
      <c r="H104" s="2378">
        <f>IF(D36="同一抵押权人同一抵押物续贷",C36&amp;"（续贷，未扣减，详见特别提示）",C36)</f>
        <v>0</v>
      </c>
      <c r="I104" s="121"/>
    </row>
    <row r="105" spans="1:35" ht="18.75" customHeight="1" thickBot="1">
      <c r="A105" s="3326"/>
      <c r="B105" s="2374" t="s">
        <v>1434</v>
      </c>
      <c r="C105" s="2375">
        <f ca="1">I118</f>
        <v>10106</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317" t="str">
        <f>IF(项目基本情况!E8="已注销","——","3.房地产抵押价值")</f>
        <v>3.房地产抵押价值</v>
      </c>
      <c r="F107" s="3285"/>
      <c r="G107" s="1687" t="s">
        <v>1432</v>
      </c>
      <c r="H107" s="2377">
        <f ca="1">IF(E107="——","——",H101-H103)</f>
        <v>95.784700000000001</v>
      </c>
      <c r="I107" s="121"/>
    </row>
    <row r="108" spans="1:35" ht="18.75" customHeight="1">
      <c r="A108" s="121"/>
      <c r="B108" s="121"/>
      <c r="C108" s="121"/>
      <c r="D108" s="121"/>
      <c r="E108" s="3317"/>
      <c r="F108" s="3285"/>
      <c r="G108" s="1687" t="s">
        <v>1434</v>
      </c>
      <c r="H108" s="2340">
        <f ca="1">IF(H107=H101,H102,ROUND(H107*10000/'数据-汇总表'!E3,0))</f>
        <v>10106</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285"/>
      <c r="G109" s="1687" t="s">
        <v>1432</v>
      </c>
      <c r="H109" s="2380" t="str">
        <f>IF(E109="——","——",H101-H105-H106)</f>
        <v>——</v>
      </c>
      <c r="I109" s="121"/>
    </row>
    <row r="110" spans="1:35" ht="18.75" customHeight="1">
      <c r="A110" s="121"/>
      <c r="B110" s="121"/>
      <c r="C110" s="121"/>
      <c r="D110" s="121"/>
      <c r="E110" s="3317"/>
      <c r="F110" s="3285"/>
      <c r="G110" s="1687" t="s">
        <v>1434</v>
      </c>
      <c r="H110" s="2340" t="str">
        <f>IF(H109="——","——",ROUND(H109*10000/'数据-汇总表'!E3,0))</f>
        <v>——</v>
      </c>
      <c r="I110" s="121"/>
    </row>
    <row r="111" spans="1:35" ht="18.75" customHeight="1">
      <c r="A111" s="121"/>
      <c r="B111" s="121"/>
      <c r="C111" s="121"/>
      <c r="D111" s="121"/>
      <c r="E111" s="3318" t="str">
        <f>IF(项目基本情况!E9="抵押净值",IF(OR(项目基本情况!E8="已注销",项目基本情况!E8="房地产抵押价值"),"4.抵押净值","5.抵押净值"),"——")</f>
        <v>4.抵押净值</v>
      </c>
      <c r="F111" s="3304"/>
      <c r="G111" s="1687" t="s">
        <v>1432</v>
      </c>
      <c r="H111" s="2377">
        <f ca="1">IF(E111="——","——",N59)</f>
        <v>134.28199999999998</v>
      </c>
      <c r="I111" s="121"/>
    </row>
    <row r="112" spans="1:35" ht="18.75" customHeight="1" thickBot="1">
      <c r="A112" s="121"/>
      <c r="B112" s="121"/>
      <c r="C112" s="121"/>
      <c r="D112" s="121"/>
      <c r="E112" s="3319"/>
      <c r="F112" s="3320"/>
      <c r="G112" s="1690" t="s">
        <v>1434</v>
      </c>
      <c r="H112" s="2381">
        <f ca="1">IF(E111="——","——",N61)</f>
        <v>10101</v>
      </c>
      <c r="I112" s="121"/>
    </row>
    <row r="113" spans="1:27" ht="18.75" customHeight="1">
      <c r="A113" s="121"/>
      <c r="B113" s="121"/>
      <c r="C113" s="121"/>
      <c r="D113" s="121"/>
      <c r="E113" s="3327" t="s">
        <v>1440</v>
      </c>
      <c r="F113" s="3327"/>
      <c r="G113" s="3327"/>
      <c r="H113" s="3327"/>
      <c r="I113" s="121"/>
    </row>
    <row r="114" spans="1:27" ht="3.75" customHeight="1">
      <c r="A114" s="646"/>
      <c r="B114" s="646"/>
      <c r="C114" s="646"/>
      <c r="D114" s="646"/>
      <c r="E114" s="1671"/>
      <c r="F114" s="1671"/>
      <c r="G114" s="1671"/>
      <c r="H114" s="1671"/>
      <c r="I114" s="646"/>
    </row>
    <row r="115" spans="1:27" ht="18.75" customHeight="1">
      <c r="A115" s="3335" t="s">
        <v>1442</v>
      </c>
      <c r="B115" s="3336"/>
      <c r="C115" s="3336"/>
      <c r="D115" s="3336"/>
      <c r="E115" s="3336"/>
      <c r="F115" s="3336"/>
      <c r="G115" s="3336"/>
      <c r="H115" s="3336"/>
      <c r="I115" s="3337"/>
    </row>
    <row r="116" spans="1:27" ht="27" customHeight="1">
      <c r="A116" s="3292" t="s">
        <v>1443</v>
      </c>
      <c r="B116" s="3296" t="s">
        <v>1444</v>
      </c>
      <c r="C116" s="3296" t="s">
        <v>1445</v>
      </c>
      <c r="D116" s="3302" t="s">
        <v>1446</v>
      </c>
      <c r="E116" s="3303"/>
      <c r="F116" s="3334" t="s">
        <v>1447</v>
      </c>
      <c r="G116" s="3334"/>
      <c r="H116" s="3292" t="s">
        <v>1448</v>
      </c>
      <c r="I116" s="3292"/>
    </row>
    <row r="117" spans="1:27" ht="18.75" customHeight="1">
      <c r="A117" s="3292"/>
      <c r="B117" s="3297"/>
      <c r="C117" s="3297"/>
      <c r="D117" s="2150" t="s">
        <v>1449</v>
      </c>
      <c r="E117" s="2150" t="s">
        <v>1450</v>
      </c>
      <c r="F117" s="2150" t="s">
        <v>1449</v>
      </c>
      <c r="G117" s="2150" t="s">
        <v>1451</v>
      </c>
      <c r="H117" s="2150" t="s">
        <v>1449</v>
      </c>
      <c r="I117" s="2150" t="s">
        <v>1451</v>
      </c>
    </row>
    <row r="118" spans="1:27" ht="24.75" customHeight="1">
      <c r="A118" s="2382" t="str">
        <f>项目基本情况!S2</f>
        <v>北京市房山区辰光东路16号院5号楼10层1001等共计9套房地产</v>
      </c>
      <c r="B118" s="2150">
        <f>M18</f>
        <v>94.78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78">
        <f ca="1">ROUND(IF(D32="总价",C32,I118*B118/10000),4)</f>
        <v>95.784700000000001</v>
      </c>
      <c r="I118" s="2150">
        <f ca="1">ROUND(IF(D32="楼面单价",C32,H118*10000/B118),0)</f>
        <v>10106</v>
      </c>
    </row>
    <row r="119" spans="1:27" ht="18.75" customHeight="1">
      <c r="A119" s="3292" t="s">
        <v>1452</v>
      </c>
      <c r="B119" s="3292"/>
      <c r="C119" s="3292"/>
      <c r="D119" s="3298" t="str">
        <f>NUMBERSTRING(INT(D118*10000),2)&amp;"元整"</f>
        <v>零元整</v>
      </c>
      <c r="E119" s="3299"/>
      <c r="F119" s="3298" t="str">
        <f>NUMBERSTRING(INT(F118*10000),2)&amp;"元整"</f>
        <v>零元整</v>
      </c>
      <c r="G119" s="3299"/>
      <c r="H119" s="3298" t="str">
        <f ca="1">NUMBERSTRING(INT(H118*10000),2)&amp;"元整"</f>
        <v>玖拾伍万柒仟捌佰肆拾柒元整</v>
      </c>
      <c r="I119" s="3299"/>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8" t="s">
        <v>1452</v>
      </c>
      <c r="B121" s="3300"/>
      <c r="C121" s="3299"/>
      <c r="D121" s="3298" t="str">
        <f>IF(D120=0,"零元整",NUMBERSTRING(INT(D120*10000),2)&amp;"元整")</f>
        <v>零元整</v>
      </c>
      <c r="E121" s="3300"/>
      <c r="F121" s="3300"/>
      <c r="G121" s="3300"/>
      <c r="H121" s="3300"/>
      <c r="I121" s="3299"/>
      <c r="AA121" s="684"/>
    </row>
    <row r="122" spans="1:27" ht="18.75" customHeight="1">
      <c r="A122" s="3304" t="str">
        <f>IF(项目基本情况!B9="房地产市场价值","",MID(E107,3,LEN(E107)-2))</f>
        <v>房地产抵押价值</v>
      </c>
      <c r="B122" s="3304"/>
      <c r="C122" s="3304"/>
      <c r="D122" s="3293">
        <f ca="1">H107</f>
        <v>95.784700000000001</v>
      </c>
      <c r="E122" s="3294"/>
      <c r="F122" s="3294"/>
      <c r="G122" s="3294"/>
      <c r="H122" s="3294"/>
      <c r="I122" s="3295"/>
      <c r="AA122" s="684"/>
    </row>
    <row r="123" spans="1:27" ht="18.75" customHeight="1">
      <c r="A123" s="3292" t="s">
        <v>1452</v>
      </c>
      <c r="B123" s="3292"/>
      <c r="C123" s="3292"/>
      <c r="D123" s="3298" t="str">
        <f ca="1">NUMBERSTRING(INT(D122*10000),2)&amp;"元整"</f>
        <v>玖拾伍万柒仟捌佰肆拾柒元整</v>
      </c>
      <c r="E123" s="3300"/>
      <c r="F123" s="3300"/>
      <c r="G123" s="3300"/>
      <c r="H123" s="3300"/>
      <c r="I123" s="3299"/>
      <c r="AA123" s="684"/>
    </row>
    <row r="124" spans="1:27" ht="18.75" customHeight="1">
      <c r="A124" s="3304" t="str">
        <f>IF(项目基本情况!B9="房地产市场价值","",MID(E109,3,LEN(E109)-2))</f>
        <v/>
      </c>
      <c r="B124" s="3304"/>
      <c r="C124" s="3304"/>
      <c r="D124" s="3293" t="str">
        <f>H109</f>
        <v>——</v>
      </c>
      <c r="E124" s="3294"/>
      <c r="F124" s="3294"/>
      <c r="G124" s="3294"/>
      <c r="H124" s="3294"/>
      <c r="I124" s="3295"/>
      <c r="AA124" s="684"/>
    </row>
    <row r="125" spans="1:27" ht="18.75" customHeight="1">
      <c r="A125" s="3292" t="s">
        <v>1452</v>
      </c>
      <c r="B125" s="3292"/>
      <c r="C125" s="3292"/>
      <c r="D125" s="3298" t="e">
        <f>NUMBERSTRING(INT(D124*10000),2)&amp;"元整"</f>
        <v>#VALUE!</v>
      </c>
      <c r="E125" s="3300"/>
      <c r="F125" s="3300"/>
      <c r="G125" s="3300"/>
      <c r="H125" s="3300"/>
      <c r="I125" s="3299"/>
      <c r="AA125" s="684"/>
    </row>
    <row r="126" spans="1:27" ht="18.75" customHeight="1">
      <c r="A126" s="3304" t="str">
        <f>IF(项目基本情况!B9="房地产市场价值","",MID(E111,3,LEN(E111)-2))</f>
        <v>抵押净值</v>
      </c>
      <c r="B126" s="3304"/>
      <c r="C126" s="3304"/>
      <c r="D126" s="3293">
        <f ca="1">H111</f>
        <v>134.28199999999998</v>
      </c>
      <c r="E126" s="3294"/>
      <c r="F126" s="3294"/>
      <c r="G126" s="3294"/>
      <c r="H126" s="3294"/>
      <c r="I126" s="3295"/>
      <c r="AA126" s="684"/>
    </row>
    <row r="127" spans="1:27" ht="18.75" customHeight="1">
      <c r="A127" s="3292" t="s">
        <v>1452</v>
      </c>
      <c r="B127" s="3292"/>
      <c r="C127" s="3292"/>
      <c r="D127" s="3298" t="str">
        <f ca="1">NUMBERSTRING(INT(D126*10000),2)&amp;"元整"</f>
        <v>壹佰叁拾肆万贰仟捌佰贰拾元整</v>
      </c>
      <c r="E127" s="3300"/>
      <c r="F127" s="3300"/>
      <c r="G127" s="3300"/>
      <c r="H127" s="3300"/>
      <c r="I127" s="3299"/>
      <c r="AA127" s="684"/>
    </row>
    <row r="128" spans="1:27" ht="21.75" customHeight="1">
      <c r="A128" s="3301" t="s">
        <v>1453</v>
      </c>
      <c r="B128" s="3301"/>
      <c r="C128" s="3301"/>
      <c r="D128" s="3301"/>
      <c r="E128" s="3301"/>
      <c r="F128" s="3301"/>
      <c r="G128" s="3301"/>
      <c r="H128" s="3301"/>
      <c r="I128" s="330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6" stopIfTrue="1" operator="equal">
      <formula>25</formula>
    </cfRule>
  </conditionalFormatting>
  <conditionalFormatting sqref="C8:D13">
    <cfRule type="cellIs" dxfId="153" priority="5" stopIfTrue="1" operator="equal">
      <formula>15</formula>
    </cfRule>
  </conditionalFormatting>
  <conditionalFormatting sqref="C14:D16">
    <cfRule type="cellIs" dxfId="152" priority="4" stopIfTrue="1" operator="equal">
      <formula>30</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C4:D4 D33" xr:uid="{69ACF297-E1D4-4E29-831F-91882D3E7410}">
      <formula1>估价方法</formula1>
    </dataValidation>
    <dataValidation type="list" allowBlank="1" showInputMessage="1" showErrorMessage="1" sqref="H55:H56" xr:uid="{C9B5122C-387E-470B-BF92-8F475A6D4454}">
      <formula1>"个人住宅,正常"</formula1>
    </dataValidation>
    <dataValidation type="list" allowBlank="1" showInputMessage="1" showErrorMessage="1" sqref="H48" xr:uid="{721BC51A-63A1-4EEF-81E2-5F908FA6E3B3}">
      <formula1>"情况1,情况2,情况3,情况4"</formula1>
    </dataValidation>
    <dataValidation type="list" allowBlank="1" showInputMessage="1" showErrorMessage="1" sqref="H58" xr:uid="{3B2B6464-4F4B-4186-953F-205C1D662267}">
      <formula1>"转让取得,自行开发建设"</formula1>
    </dataValidation>
    <dataValidation type="list" allowBlank="1" showInputMessage="1" showErrorMessage="1" sqref="D32" xr:uid="{C9F86C54-6849-4FA5-98E9-EE853FB43189}">
      <formula1>"总价,楼面单价"</formula1>
    </dataValidation>
    <dataValidation type="list" allowBlank="1" showInputMessage="1" showErrorMessage="1" sqref="F45" xr:uid="{EB909F33-8430-4513-80AE-7C1D433AFB20}">
      <formula1>"100%,70%,56%"</formula1>
    </dataValidation>
    <dataValidation type="list" allowBlank="1" showInputMessage="1" showErrorMessage="1" sqref="C33" xr:uid="{513FBD16-BC10-4B86-800E-00B8F9884063}">
      <formula1>"成本比率,收益比率,自定义"</formula1>
    </dataValidation>
    <dataValidation type="list" allowBlank="1" showInputMessage="1" showErrorMessage="1" sqref="H91" xr:uid="{DCE949CE-1755-4634-81F2-BC1267E67FB7}">
      <formula1>"企业提供（在右侧录入）,——"</formula1>
    </dataValidation>
    <dataValidation type="list" allowBlank="1" showInputMessage="1" showErrorMessage="1" sqref="H88" xr:uid="{BA9008AB-5C20-4801-8ABA-34A05F502C3C}">
      <formula1>"仅含出让金,出让金+开发费"</formula1>
    </dataValidation>
    <dataValidation type="list" allowBlank="1" showInputMessage="1" showErrorMessage="1" sqref="F75" xr:uid="{B68C5CAD-A5D8-4BAC-A64C-19A3A188BC8E}">
      <formula1>"买卖合同,购房发票"</formula1>
    </dataValidation>
    <dataValidation type="list" allowBlank="1" showInputMessage="1" showErrorMessage="1" sqref="D36" xr:uid="{9F851672-C613-41C1-925F-DCB43702A400}">
      <formula1>"同一抵押权人同一抵押物续贷,注销后放款,正常操作"</formula1>
    </dataValidation>
    <dataValidation type="list" allowBlank="1" showInputMessage="1" showErrorMessage="1" sqref="B116:B117" xr:uid="{C5C7DAAE-AB2D-49BF-9247-98A8329F6E3E}">
      <formula1>"建筑面积,规划建筑面积,（规划）建筑面积"</formula1>
    </dataValidation>
    <dataValidation type="list" allowBlank="1" showInputMessage="1" showErrorMessage="1" sqref="C116:C117" xr:uid="{92E7456A-B857-494D-80DB-DC7A04C28832}">
      <formula1>"土地面积,分摊土地面积,（分摊）土地面积"</formula1>
    </dataValidation>
    <dataValidation type="list" allowBlank="1" showInputMessage="1" showErrorMessage="1" sqref="D116:E116" xr:uid="{4D5FB4B3-3C10-437A-8186-B94573005AFA}">
      <formula1>"出让国有建设用地使用权价值,划拨国有建设用地使用权价值"</formula1>
    </dataValidation>
    <dataValidation type="list" allowBlank="1" showInputMessage="1" showErrorMessage="1" sqref="F116:G116" xr:uid="{F142FA51-14C6-478E-9E4D-76D5D2557744}">
      <formula1>"建筑物价值,在建建筑物价值,建筑物/在建建筑物价值"</formula1>
    </dataValidation>
    <dataValidation type="list" allowBlank="1" showInputMessage="1" showErrorMessage="1" sqref="C129" xr:uid="{476E3E13-4DAC-4652-8A23-6EDC893B59B3}">
      <formula1>"无,有"</formula1>
    </dataValidation>
    <dataValidation type="list" showInputMessage="1" showErrorMessage="1" sqref="G1" xr:uid="{CEBA3903-38B1-47F6-9A05-6F28CAB2C356}">
      <formula1>"现房,在建,土地,-"</formula1>
    </dataValidation>
    <dataValidation type="list" allowBlank="1" showInputMessage="1" showErrorMessage="1" sqref="I1" xr:uid="{61B2CB02-56AA-4CFA-99AD-65BEFA55CC97}">
      <formula1>"项目局部,项目全部,——"</formula1>
    </dataValidation>
    <dataValidation type="list" allowBlank="1" showInputMessage="1" showErrorMessage="1" sqref="C1" xr:uid="{D075C796-EF1D-4F34-8210-0405B2F54AA0}">
      <formula1>项目类型</formula1>
    </dataValidation>
    <dataValidation type="list" allowBlank="1" showInputMessage="1" showErrorMessage="1" sqref="G77" xr:uid="{C33B2369-A030-4004-B5A2-C37D692A1BB8}">
      <formula1>"个人住宅,2016年5月1日前购买,2016年5月1日后购买"</formula1>
    </dataValidation>
    <dataValidation type="list" allowBlank="1" showInputMessage="1" showErrorMessage="1" sqref="E103" xr:uid="{15B27285-638E-462B-8C02-F79F50064C75}">
      <formula1>"2.估价师知悉的法定优先受偿款,2.估价师知悉的除抵押担保权以外的法定优先受偿款"</formula1>
    </dataValidation>
    <dataValidation type="list" allowBlank="1" showInputMessage="1" showErrorMessage="1" sqref="H59" xr:uid="{31794BF7-FE18-4889-87F2-6709CB9D6BA3}">
      <formula1>"非个人房产,个人住宅（满五唯一有凭证）,个人其他（有凭证）,个人其他（无凭证）"</formula1>
    </dataValidation>
    <dataValidation type="list" allowBlank="1" showInputMessage="1" showErrorMessage="1" sqref="D92" xr:uid="{06F5B03A-B6D4-4F15-A4DF-8A5C7B57F48D}">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C2AC7-53A4-4CF7-97DB-8246A0855FCD}">
  <sheetPr>
    <tabColor rgb="FFFF0000"/>
  </sheetPr>
  <dimension ref="A1:AJ512"/>
  <sheetViews>
    <sheetView view="pageBreakPreview" topLeftCell="A52" zoomScale="70" zoomScaleNormal="100" zoomScaleSheetLayoutView="70" zoomScalePageLayoutView="80" workbookViewId="0">
      <selection activeCell="C75" sqref="C7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1001</v>
      </c>
      <c r="D1" s="646"/>
      <c r="E1" s="646"/>
      <c r="F1" s="1621" t="s">
        <v>1263</v>
      </c>
      <c r="G1" s="1453"/>
      <c r="H1" s="1621" t="str">
        <f>IF(G1="现房","——","估价对象范围")</f>
        <v>估价对象范围</v>
      </c>
      <c r="I1" s="1622"/>
    </row>
    <row r="2" spans="1:12" ht="21.75" customHeight="1" thickBot="1">
      <c r="A2" s="3344" t="str">
        <f>项目基本情况!S2</f>
        <v>北京市房山区辰光东路16号院5号楼10层1001等共计9套房地产</v>
      </c>
      <c r="B2" s="3345"/>
      <c r="C2" s="3345"/>
      <c r="D2" s="3345"/>
      <c r="E2" s="3345"/>
      <c r="F2" s="3345"/>
      <c r="G2" s="3345"/>
      <c r="H2" s="3345"/>
      <c r="I2" s="3346"/>
    </row>
    <row r="3" spans="1:12" ht="13.2">
      <c r="A3" s="3348" t="s">
        <v>1264</v>
      </c>
      <c r="B3" s="3349"/>
      <c r="C3" s="3349"/>
      <c r="D3" s="3349"/>
      <c r="E3" s="3349"/>
      <c r="F3" s="3349"/>
      <c r="G3" s="3349"/>
      <c r="H3" s="3349"/>
      <c r="I3" s="3349"/>
    </row>
    <row r="4" spans="1:12" ht="14.4">
      <c r="A4" s="1624" t="s">
        <v>1265</v>
      </c>
      <c r="B4" s="1625" t="s">
        <v>1266</v>
      </c>
      <c r="C4" s="1626" t="s">
        <v>3456</v>
      </c>
      <c r="D4" s="1626" t="s">
        <v>3454</v>
      </c>
      <c r="E4" s="3353" t="s">
        <v>1267</v>
      </c>
      <c r="F4" s="3354"/>
      <c r="G4" s="3354"/>
      <c r="H4" s="3354"/>
      <c r="I4" s="3355"/>
      <c r="K4" s="138" t="str">
        <f>IF(ISNUMBER(FIND("比较法",结果表1007!C4)),"比较法",IF(ISNUMBER(FIND("成本法",结果表1007!C4)),"成本法",IF(ISNUMBER(FIND("假设开发法",结果表1007!C4)),"假设开发法",IF(ISNUMBER(FIND("收益法",结果表1007!C4)),"收益法","基准地价系数修正法"))))</f>
        <v>比较法</v>
      </c>
      <c r="L4" s="138" t="str">
        <f>IF(ISNUMBER(FIND("比较法",结果表1007!D4)),"比较法",IF(ISNUMBER(FIND("成本法",结果表1007!D4)),"成本法",IF(ISNUMBER(FIND("假设开发法",结果表1007!D4)),"假设开发法",IF(ISNUMBER(FIND("收益法",结果表1007!D4)),"收益法","基准地价系数修正法"))))</f>
        <v>收益法</v>
      </c>
    </row>
    <row r="5" spans="1:12" ht="13.2">
      <c r="A5" s="3292" t="s">
        <v>1268</v>
      </c>
      <c r="B5" s="3347">
        <v>25</v>
      </c>
      <c r="C5" s="3350"/>
      <c r="D5" s="3338"/>
      <c r="E5" s="123" t="s">
        <v>1269</v>
      </c>
      <c r="F5" s="1627"/>
      <c r="G5" s="1627"/>
      <c r="H5" s="1627"/>
      <c r="I5" s="1281"/>
    </row>
    <row r="6" spans="1:12" ht="13.2">
      <c r="A6" s="3292"/>
      <c r="B6" s="3347"/>
      <c r="C6" s="3352"/>
      <c r="D6" s="3338"/>
      <c r="E6" s="123" t="s">
        <v>1270</v>
      </c>
      <c r="F6" s="1627"/>
      <c r="G6" s="1627"/>
      <c r="H6" s="1627"/>
      <c r="I6" s="1281"/>
    </row>
    <row r="7" spans="1:12" ht="13.2">
      <c r="A7" s="3292"/>
      <c r="B7" s="3347"/>
      <c r="C7" s="3351"/>
      <c r="D7" s="3338"/>
      <c r="E7" s="123" t="s">
        <v>1271</v>
      </c>
      <c r="F7" s="1627"/>
      <c r="G7" s="1627"/>
      <c r="H7" s="1627"/>
      <c r="I7" s="1281"/>
    </row>
    <row r="8" spans="1:12" ht="13.2">
      <c r="A8" s="3292" t="s">
        <v>1272</v>
      </c>
      <c r="B8" s="3347">
        <v>15</v>
      </c>
      <c r="C8" s="3350"/>
      <c r="D8" s="3338"/>
      <c r="E8" s="123" t="s">
        <v>1273</v>
      </c>
      <c r="F8" s="1627"/>
      <c r="G8" s="1627"/>
      <c r="H8" s="1627"/>
      <c r="I8" s="1281"/>
    </row>
    <row r="9" spans="1:12" ht="13.2">
      <c r="A9" s="3292"/>
      <c r="B9" s="3347"/>
      <c r="C9" s="3351"/>
      <c r="D9" s="3338"/>
      <c r="E9" s="123" t="s">
        <v>1274</v>
      </c>
      <c r="F9" s="1627"/>
      <c r="G9" s="1627"/>
      <c r="H9" s="1627"/>
      <c r="I9" s="1281"/>
    </row>
    <row r="10" spans="1:12" ht="13.2">
      <c r="A10" s="3292" t="s">
        <v>1275</v>
      </c>
      <c r="B10" s="3347">
        <v>15</v>
      </c>
      <c r="C10" s="3350"/>
      <c r="D10" s="3338"/>
      <c r="E10" s="123" t="s">
        <v>1276</v>
      </c>
      <c r="F10" s="1627"/>
      <c r="G10" s="1627"/>
      <c r="H10" s="1627"/>
      <c r="I10" s="1281"/>
    </row>
    <row r="11" spans="1:12" ht="13.2">
      <c r="A11" s="3292"/>
      <c r="B11" s="3347"/>
      <c r="C11" s="3351"/>
      <c r="D11" s="3338"/>
      <c r="E11" s="123" t="s">
        <v>1277</v>
      </c>
      <c r="F11" s="1627"/>
      <c r="G11" s="1627"/>
      <c r="H11" s="1627"/>
      <c r="I11" s="1281"/>
    </row>
    <row r="12" spans="1:12" ht="13.2">
      <c r="A12" s="3292" t="s">
        <v>1278</v>
      </c>
      <c r="B12" s="3347">
        <v>15</v>
      </c>
      <c r="C12" s="3350"/>
      <c r="D12" s="3338"/>
      <c r="E12" s="123" t="s">
        <v>1279</v>
      </c>
      <c r="F12" s="1627"/>
      <c r="G12" s="1627"/>
      <c r="H12" s="1627"/>
      <c r="I12" s="1281"/>
    </row>
    <row r="13" spans="1:12" ht="13.2">
      <c r="A13" s="3292"/>
      <c r="B13" s="3347"/>
      <c r="C13" s="3351"/>
      <c r="D13" s="3338"/>
      <c r="E13" s="123" t="s">
        <v>1280</v>
      </c>
      <c r="F13" s="1627"/>
      <c r="G13" s="1627"/>
      <c r="H13" s="1627"/>
      <c r="I13" s="1281"/>
    </row>
    <row r="14" spans="1:12" ht="13.2">
      <c r="A14" s="3292" t="s">
        <v>1281</v>
      </c>
      <c r="B14" s="3347">
        <v>30</v>
      </c>
      <c r="C14" s="3350">
        <v>6</v>
      </c>
      <c r="D14" s="3338">
        <v>4</v>
      </c>
      <c r="E14" s="123" t="s">
        <v>1282</v>
      </c>
      <c r="F14" s="1627"/>
      <c r="G14" s="1627"/>
      <c r="H14" s="1627"/>
      <c r="I14" s="1281"/>
    </row>
    <row r="15" spans="1:12" ht="13.2">
      <c r="A15" s="3292"/>
      <c r="B15" s="3347"/>
      <c r="C15" s="3352"/>
      <c r="D15" s="3338"/>
      <c r="E15" s="123" t="s">
        <v>1283</v>
      </c>
      <c r="F15" s="1627"/>
      <c r="G15" s="1627"/>
      <c r="H15" s="1627"/>
      <c r="I15" s="1281"/>
    </row>
    <row r="16" spans="1:12" ht="13.2">
      <c r="A16" s="3292"/>
      <c r="B16" s="3347"/>
      <c r="C16" s="3351"/>
      <c r="D16" s="3338"/>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69" t="s">
        <v>2129</v>
      </c>
      <c r="F18" s="3370"/>
      <c r="G18" s="3370"/>
      <c r="H18" s="3370"/>
      <c r="I18" s="3370"/>
      <c r="K18" s="294" t="s">
        <v>1289</v>
      </c>
      <c r="L18" s="294">
        <f>IF(C1="",'数据-汇总表'!E3,SUMIF(项目类型,C1,'数据-汇总表'!E17:E26)+SUMIF(项目类型,C1,'数据-汇总表'!I17:I26))</f>
        <v>94.78</v>
      </c>
      <c r="M18" s="294">
        <f>IF(C1="",'数据-汇总表'!E3,SUMIF(项目类型,C1,'数据-汇总表'!E17:E26))</f>
        <v>94.78</v>
      </c>
    </row>
    <row r="19" spans="1:36" ht="14.4">
      <c r="A19" s="1630" t="s">
        <v>1290</v>
      </c>
      <c r="B19" s="1631" t="s">
        <v>1291</v>
      </c>
      <c r="C19" s="126">
        <f ca="1">SUMIF(INDIRECT("'"&amp;C4&amp;"'"&amp;"!A:A"),结果表1007!B19,INDIRECT("'"&amp;C4&amp;"'"&amp;"!B:B"))</f>
        <v>111.84990000000001</v>
      </c>
      <c r="D19" s="127">
        <f ca="1">SUMIF(INDIRECT("'"&amp;D4&amp;"'"&amp;"!A:A"),结果表1007!B19,INDIRECT("'"&amp;D4&amp;"'"&amp;"!B:B"))</f>
        <v>71.690899999999999</v>
      </c>
      <c r="E19" s="1630" t="s">
        <v>1292</v>
      </c>
      <c r="F19" s="1631" t="s">
        <v>1291</v>
      </c>
      <c r="G19" s="128">
        <f ca="1">ROUND(C19*$C$18+D19*$D$18,0)</f>
        <v>96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SUMIF(INDIRECT("'"&amp;C4&amp;"'"&amp;"!A:A"),结果表1007!B20,INDIRECT("'"&amp;C4&amp;"'"&amp;"!B:B"))</f>
        <v>11801</v>
      </c>
      <c r="D20" s="130">
        <f ca="1">SUMIF(INDIRECT("'"&amp;D4&amp;"'"&amp;"!A:A"),结果表1007!B20,INDIRECT("'"&amp;D4&amp;"'"&amp;"!B:B"))</f>
        <v>7564</v>
      </c>
      <c r="E20" s="1633"/>
      <c r="F20" s="43" t="s">
        <v>1295</v>
      </c>
      <c r="G20" s="131">
        <f ca="1">ROUND(C20*$C$18+D20*$D$18,0)</f>
        <v>10106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0.56016872434297804</v>
      </c>
      <c r="E22" s="121"/>
      <c r="F22" s="121"/>
      <c r="G22" s="121"/>
      <c r="H22" s="121"/>
      <c r="I22" s="121"/>
    </row>
    <row r="23" spans="1:36" ht="13.8" thickBot="1">
      <c r="A23" s="646"/>
      <c r="B23" s="646"/>
      <c r="C23" s="646"/>
      <c r="D23" s="646"/>
      <c r="E23" s="121"/>
      <c r="F23" s="121"/>
      <c r="G23" s="121"/>
      <c r="H23" s="121"/>
      <c r="I23" s="121"/>
    </row>
    <row r="24" spans="1:36" ht="14.4">
      <c r="A24" s="3362" t="s">
        <v>1299</v>
      </c>
      <c r="B24" s="1631" t="s">
        <v>1291</v>
      </c>
      <c r="C24" s="128">
        <f>IF(B30=0,0,D30)</f>
        <v>0</v>
      </c>
      <c r="D24" s="1637"/>
      <c r="E24" s="121"/>
      <c r="F24" s="121"/>
      <c r="G24" s="121"/>
      <c r="H24" s="121"/>
      <c r="I24" s="121"/>
    </row>
    <row r="25" spans="1:36" ht="14.4">
      <c r="A25" s="33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10106</v>
      </c>
      <c r="D32" s="1641" t="s">
        <v>3517</v>
      </c>
      <c r="E32" s="121"/>
      <c r="F32" s="121"/>
      <c r="G32" s="121"/>
      <c r="H32" s="121"/>
      <c r="I32" s="121"/>
    </row>
    <row r="33" spans="1:15" ht="14.4">
      <c r="A33" s="740" t="s">
        <v>1306</v>
      </c>
      <c r="B33" s="123"/>
      <c r="C33" s="1642" t="s">
        <v>3518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39" t="s">
        <v>1312</v>
      </c>
      <c r="B36" s="1652" t="s">
        <v>1313</v>
      </c>
      <c r="C36" s="137"/>
      <c r="D36" s="1653"/>
      <c r="E36" s="1567"/>
      <c r="F36" s="1654"/>
      <c r="G36" s="121"/>
      <c r="H36" s="121"/>
      <c r="I36" s="121"/>
    </row>
    <row r="37" spans="1:15" ht="15" thickBot="1">
      <c r="A37" s="3340"/>
      <c r="B37" s="1555" t="s">
        <v>1314</v>
      </c>
      <c r="C37" s="139"/>
      <c r="D37" s="1071"/>
      <c r="E37" s="1071"/>
      <c r="F37" s="1654"/>
      <c r="G37" s="121"/>
      <c r="H37" s="121"/>
      <c r="I37" s="121"/>
    </row>
    <row r="38" spans="1:15" ht="15" thickBot="1">
      <c r="A38" s="3341"/>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9" t="s">
        <v>1326</v>
      </c>
      <c r="B45" s="3360"/>
      <c r="C45" s="3361"/>
      <c r="D45" s="3179">
        <f ca="1">典型户型修正!S29</f>
        <v>95.784700000000001</v>
      </c>
      <c r="E45" s="148" t="s">
        <v>1327</v>
      </c>
      <c r="F45" s="149">
        <v>1</v>
      </c>
      <c r="G45" s="150" t="s">
        <v>1328</v>
      </c>
      <c r="H45" s="121"/>
      <c r="I45" s="121"/>
      <c r="J45" s="3279" t="s">
        <v>1329</v>
      </c>
      <c r="K45" s="3279"/>
      <c r="L45" s="3279"/>
      <c r="M45" s="3279"/>
      <c r="N45" s="3279"/>
      <c r="O45" s="3279"/>
    </row>
    <row r="46" spans="1:15" ht="14.25" customHeight="1">
      <c r="A46" s="3356" t="s">
        <v>1330</v>
      </c>
      <c r="B46" s="3357"/>
      <c r="C46" s="3357"/>
      <c r="D46" s="3357"/>
      <c r="E46" s="3357"/>
      <c r="F46" s="3357"/>
      <c r="G46" s="3358"/>
      <c r="H46" s="1668"/>
      <c r="I46" s="151"/>
      <c r="J46" s="2309">
        <v>1</v>
      </c>
      <c r="K46" s="3280" t="s">
        <v>1331</v>
      </c>
      <c r="L46" s="3280"/>
      <c r="M46" s="3281"/>
      <c r="N46" s="3281"/>
      <c r="O46" s="3281"/>
    </row>
    <row r="47" spans="1:15" ht="12" customHeight="1">
      <c r="A47" s="152" t="s">
        <v>1332</v>
      </c>
      <c r="B47" s="153"/>
      <c r="C47" s="154"/>
      <c r="D47" s="1024" t="s">
        <v>1333</v>
      </c>
      <c r="E47" s="294" t="s">
        <v>1334</v>
      </c>
      <c r="F47" s="155" t="s">
        <v>1335</v>
      </c>
      <c r="G47" s="2332" t="s">
        <v>1336</v>
      </c>
      <c r="H47" s="2333"/>
      <c r="I47" s="151"/>
      <c r="J47" s="2309">
        <v>2</v>
      </c>
      <c r="K47" s="3280" t="s">
        <v>1337</v>
      </c>
      <c r="L47" s="3280"/>
      <c r="M47" s="3282">
        <f>'数据-取费表'!B2</f>
        <v>45828</v>
      </c>
      <c r="N47" s="3282"/>
      <c r="O47" s="3282"/>
    </row>
    <row r="48" spans="1:15" ht="39.6">
      <c r="A48" s="3342" t="s">
        <v>1338</v>
      </c>
      <c r="B48" s="3343"/>
      <c r="C48" s="3343"/>
      <c r="D48" s="12">
        <f ca="1">IF(H48="情况1",0,IF(H48="情况2",D52,IF(H48="情况3",D53,IF(H48="情况4",D54))))</f>
        <v>0</v>
      </c>
      <c r="E48" s="1256" t="str">
        <f>IF(H48="情况4","(销售额-原购置价)×税（费）率","销售额×税（费）率")</f>
        <v>(销售额-原购置价)×税（费）率</v>
      </c>
      <c r="F48" s="2334">
        <f>IF(H48="情况1","免征",'数据-取费表'!B41)</f>
        <v>5.6000000000000001E-2</v>
      </c>
      <c r="G48" s="2335" t="s">
        <v>1339</v>
      </c>
      <c r="H48" s="2336" t="s">
        <v>3538</v>
      </c>
      <c r="I48" s="1668"/>
      <c r="J48" s="2309">
        <v>3</v>
      </c>
      <c r="K48" s="3280" t="s">
        <v>1340</v>
      </c>
      <c r="L48" s="3280"/>
      <c r="M48" s="3283">
        <f ca="1">D45</f>
        <v>95.784700000000001</v>
      </c>
      <c r="N48" s="3283"/>
      <c r="O48" s="3283"/>
    </row>
    <row r="49" spans="1:35" ht="25.5" customHeight="1">
      <c r="A49" s="2152" t="s">
        <v>1341</v>
      </c>
      <c r="B49" s="3328" t="s">
        <v>1342</v>
      </c>
      <c r="C49" s="3328"/>
      <c r="D49" s="1478">
        <v>0</v>
      </c>
      <c r="E49" s="316" t="s">
        <v>1343</v>
      </c>
      <c r="F49" s="2232" t="s">
        <v>28</v>
      </c>
      <c r="G49" s="3311"/>
      <c r="H49" s="2134" t="s">
        <v>2132</v>
      </c>
      <c r="I49" s="2135"/>
      <c r="J49" s="2309">
        <v>4</v>
      </c>
      <c r="K49" s="3280" t="str">
        <f>IF(项目基本情况!E8="房地产抵押价值","房地产抵押价值","抵押担保权已注销时的房地产抵押价值")</f>
        <v>房地产抵押价值</v>
      </c>
      <c r="L49" s="3280"/>
      <c r="M49" s="3283">
        <f ca="1">M48</f>
        <v>95.784700000000001</v>
      </c>
      <c r="N49" s="3283"/>
      <c r="O49" s="3283"/>
    </row>
    <row r="50" spans="1:35" ht="25.5" customHeight="1">
      <c r="A50" s="2337"/>
      <c r="B50" s="3328" t="s">
        <v>1344</v>
      </c>
      <c r="C50" s="3328"/>
      <c r="D50" s="2189"/>
      <c r="E50" s="323"/>
      <c r="F50" s="2232"/>
      <c r="G50" s="3312"/>
      <c r="H50" s="2136" t="s">
        <v>2133</v>
      </c>
      <c r="I50" s="2135"/>
      <c r="J50" s="3279" t="s">
        <v>1345</v>
      </c>
      <c r="K50" s="3279"/>
      <c r="L50" s="3279"/>
      <c r="M50" s="3279"/>
      <c r="N50" s="3279"/>
      <c r="O50" s="3279"/>
    </row>
    <row r="51" spans="1:35" ht="20.399999999999999" customHeight="1">
      <c r="A51" s="2338"/>
      <c r="B51" s="3328" t="s">
        <v>1346</v>
      </c>
      <c r="C51" s="3328"/>
      <c r="D51" s="1024"/>
      <c r="E51" s="319"/>
      <c r="F51" s="2232"/>
      <c r="G51" s="3313"/>
      <c r="H51" s="2136" t="s">
        <v>2134</v>
      </c>
      <c r="I51" s="2135"/>
      <c r="J51" s="2310" t="s">
        <v>1347</v>
      </c>
      <c r="K51" s="3280" t="s">
        <v>1348</v>
      </c>
      <c r="L51" s="3280"/>
      <c r="M51" s="2310" t="s">
        <v>1349</v>
      </c>
      <c r="N51" s="2310" t="s">
        <v>1350</v>
      </c>
      <c r="O51" s="2310" t="s">
        <v>1351</v>
      </c>
    </row>
    <row r="52" spans="1:35" ht="24" customHeight="1">
      <c r="A52" s="2153" t="s">
        <v>1352</v>
      </c>
      <c r="B52" s="3328" t="s">
        <v>1353</v>
      </c>
      <c r="C52" s="3328"/>
      <c r="D52" s="1024">
        <f ca="1">ROUND(D45*'数据-取费表'!B41/(1+'数据-取费表'!C42),0)</f>
        <v>5</v>
      </c>
      <c r="E52" s="1256" t="s">
        <v>1354</v>
      </c>
      <c r="F52" s="2339">
        <f>'数据-取费表'!B41</f>
        <v>5.6000000000000001E-2</v>
      </c>
      <c r="G52" s="2340"/>
      <c r="H52" s="2330"/>
      <c r="I52" s="1669"/>
      <c r="J52" s="2309">
        <v>1</v>
      </c>
      <c r="K52" s="3305" t="s">
        <v>1355</v>
      </c>
      <c r="L52" s="3305"/>
      <c r="M52" s="2311">
        <f ca="1">D48</f>
        <v>0</v>
      </c>
      <c r="N52" s="2309" t="str">
        <f>E48</f>
        <v>(销售额-原购置价)×税（费）率</v>
      </c>
      <c r="O52" s="2312">
        <f>F48</f>
        <v>5.6000000000000001E-2</v>
      </c>
    </row>
    <row r="53" spans="1:35" ht="12" customHeight="1">
      <c r="A53" s="2153" t="s">
        <v>1356</v>
      </c>
      <c r="B53" s="3329" t="s">
        <v>2289</v>
      </c>
      <c r="C53" s="3330"/>
      <c r="D53" s="1024">
        <f ca="1">ROUND(D45*'数据-取费表'!B41/(1+'数据-取费表'!C42),0)</f>
        <v>5</v>
      </c>
      <c r="E53" s="1256" t="s">
        <v>1354</v>
      </c>
      <c r="F53" s="2339">
        <f>'数据-取费表'!B41</f>
        <v>5.6000000000000001E-2</v>
      </c>
      <c r="G53" s="2340"/>
      <c r="H53" s="2330"/>
      <c r="I53" s="1669"/>
      <c r="J53" s="2309">
        <v>2</v>
      </c>
      <c r="K53" s="3305" t="s">
        <v>1357</v>
      </c>
      <c r="L53" s="3305"/>
      <c r="M53" s="2311">
        <f t="shared" ref="M53:O54" ca="1" si="0">D55</f>
        <v>4.7899999999999998E-2</v>
      </c>
      <c r="N53" s="2309" t="str">
        <f t="shared" si="0"/>
        <v>销售额×税（费）率</v>
      </c>
      <c r="O53" s="2312">
        <f t="shared" si="0"/>
        <v>5.0000000000000001E-4</v>
      </c>
    </row>
    <row r="54" spans="1:35" ht="12" customHeight="1">
      <c r="A54" s="2153" t="s">
        <v>1358</v>
      </c>
      <c r="B54" s="3329" t="s">
        <v>2290</v>
      </c>
      <c r="C54" s="3330"/>
      <c r="D54" s="1024">
        <f ca="1">C68</f>
        <v>0</v>
      </c>
      <c r="E54" s="319" t="s">
        <v>1359</v>
      </c>
      <c r="F54" s="2339">
        <f>'数据-取费表'!B41</f>
        <v>5.6000000000000001E-2</v>
      </c>
      <c r="G54" s="2340"/>
      <c r="H54" s="2341"/>
      <c r="I54" s="1669"/>
      <c r="J54" s="2309">
        <v>3</v>
      </c>
      <c r="K54" s="3305" t="s">
        <v>1360</v>
      </c>
      <c r="L54" s="3305"/>
      <c r="M54" s="2311">
        <f t="shared" ca="1" si="0"/>
        <v>0</v>
      </c>
      <c r="N54" s="2309" t="str">
        <f t="shared" si="0"/>
        <v>增值额×税（费）率</v>
      </c>
      <c r="O54" s="2313" t="str">
        <f t="shared" si="0"/>
        <v>——</v>
      </c>
    </row>
    <row r="55" spans="1:35" ht="24" customHeight="1">
      <c r="A55" s="3365" t="s">
        <v>1361</v>
      </c>
      <c r="B55" s="3343"/>
      <c r="C55" s="3343"/>
      <c r="D55" s="1504">
        <f ca="1">IF(H55="个人住宅",0,ROUND(D45*I55,4))</f>
        <v>4.7899999999999998E-2</v>
      </c>
      <c r="E55" s="1256" t="s">
        <v>1362</v>
      </c>
      <c r="F55" s="2339">
        <f>IF(H55="正常",I55,"免征")</f>
        <v>5.0000000000000001E-4</v>
      </c>
      <c r="G55" s="2340"/>
      <c r="H55" s="2336" t="s">
        <v>3465</v>
      </c>
      <c r="I55" s="157">
        <f>'数据-取费表'!B49</f>
        <v>5.0000000000000001E-4</v>
      </c>
      <c r="J55" s="2309" t="str">
        <f>IF(H59="非个人房产","",4)</f>
        <v/>
      </c>
      <c r="K55" s="3305" t="str">
        <f>IF(H59="非个人房产","——","个人所得税")</f>
        <v>——</v>
      </c>
      <c r="L55" s="3305"/>
      <c r="M55" s="2314" t="str">
        <f>D59</f>
        <v>——</v>
      </c>
      <c r="N55" s="1883" t="str">
        <f>E59</f>
        <v>——</v>
      </c>
      <c r="O55" s="2315" t="str">
        <f>F59</f>
        <v>——</v>
      </c>
    </row>
    <row r="56" spans="1:35" ht="25.2">
      <c r="A56" s="3365" t="s">
        <v>1363</v>
      </c>
      <c r="B56" s="3343"/>
      <c r="C56" s="3343"/>
      <c r="D56" s="12">
        <f ca="1">IF(H56="个人住宅",D57,D58)</f>
        <v>0</v>
      </c>
      <c r="E56" s="1256" t="s">
        <v>1364</v>
      </c>
      <c r="F56" s="2339" t="str">
        <f>IF(H56="正常",F58,"免征")</f>
        <v>——</v>
      </c>
      <c r="G56" s="2342" t="s">
        <v>1365</v>
      </c>
      <c r="H56" s="2343" t="s">
        <v>3465</v>
      </c>
      <c r="I56" s="1670"/>
      <c r="J56" s="2309" t="str">
        <f>IF(项目基本情况!K6="上海银行",IF(J55="",4,J55+1),"")</f>
        <v/>
      </c>
      <c r="K56" s="3286" t="str">
        <f>IF(项目基本情况!K6="上海银行","其他处置费用","")</f>
        <v/>
      </c>
      <c r="L56" s="3287"/>
      <c r="M56" s="2311" t="str">
        <f>IF(项目基本情况!K6="上海银行",M69,"")</f>
        <v/>
      </c>
      <c r="N56" s="3286" t="str">
        <f>IF(项目基本情况!K6="上海银行","包含处置中涉及的律师、诉讼、拍卖、评估等费用","")</f>
        <v/>
      </c>
      <c r="O56" s="3289"/>
    </row>
    <row r="57" spans="1:35" ht="13.2">
      <c r="A57" s="2153" t="s">
        <v>1341</v>
      </c>
      <c r="B57" s="3329" t="s">
        <v>1366</v>
      </c>
      <c r="C57" s="3330"/>
      <c r="D57" s="1478">
        <v>0</v>
      </c>
      <c r="E57" s="316" t="s">
        <v>1343</v>
      </c>
      <c r="F57" s="294"/>
      <c r="G57" s="2340"/>
      <c r="H57" s="2344"/>
      <c r="I57" s="1670"/>
      <c r="J57" s="3305">
        <f>IF(AND(J55="",J56=""),4,IF(项目基本情况!K6="上海银行",结果表1007!J56+1,结果表1007!J55+1))</f>
        <v>4</v>
      </c>
      <c r="K57" s="3305" t="s">
        <v>1367</v>
      </c>
      <c r="L57" s="2316" t="s">
        <v>1368</v>
      </c>
      <c r="M57" s="2317"/>
      <c r="N57" s="2318">
        <f ca="1">SUMIF(M52:M56,"&lt;9e307")</f>
        <v>4.7899999999999998E-2</v>
      </c>
      <c r="O57" s="2319"/>
      <c r="P57" s="2460">
        <f ca="1">N57/M49</f>
        <v>5.0007986661752867E-4</v>
      </c>
    </row>
    <row r="58" spans="1:35" ht="25.2">
      <c r="A58" s="2153" t="s">
        <v>1352</v>
      </c>
      <c r="B58" s="3329" t="s">
        <v>1369</v>
      </c>
      <c r="C58" s="3328"/>
      <c r="D58" s="12">
        <f ca="1">IF(H58="转让取得",C81,C97)</f>
        <v>0</v>
      </c>
      <c r="E58" s="1256" t="s">
        <v>1364</v>
      </c>
      <c r="F58" s="294" t="s">
        <v>28</v>
      </c>
      <c r="G58" s="2340"/>
      <c r="H58" s="2343" t="s">
        <v>3539</v>
      </c>
      <c r="I58" s="1670"/>
      <c r="J58" s="3305"/>
      <c r="K58" s="3305"/>
      <c r="L58" s="2316" t="s">
        <v>1370</v>
      </c>
      <c r="M58" s="2320"/>
      <c r="N58" s="2321" t="str">
        <f ca="1">NUMBERSTRING(INT(N57*10000),2)&amp;"元整"</f>
        <v>肆佰柒拾玖元整</v>
      </c>
      <c r="O58" s="2322"/>
    </row>
    <row r="59" spans="1:35" ht="24.6" thickBot="1">
      <c r="A59" s="3309" t="s">
        <v>1371</v>
      </c>
      <c r="B59" s="3310"/>
      <c r="C59" s="3310"/>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3540</v>
      </c>
      <c r="I59" s="2137" t="s">
        <v>2135</v>
      </c>
      <c r="J59" s="3307">
        <f>J57+1</f>
        <v>5</v>
      </c>
      <c r="K59" s="3305" t="s">
        <v>1372</v>
      </c>
      <c r="L59" s="2309" t="s">
        <v>1368</v>
      </c>
      <c r="M59" s="2323"/>
      <c r="N59" s="2324">
        <f ca="1">M49-N57</f>
        <v>95.736800000000002</v>
      </c>
      <c r="O59" s="2325"/>
    </row>
    <row r="60" spans="1:35" ht="12" customHeight="1">
      <c r="A60" s="1671"/>
      <c r="B60" s="646"/>
      <c r="C60" s="646"/>
      <c r="D60" s="646"/>
      <c r="E60" s="1466"/>
      <c r="F60" s="1670"/>
      <c r="G60" s="1670"/>
      <c r="H60" s="151"/>
      <c r="I60" s="121"/>
      <c r="J60" s="3308"/>
      <c r="K60" s="3305"/>
      <c r="L60" s="2316" t="s">
        <v>1370</v>
      </c>
      <c r="M60" s="2320"/>
      <c r="N60" s="2321" t="str">
        <f ca="1">NUMBERSTRING(INT(N59*10000),2)&amp;"元整"</f>
        <v>玖拾伍万柒仟叁佰陆拾捌元整</v>
      </c>
      <c r="O60" s="2322"/>
    </row>
    <row r="61" spans="1:35" ht="13.8" thickBot="1">
      <c r="A61" s="3364" t="s">
        <v>1373</v>
      </c>
      <c r="B61" s="3364"/>
      <c r="C61" s="3364"/>
      <c r="D61" s="3364"/>
      <c r="E61" s="3364"/>
      <c r="F61" s="1670"/>
      <c r="G61" s="1670"/>
      <c r="H61" s="151"/>
      <c r="I61" s="121"/>
      <c r="J61" s="2309">
        <f>J59+1</f>
        <v>6</v>
      </c>
      <c r="K61" s="3305" t="s">
        <v>1374</v>
      </c>
      <c r="L61" s="3305"/>
      <c r="M61" s="2326"/>
      <c r="N61" s="3188">
        <f ca="1">ROUND(N59*10000/'数据-基础表'!G18,0)</f>
        <v>10101</v>
      </c>
      <c r="O61" s="2328"/>
    </row>
    <row r="62" spans="1:35" ht="13.2">
      <c r="A62" s="3324" t="s">
        <v>1375</v>
      </c>
      <c r="B62" s="3325"/>
      <c r="C62" s="1865"/>
      <c r="D62" s="1865" t="s">
        <v>1376</v>
      </c>
      <c r="E62" s="158" t="s">
        <v>1377</v>
      </c>
      <c r="F62" s="1670"/>
      <c r="G62" s="1670"/>
      <c r="H62" s="151"/>
      <c r="I62" s="121"/>
    </row>
    <row r="63" spans="1:35" ht="13.2">
      <c r="A63" s="165" t="s">
        <v>330</v>
      </c>
      <c r="B63" s="159" t="s">
        <v>1378</v>
      </c>
      <c r="C63" s="3181">
        <f ca="1">ROUND((C64+C65)/(1+'数据-取费表'!C42),4)</f>
        <v>91.223500000000001</v>
      </c>
      <c r="D63" s="159"/>
      <c r="E63" s="160"/>
      <c r="F63" s="1670"/>
      <c r="G63" s="1670"/>
      <c r="H63" s="151"/>
      <c r="I63" s="121"/>
      <c r="J63" s="3288" t="s">
        <v>1379</v>
      </c>
      <c r="K63" s="1245" t="s">
        <v>1380</v>
      </c>
      <c r="L63" s="1245">
        <f ca="1">IF(M49&gt;10000,M49*0.5%,IF(AND(M49&gt;1000,M49&lt;=10000),M49*1%,IF(AND(M49&gt;100,M49&lt;=1000),M49*3%,IF(AND(M49&gt;10,M49&lt;=100),M49*5%,M49*8%))))</f>
        <v>4.7892350000000006</v>
      </c>
      <c r="M63" s="294">
        <f ca="1">ROUND(L63,1)</f>
        <v>4.8</v>
      </c>
      <c r="N63" s="2329"/>
      <c r="Z63" s="1623"/>
      <c r="AI63" s="1561"/>
    </row>
    <row r="64" spans="1:35" ht="14.25" customHeight="1">
      <c r="A64" s="161" t="s">
        <v>325</v>
      </c>
      <c r="B64" s="162" t="s">
        <v>1381</v>
      </c>
      <c r="C64" s="3182">
        <f ca="1">D45</f>
        <v>95.784700000000001</v>
      </c>
      <c r="D64" s="162" t="s">
        <v>26</v>
      </c>
      <c r="E64" s="164"/>
      <c r="F64" s="1670"/>
      <c r="G64" s="1670"/>
      <c r="H64" s="151"/>
      <c r="I64" s="121"/>
      <c r="J64" s="3288"/>
      <c r="K64" s="1245" t="s">
        <v>1382</v>
      </c>
      <c r="L64" s="1245">
        <f ca="1">IF(M49&gt;2000,M49*0.5%,IF(AND(M49&gt;1000,M49&lt;=2000),M49*0.6%,IF(AND(M49&gt;500,M49&lt;=1000),M49*0.7%,IF(AND(M49&gt;200,M49&lt;=500),M49*0.8%,IF(AND(M49&gt;100,M49&lt;=200),M49*0.9%,IF(AND(M49&gt;50,M49&lt;=100),M49*1%,IF(AND(M49&gt;20,M49&lt;=50),M49*1.5%,IF(AND(M49&gt;10,M49&lt;=20),M49*2%,IF(AND(M49&gt;1,M49&lt;=10),M49*2.5%)))))))))</f>
        <v>0.957847</v>
      </c>
      <c r="M64" s="294">
        <f t="shared" ref="M64:M65" ca="1" si="1">ROUND(L64,1)</f>
        <v>1</v>
      </c>
      <c r="N64" s="2330" t="s">
        <v>1383</v>
      </c>
      <c r="Z64" s="1623"/>
      <c r="AI64" s="1561"/>
    </row>
    <row r="65" spans="1:35" ht="14.25" customHeight="1">
      <c r="A65" s="161" t="s">
        <v>326</v>
      </c>
      <c r="B65" s="162" t="s">
        <v>1384</v>
      </c>
      <c r="C65" s="2349"/>
      <c r="D65" s="162"/>
      <c r="E65" s="164"/>
      <c r="F65" s="1670"/>
      <c r="G65" s="1670"/>
      <c r="H65" s="151"/>
      <c r="I65" s="121"/>
      <c r="J65" s="3288"/>
      <c r="K65" s="1245" t="s">
        <v>1385</v>
      </c>
      <c r="L65" s="1245">
        <f ca="1">IF(M49&gt;1000,M49*0.1%,IF(AND(M49&gt;500,M49&lt;=1000),M49*0.5%,IF(AND(M49&gt;50,M49&lt;=500),M49*1%,IF(AND(M49&gt;1,M49&lt;=50),M49*1.5%))))</f>
        <v>0.957847</v>
      </c>
      <c r="M65" s="294">
        <f t="shared" ca="1" si="1"/>
        <v>1</v>
      </c>
      <c r="N65" s="2330" t="s">
        <v>1383</v>
      </c>
      <c r="Z65" s="1623"/>
      <c r="AI65" s="1561"/>
    </row>
    <row r="66" spans="1:35" ht="14.25" customHeight="1">
      <c r="A66" s="165" t="s">
        <v>327</v>
      </c>
      <c r="B66" s="166" t="s">
        <v>1386</v>
      </c>
      <c r="C66" s="2350">
        <f>C75/1.05</f>
        <v>99.293333333333322</v>
      </c>
      <c r="D66" s="166" t="s">
        <v>26</v>
      </c>
      <c r="E66" s="1251" t="s">
        <v>671</v>
      </c>
      <c r="F66" s="1670"/>
      <c r="G66" s="1670"/>
      <c r="H66" s="151"/>
      <c r="I66" s="121"/>
      <c r="J66" s="3288"/>
      <c r="K66" s="1245" t="s">
        <v>1387</v>
      </c>
      <c r="L66" s="1245">
        <f ca="1">M49*0.5%</f>
        <v>0.4789235</v>
      </c>
      <c r="M66" s="294">
        <f ca="1">IF(L66&gt;0.5,0.5,ROUND(L66,0))</f>
        <v>0</v>
      </c>
      <c r="N66" s="2330" t="s">
        <v>1388</v>
      </c>
      <c r="Z66" s="1623"/>
      <c r="AI66" s="1561"/>
    </row>
    <row r="67" spans="1:35" ht="14.25" customHeight="1">
      <c r="A67" s="165" t="s">
        <v>328</v>
      </c>
      <c r="B67" s="166" t="s">
        <v>1389</v>
      </c>
      <c r="C67" s="2351">
        <f ca="1">C63-C66</f>
        <v>-8.069833333333321</v>
      </c>
      <c r="D67" s="162" t="s">
        <v>26</v>
      </c>
      <c r="E67" s="164"/>
      <c r="F67" s="1670"/>
      <c r="G67" s="1670"/>
      <c r="H67" s="151"/>
      <c r="I67" s="121"/>
      <c r="J67" s="3288"/>
      <c r="K67" s="1245" t="s">
        <v>1390</v>
      </c>
      <c r="L67" s="1245">
        <f ca="1">IF(M49&gt;=10000,(8.25+(M49-10000)*0.01%),IF(AND(M49&gt;=8000,M49&lt;10000),(7.85+(M49-8000)*0.02%),IF(AND(M49&gt;=5000,M49&lt;8000),(6.65+(M49-5000)*0.04%),IF(AND(M49&gt;=2000,M49&lt;5000),(4.25+(PM49-2000)*0.08%),IF(AND(M49&gt;=1000,M49&lt;2000),(2.75+(M49-1000)*0.15%),IF(AND(M49&gt;=100,M49&lt;1000),(0.5+(M49-100)*0.25%),IF(AND(M49&gt;0,M49&lt;100),M49*0.5%)))))))</f>
        <v>0.4789235</v>
      </c>
      <c r="M67" s="294">
        <f ca="1">ROUND(L67*0.9,1)</f>
        <v>0.4</v>
      </c>
      <c r="N67" s="2329"/>
      <c r="Z67" s="1623"/>
      <c r="AI67" s="1561"/>
    </row>
    <row r="68" spans="1:35" ht="14.25" customHeight="1" thickBot="1">
      <c r="A68" s="168" t="s">
        <v>329</v>
      </c>
      <c r="B68" s="169" t="s">
        <v>1391</v>
      </c>
      <c r="C68" s="3180">
        <f ca="1">IF(C67&lt;=0,0,ROUND(C67*D68,4))</f>
        <v>0</v>
      </c>
      <c r="D68" s="2352">
        <f>'数据-取费表'!B41</f>
        <v>5.6000000000000001E-2</v>
      </c>
      <c r="E68" s="170"/>
      <c r="F68" s="1670"/>
      <c r="G68" s="1670"/>
      <c r="H68" s="151"/>
      <c r="I68" s="121"/>
      <c r="J68" s="3288"/>
      <c r="K68" s="1245" t="s">
        <v>1392</v>
      </c>
      <c r="L68" s="1245">
        <f ca="1">IF(M49&gt;10000,M49*0.5%,IF(AND(M49&gt;5000,M49&lt;=10000),M49*1%,IF(AND(M49&gt;1000,M49&lt;=5000),M49*2%,IF(AND(M49&gt;200,M49&lt;=1000),M49*3%,M49*5%))))</f>
        <v>4.7892350000000006</v>
      </c>
      <c r="M68" s="294">
        <f ca="1">ROUND(L68,1)</f>
        <v>4.8</v>
      </c>
      <c r="N68" s="2329"/>
      <c r="Z68" s="1623"/>
      <c r="AI68" s="1561"/>
    </row>
    <row r="69" spans="1:35" ht="16.5" customHeight="1">
      <c r="A69" s="1672"/>
      <c r="B69" s="1673"/>
      <c r="C69" s="1674"/>
      <c r="D69" s="1675"/>
      <c r="E69" s="1676"/>
      <c r="F69" s="1466"/>
      <c r="G69" s="1466"/>
      <c r="H69" s="1467"/>
      <c r="I69" s="646"/>
      <c r="J69" s="3288"/>
      <c r="K69" s="1245" t="s">
        <v>1393</v>
      </c>
      <c r="L69" s="1245"/>
      <c r="M69" s="294">
        <f ca="1">ROUND(SUM(M63:M68),0)</f>
        <v>12</v>
      </c>
      <c r="N69" s="2331">
        <f ca="1">M69/M49</f>
        <v>0.12528096867244978</v>
      </c>
      <c r="Z69" s="1623"/>
      <c r="AI69" s="1561"/>
    </row>
    <row r="70" spans="1:35" s="642" customFormat="1" ht="14.4" thickBot="1">
      <c r="A70" s="3332" t="s">
        <v>1394</v>
      </c>
      <c r="B70" s="3333"/>
      <c r="C70" s="3333"/>
      <c r="D70" s="3333"/>
      <c r="E70" s="3333"/>
      <c r="F70" s="3333"/>
      <c r="G70" s="3333"/>
      <c r="H70" s="333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4" t="s">
        <v>1375</v>
      </c>
      <c r="B71" s="332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3183">
        <f ca="1">ROUND(D45/(1+'数据-取费表'!C42),4)</f>
        <v>91.223500000000001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3183">
        <f ca="1">C74+C78</f>
        <v>118.50770000000001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3085">
        <f>ROUND(IF(G77="2016年5月1日后购买",C75/(1+'数据-取费表'!C42)+C76+C77,C75+C76+C77),4)</f>
        <v>117.96040000000001</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3184">
        <f>面积信息!K7</f>
        <v>104.258</v>
      </c>
      <c r="D75" s="162" t="s">
        <v>26</v>
      </c>
      <c r="E75" s="176" t="s">
        <v>1399</v>
      </c>
      <c r="F75" s="2354" t="s">
        <v>3541</v>
      </c>
      <c r="G75" s="176" t="s">
        <v>1400</v>
      </c>
      <c r="H75" s="2355">
        <f>2025-2022</f>
        <v>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085">
        <f>IF(F75="购房发票",ROUND(C75*H75*D76,4),0)</f>
        <v>15.6387</v>
      </c>
      <c r="D76" s="2356">
        <v>0.05</v>
      </c>
      <c r="E76" s="3329" t="s">
        <v>1402</v>
      </c>
      <c r="F76" s="3328"/>
      <c r="G76" s="3328"/>
      <c r="H76" s="333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085">
        <f>ROUND(IF(G77="个人住宅",0,IF(G77="2016年5月1日前购买",C75*D77,C75*D77/(1+'数据-取费表'!C42))),4)</f>
        <v>3.0284</v>
      </c>
      <c r="D77" s="2357">
        <f>'数据-取费表'!B48+'数据-取费表'!B49</f>
        <v>3.0499999999999999E-2</v>
      </c>
      <c r="E77" s="12" t="s">
        <v>1404</v>
      </c>
      <c r="F77" s="178"/>
      <c r="G77" s="1682" t="s">
        <v>3542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185">
        <f ca="1">ROUND(D45*D78/(1+'数据-取费表'!C42),4)</f>
        <v>0.54730000000000001</v>
      </c>
      <c r="D78" s="2359">
        <f>'数据-取费表'!B43</f>
        <v>6.000000000000001E-3</v>
      </c>
      <c r="E78" s="3321" t="s">
        <v>1406</v>
      </c>
      <c r="F78" s="3322"/>
      <c r="G78" s="3322"/>
      <c r="H78" s="332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1">
        <f ca="1">C72-C73</f>
        <v>-27.284200000000013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3186">
        <f ca="1">ROUND(IF(C79&lt;=0,0,IF(C80&gt;=200%,C79*60%-C73*35%,IF(C80&gt;=100%,C79*50%-C73*15%,IF(C80&gt;=50%,C79*40%-C73*5%,IF(C80&lt;50%,C79*30%,0))))),4)</f>
        <v>0</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2" t="s">
        <v>1410</v>
      </c>
      <c r="B83" s="3333"/>
      <c r="C83" s="3333"/>
      <c r="D83" s="3333"/>
      <c r="E83" s="3333"/>
      <c r="F83" s="3333"/>
      <c r="G83" s="3333"/>
      <c r="H83" s="333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4" t="s">
        <v>1375</v>
      </c>
      <c r="B84" s="332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91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1</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8">
        <f>C88+C89</f>
        <v>0</v>
      </c>
      <c r="D87" s="2359"/>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4"/>
      <c r="D88" s="2359"/>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8">
        <f>ROUND(C88*D89,0)</f>
        <v>0</v>
      </c>
      <c r="D89" s="2359">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4"/>
      <c r="D90" s="2359"/>
      <c r="E90" s="185" t="str">
        <f>IF(H88="-","土地取得成本中已包含该笔费用"," ")</f>
        <v xml:space="preserve"> </v>
      </c>
      <c r="F90" s="2148"/>
      <c r="G90" s="3290" t="s">
        <v>2127</v>
      </c>
      <c r="H90" s="3291"/>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321" t="s">
        <v>1419</v>
      </c>
      <c r="F91" s="3322"/>
      <c r="G91" s="332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321" t="s">
        <v>1422</v>
      </c>
      <c r="F92" s="3322"/>
      <c r="G92" s="3322"/>
      <c r="H92" s="3323"/>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1</v>
      </c>
      <c r="D93" s="2359">
        <f>'数据-取费表'!B43</f>
        <v>6.000000000000001E-3</v>
      </c>
      <c r="E93" s="3321" t="s">
        <v>1406</v>
      </c>
      <c r="F93" s="3322"/>
      <c r="G93" s="3322"/>
      <c r="H93" s="332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366" t="s">
        <v>1426</v>
      </c>
      <c r="F94" s="3367"/>
      <c r="G94" s="3367"/>
      <c r="H94" s="336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1">
        <f ca="1">ROUND(C85-C86,0)</f>
        <v>90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f ca="1">IF(C95&lt;=0,0,C95/C86)</f>
        <v>90</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1">
        <f ca="1">ROUND(IF(C95&lt;=0,0,IF(C96&gt;=200%,C95*60%-C86*35%,IF(C96&gt;=100%,C95*50%-C86*15%,IF(C96&gt;=50%,C95*40%-C86*5%,IF(C96&lt;50%,C95*30%,0))))),0)</f>
        <v>54</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1" t="s">
        <v>1428</v>
      </c>
      <c r="B100" s="3272"/>
      <c r="C100" s="3272"/>
      <c r="D100" s="3306"/>
      <c r="E100" s="3272" t="s">
        <v>1429</v>
      </c>
      <c r="F100" s="3272"/>
      <c r="G100" s="3272"/>
      <c r="H100" s="3306"/>
      <c r="I100" s="121"/>
    </row>
    <row r="101" spans="1:35" ht="18.75" customHeight="1">
      <c r="A101" s="3314" t="s">
        <v>1430</v>
      </c>
      <c r="B101" s="3315"/>
      <c r="C101" s="2367" t="str">
        <f>C4</f>
        <v>比较法-办公</v>
      </c>
      <c r="D101" s="2368" t="str">
        <f>D4</f>
        <v>收益法 (元)</v>
      </c>
      <c r="E101" s="3284" t="s">
        <v>1431</v>
      </c>
      <c r="F101" s="3285"/>
      <c r="G101" s="1687" t="s">
        <v>1432</v>
      </c>
      <c r="H101" s="2377">
        <f ca="1">H118</f>
        <v>95.784700000000001</v>
      </c>
      <c r="I101" s="121"/>
    </row>
    <row r="102" spans="1:35" ht="18.75" customHeight="1">
      <c r="A102" s="3316" t="s">
        <v>1433</v>
      </c>
      <c r="B102" s="2366" t="s">
        <v>1432</v>
      </c>
      <c r="C102" s="2367">
        <f ca="1">IF(D32="楼面单价",ROUND(C19,0),C19)</f>
        <v>112</v>
      </c>
      <c r="D102" s="2368">
        <f ca="1">IF(D32="楼面单价",ROUND(D19,0),D19)</f>
        <v>72</v>
      </c>
      <c r="E102" s="3284"/>
      <c r="F102" s="3285"/>
      <c r="G102" s="1687" t="s">
        <v>1434</v>
      </c>
      <c r="H102" s="2340">
        <f ca="1">I118</f>
        <v>10106</v>
      </c>
      <c r="I102" s="121"/>
    </row>
    <row r="103" spans="1:35" ht="42.75" customHeight="1">
      <c r="A103" s="3316"/>
      <c r="B103" s="2366" t="s">
        <v>1434</v>
      </c>
      <c r="C103" s="2369">
        <f ca="1">C20</f>
        <v>11801</v>
      </c>
      <c r="D103" s="2370">
        <f ca="1">D20</f>
        <v>7564</v>
      </c>
      <c r="E103" s="3277" t="s">
        <v>1435</v>
      </c>
      <c r="F103" s="3278"/>
      <c r="G103" s="1688" t="s">
        <v>1436</v>
      </c>
      <c r="H103" s="2377">
        <f>IF(D36="正常操作",H104+H105+H106,H105+H106)</f>
        <v>0</v>
      </c>
      <c r="I103" s="121"/>
    </row>
    <row r="104" spans="1:35" ht="18.75" customHeight="1">
      <c r="A104" s="3316" t="s">
        <v>1437</v>
      </c>
      <c r="B104" s="2371" t="s">
        <v>1432</v>
      </c>
      <c r="C104" s="2372">
        <f ca="1">H118</f>
        <v>95.784700000000001</v>
      </c>
      <c r="D104" s="2373"/>
      <c r="E104" s="1555" t="s">
        <v>1438</v>
      </c>
      <c r="F104" s="1548"/>
      <c r="G104" s="1688" t="s">
        <v>1436</v>
      </c>
      <c r="H104" s="2378">
        <f>IF(D36="同一抵押权人同一抵押物续贷",C36&amp;"（续贷，未扣减，详见特别提示）",C36)</f>
        <v>0</v>
      </c>
      <c r="I104" s="121"/>
    </row>
    <row r="105" spans="1:35" ht="18.75" customHeight="1" thickBot="1">
      <c r="A105" s="3326"/>
      <c r="B105" s="2374" t="s">
        <v>1434</v>
      </c>
      <c r="C105" s="2375">
        <f ca="1">I118</f>
        <v>10106</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317" t="str">
        <f>IF(项目基本情况!E8="已注销","——","3.房地产抵押价值")</f>
        <v>3.房地产抵押价值</v>
      </c>
      <c r="F107" s="3285"/>
      <c r="G107" s="1687" t="s">
        <v>1432</v>
      </c>
      <c r="H107" s="2377">
        <f ca="1">IF(E107="——","——",H101-H103)</f>
        <v>95.784700000000001</v>
      </c>
      <c r="I107" s="121"/>
    </row>
    <row r="108" spans="1:35" ht="18.75" customHeight="1">
      <c r="A108" s="121"/>
      <c r="B108" s="121"/>
      <c r="C108" s="121"/>
      <c r="D108" s="121"/>
      <c r="E108" s="3317"/>
      <c r="F108" s="3285"/>
      <c r="G108" s="1687" t="s">
        <v>1434</v>
      </c>
      <c r="H108" s="2340">
        <f ca="1">IF(H107=H101,H102,ROUND(H107*10000/'数据-汇总表'!E3,0))</f>
        <v>10106</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285"/>
      <c r="G109" s="1687" t="s">
        <v>1432</v>
      </c>
      <c r="H109" s="2380" t="str">
        <f>IF(E109="——","——",H101-H105-H106)</f>
        <v>——</v>
      </c>
      <c r="I109" s="121"/>
    </row>
    <row r="110" spans="1:35" ht="18.75" customHeight="1">
      <c r="A110" s="121"/>
      <c r="B110" s="121"/>
      <c r="C110" s="121"/>
      <c r="D110" s="121"/>
      <c r="E110" s="3317"/>
      <c r="F110" s="3285"/>
      <c r="G110" s="1687" t="s">
        <v>1434</v>
      </c>
      <c r="H110" s="2340" t="str">
        <f>IF(H109="——","——",ROUND(H109*10000/'数据-汇总表'!E3,0))</f>
        <v>——</v>
      </c>
      <c r="I110" s="121"/>
    </row>
    <row r="111" spans="1:35" ht="18.75" customHeight="1">
      <c r="A111" s="121"/>
      <c r="B111" s="121"/>
      <c r="C111" s="121"/>
      <c r="D111" s="121"/>
      <c r="E111" s="3318" t="str">
        <f>IF(项目基本情况!E9="抵押净值",IF(OR(项目基本情况!E8="已注销",项目基本情况!E8="房地产抵押价值"),"4.抵押净值","5.抵押净值"),"——")</f>
        <v>4.抵押净值</v>
      </c>
      <c r="F111" s="3304"/>
      <c r="G111" s="1687" t="s">
        <v>1432</v>
      </c>
      <c r="H111" s="2377">
        <f ca="1">IF(E111="——","——",N59)</f>
        <v>95.736800000000002</v>
      </c>
      <c r="I111" s="121"/>
    </row>
    <row r="112" spans="1:35" ht="18.75" customHeight="1" thickBot="1">
      <c r="A112" s="121"/>
      <c r="B112" s="121"/>
      <c r="C112" s="121"/>
      <c r="D112" s="121"/>
      <c r="E112" s="3319"/>
      <c r="F112" s="3320"/>
      <c r="G112" s="1690" t="s">
        <v>1434</v>
      </c>
      <c r="H112" s="2381">
        <f ca="1">IF(E111="——","——",N61)</f>
        <v>10101</v>
      </c>
      <c r="I112" s="121"/>
    </row>
    <row r="113" spans="1:27" ht="18.75" customHeight="1">
      <c r="A113" s="121"/>
      <c r="B113" s="121"/>
      <c r="C113" s="121"/>
      <c r="D113" s="121"/>
      <c r="E113" s="3327" t="s">
        <v>1440</v>
      </c>
      <c r="F113" s="3327"/>
      <c r="G113" s="3327"/>
      <c r="H113" s="3327"/>
      <c r="I113" s="121"/>
    </row>
    <row r="114" spans="1:27" ht="3.75" customHeight="1">
      <c r="A114" s="646"/>
      <c r="B114" s="646"/>
      <c r="C114" s="646"/>
      <c r="D114" s="646"/>
      <c r="E114" s="1671"/>
      <c r="F114" s="1671"/>
      <c r="G114" s="1671"/>
      <c r="H114" s="1671"/>
      <c r="I114" s="646"/>
    </row>
    <row r="115" spans="1:27" ht="18.75" customHeight="1">
      <c r="A115" s="3335" t="s">
        <v>1442</v>
      </c>
      <c r="B115" s="3336"/>
      <c r="C115" s="3336"/>
      <c r="D115" s="3336"/>
      <c r="E115" s="3336"/>
      <c r="F115" s="3336"/>
      <c r="G115" s="3336"/>
      <c r="H115" s="3336"/>
      <c r="I115" s="3337"/>
    </row>
    <row r="116" spans="1:27" ht="27" customHeight="1">
      <c r="A116" s="3292" t="s">
        <v>1443</v>
      </c>
      <c r="B116" s="3296" t="s">
        <v>1444</v>
      </c>
      <c r="C116" s="3296" t="s">
        <v>1445</v>
      </c>
      <c r="D116" s="3302" t="s">
        <v>1446</v>
      </c>
      <c r="E116" s="3303"/>
      <c r="F116" s="3334" t="s">
        <v>1447</v>
      </c>
      <c r="G116" s="3334"/>
      <c r="H116" s="3292" t="s">
        <v>1448</v>
      </c>
      <c r="I116" s="3292"/>
    </row>
    <row r="117" spans="1:27" ht="18.75" customHeight="1">
      <c r="A117" s="3292"/>
      <c r="B117" s="3297"/>
      <c r="C117" s="3297"/>
      <c r="D117" s="2150" t="s">
        <v>1449</v>
      </c>
      <c r="E117" s="2150" t="s">
        <v>1450</v>
      </c>
      <c r="F117" s="2150" t="s">
        <v>1449</v>
      </c>
      <c r="G117" s="2150" t="s">
        <v>1451</v>
      </c>
      <c r="H117" s="2150" t="s">
        <v>1449</v>
      </c>
      <c r="I117" s="2150" t="s">
        <v>1451</v>
      </c>
    </row>
    <row r="118" spans="1:27" ht="24.75" customHeight="1">
      <c r="A118" s="2382" t="str">
        <f>项目基本情况!S2</f>
        <v>北京市房山区辰光东路16号院5号楼10层1001等共计9套房地产</v>
      </c>
      <c r="B118" s="2150">
        <f>M18</f>
        <v>94.78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78">
        <f ca="1">ROUND(IF(D32="总价",C32,I118*B118/10000),4)</f>
        <v>95.784700000000001</v>
      </c>
      <c r="I118" s="2150">
        <f ca="1">ROUND(IF(D32="楼面单价",C32,H118*10000/B118),0)</f>
        <v>10106</v>
      </c>
    </row>
    <row r="119" spans="1:27" ht="18.75" customHeight="1">
      <c r="A119" s="3292" t="s">
        <v>1452</v>
      </c>
      <c r="B119" s="3292"/>
      <c r="C119" s="3292"/>
      <c r="D119" s="3298" t="str">
        <f>NUMBERSTRING(INT(D118*10000),2)&amp;"元整"</f>
        <v>零元整</v>
      </c>
      <c r="E119" s="3299"/>
      <c r="F119" s="3298" t="str">
        <f>NUMBERSTRING(INT(F118*10000),2)&amp;"元整"</f>
        <v>零元整</v>
      </c>
      <c r="G119" s="3299"/>
      <c r="H119" s="3298" t="str">
        <f ca="1">NUMBERSTRING(INT(H118*10000),2)&amp;"元整"</f>
        <v>玖拾伍万柒仟捌佰肆拾柒元整</v>
      </c>
      <c r="I119" s="3299"/>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8" t="s">
        <v>1452</v>
      </c>
      <c r="B121" s="3300"/>
      <c r="C121" s="3299"/>
      <c r="D121" s="3298" t="str">
        <f>IF(D120=0,"零元整",NUMBERSTRING(INT(D120*10000),2)&amp;"元整")</f>
        <v>零元整</v>
      </c>
      <c r="E121" s="3300"/>
      <c r="F121" s="3300"/>
      <c r="G121" s="3300"/>
      <c r="H121" s="3300"/>
      <c r="I121" s="3299"/>
      <c r="AA121" s="684"/>
    </row>
    <row r="122" spans="1:27" ht="18.75" customHeight="1">
      <c r="A122" s="3304" t="str">
        <f>IF(项目基本情况!B9="房地产市场价值","",MID(E107,3,LEN(E107)-2))</f>
        <v>房地产抵押价值</v>
      </c>
      <c r="B122" s="3304"/>
      <c r="C122" s="3304"/>
      <c r="D122" s="3293">
        <f ca="1">H107</f>
        <v>95.784700000000001</v>
      </c>
      <c r="E122" s="3294"/>
      <c r="F122" s="3294"/>
      <c r="G122" s="3294"/>
      <c r="H122" s="3294"/>
      <c r="I122" s="3295"/>
      <c r="AA122" s="684"/>
    </row>
    <row r="123" spans="1:27" ht="18.75" customHeight="1">
      <c r="A123" s="3292" t="s">
        <v>1452</v>
      </c>
      <c r="B123" s="3292"/>
      <c r="C123" s="3292"/>
      <c r="D123" s="3298" t="str">
        <f ca="1">NUMBERSTRING(INT(D122*10000),2)&amp;"元整"</f>
        <v>玖拾伍万柒仟捌佰肆拾柒元整</v>
      </c>
      <c r="E123" s="3300"/>
      <c r="F123" s="3300"/>
      <c r="G123" s="3300"/>
      <c r="H123" s="3300"/>
      <c r="I123" s="3299"/>
      <c r="AA123" s="684"/>
    </row>
    <row r="124" spans="1:27" ht="18.75" customHeight="1">
      <c r="A124" s="3304" t="str">
        <f>IF(项目基本情况!B9="房地产市场价值","",MID(E109,3,LEN(E109)-2))</f>
        <v/>
      </c>
      <c r="B124" s="3304"/>
      <c r="C124" s="3304"/>
      <c r="D124" s="3293" t="str">
        <f>H109</f>
        <v>——</v>
      </c>
      <c r="E124" s="3294"/>
      <c r="F124" s="3294"/>
      <c r="G124" s="3294"/>
      <c r="H124" s="3294"/>
      <c r="I124" s="3295"/>
      <c r="AA124" s="684"/>
    </row>
    <row r="125" spans="1:27" ht="18.75" customHeight="1">
      <c r="A125" s="3292" t="s">
        <v>1452</v>
      </c>
      <c r="B125" s="3292"/>
      <c r="C125" s="3292"/>
      <c r="D125" s="3298" t="e">
        <f>NUMBERSTRING(INT(D124*10000),2)&amp;"元整"</f>
        <v>#VALUE!</v>
      </c>
      <c r="E125" s="3300"/>
      <c r="F125" s="3300"/>
      <c r="G125" s="3300"/>
      <c r="H125" s="3300"/>
      <c r="I125" s="3299"/>
      <c r="AA125" s="684"/>
    </row>
    <row r="126" spans="1:27" ht="18.75" customHeight="1">
      <c r="A126" s="3304" t="str">
        <f>IF(项目基本情况!B9="房地产市场价值","",MID(E111,3,LEN(E111)-2))</f>
        <v>抵押净值</v>
      </c>
      <c r="B126" s="3304"/>
      <c r="C126" s="3304"/>
      <c r="D126" s="3293">
        <f ca="1">H111</f>
        <v>95.736800000000002</v>
      </c>
      <c r="E126" s="3294"/>
      <c r="F126" s="3294"/>
      <c r="G126" s="3294"/>
      <c r="H126" s="3294"/>
      <c r="I126" s="3295"/>
      <c r="AA126" s="684"/>
    </row>
    <row r="127" spans="1:27" ht="18.75" customHeight="1">
      <c r="A127" s="3292" t="s">
        <v>1452</v>
      </c>
      <c r="B127" s="3292"/>
      <c r="C127" s="3292"/>
      <c r="D127" s="3298" t="str">
        <f ca="1">NUMBERSTRING(INT(D126*10000),2)&amp;"元整"</f>
        <v>玖拾伍万柒仟叁佰陆拾捌元整</v>
      </c>
      <c r="E127" s="3300"/>
      <c r="F127" s="3300"/>
      <c r="G127" s="3300"/>
      <c r="H127" s="3300"/>
      <c r="I127" s="3299"/>
      <c r="AA127" s="684"/>
    </row>
    <row r="128" spans="1:27" ht="21.75" customHeight="1">
      <c r="A128" s="3301" t="s">
        <v>1453</v>
      </c>
      <c r="B128" s="3301"/>
      <c r="C128" s="3301"/>
      <c r="D128" s="3301"/>
      <c r="E128" s="3301"/>
      <c r="F128" s="3301"/>
      <c r="G128" s="3301"/>
      <c r="H128" s="3301"/>
      <c r="I128" s="330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D7">
    <cfRule type="cellIs" dxfId="148" priority="6" stopIfTrue="1" operator="equal">
      <formula>25</formula>
    </cfRule>
  </conditionalFormatting>
  <conditionalFormatting sqref="C8:D13">
    <cfRule type="cellIs" dxfId="147" priority="5" stopIfTrue="1" operator="equal">
      <formula>15</formula>
    </cfRule>
  </conditionalFormatting>
  <conditionalFormatting sqref="C14:D16">
    <cfRule type="cellIs" dxfId="146" priority="4" stopIfTrue="1" operator="equal">
      <formula>30</formula>
    </cfRule>
  </conditionalFormatting>
  <conditionalFormatting sqref="E36">
    <cfRule type="expression" dxfId="145" priority="1" stopIfTrue="1">
      <formula>$D$36="同一抵押权人同一抵押物续贷"</formula>
    </cfRule>
  </conditionalFormatting>
  <dataValidations count="23">
    <dataValidation type="list" allowBlank="1" showInputMessage="1" showErrorMessage="1" sqref="D92" xr:uid="{DD4F30C0-2BC4-40B4-9B43-173A66E12E1F}">
      <formula1>"0,5%,10%"</formula1>
    </dataValidation>
    <dataValidation type="list" allowBlank="1" showInputMessage="1" showErrorMessage="1" sqref="H59" xr:uid="{5AD92498-F288-4DFE-9601-60FFF780348C}">
      <formula1>"非个人房产,个人住宅（满五唯一有凭证）,个人其他（有凭证）,个人其他（无凭证）"</formula1>
    </dataValidation>
    <dataValidation type="list" allowBlank="1" showInputMessage="1" showErrorMessage="1" sqref="E103" xr:uid="{2EBBF341-735B-4F1A-B33D-7DF0A5138848}">
      <formula1>"2.估价师知悉的法定优先受偿款,2.估价师知悉的除抵押担保权以外的法定优先受偿款"</formula1>
    </dataValidation>
    <dataValidation type="list" allowBlank="1" showInputMessage="1" showErrorMessage="1" sqref="G77" xr:uid="{F4DE184B-3436-4273-ABF6-F064EB0AB51C}">
      <formula1>"个人住宅,2016年5月1日前购买,2016年5月1日后购买"</formula1>
    </dataValidation>
    <dataValidation type="list" allowBlank="1" showInputMessage="1" showErrorMessage="1" sqref="C1" xr:uid="{ADBF740B-77A3-404E-9C31-544ABC023F56}">
      <formula1>项目类型</formula1>
    </dataValidation>
    <dataValidation type="list" allowBlank="1" showInputMessage="1" showErrorMessage="1" sqref="I1" xr:uid="{EF2BAC80-D10E-4797-8E0D-76E768782B9F}">
      <formula1>"项目局部,项目全部,——"</formula1>
    </dataValidation>
    <dataValidation type="list" showInputMessage="1" showErrorMessage="1" sqref="G1" xr:uid="{9C5010DE-369B-48DB-B102-E864EB71CA1B}">
      <formula1>"现房,在建,土地,-"</formula1>
    </dataValidation>
    <dataValidation type="list" allowBlank="1" showInputMessage="1" showErrorMessage="1" sqref="C129" xr:uid="{32100D6D-366C-4C63-9B14-3E590DCEA1F2}">
      <formula1>"无,有"</formula1>
    </dataValidation>
    <dataValidation type="list" allowBlank="1" showInputMessage="1" showErrorMessage="1" sqref="F116:G116" xr:uid="{FD53DCB6-3D60-440D-9562-568CD82815BD}">
      <formula1>"建筑物价值,在建建筑物价值,建筑物/在建建筑物价值"</formula1>
    </dataValidation>
    <dataValidation type="list" allowBlank="1" showInputMessage="1" showErrorMessage="1" sqref="D116:E116" xr:uid="{D04594F0-207D-4AA8-8BDD-7EB0AE998064}">
      <formula1>"出让国有建设用地使用权价值,划拨国有建设用地使用权价值"</formula1>
    </dataValidation>
    <dataValidation type="list" allowBlank="1" showInputMessage="1" showErrorMessage="1" sqref="C116:C117" xr:uid="{8E58E9B0-BDEA-4353-98A6-DD7AC3F93412}">
      <formula1>"土地面积,分摊土地面积,（分摊）土地面积"</formula1>
    </dataValidation>
    <dataValidation type="list" allowBlank="1" showInputMessage="1" showErrorMessage="1" sqref="B116:B117" xr:uid="{79CD1787-5E36-4874-AE3B-E1C1F7BA450D}">
      <formula1>"建筑面积,规划建筑面积,（规划）建筑面积"</formula1>
    </dataValidation>
    <dataValidation type="list" allowBlank="1" showInputMessage="1" showErrorMessage="1" sqref="D36" xr:uid="{2FA85321-A629-48C7-8547-9C9E94424B06}">
      <formula1>"同一抵押权人同一抵押物续贷,注销后放款,正常操作"</formula1>
    </dataValidation>
    <dataValidation type="list" allowBlank="1" showInputMessage="1" showErrorMessage="1" sqref="F75" xr:uid="{77F16C85-4424-4C79-816C-8B075D6C4737}">
      <formula1>"买卖合同,购房发票"</formula1>
    </dataValidation>
    <dataValidation type="list" allowBlank="1" showInputMessage="1" showErrorMessage="1" sqref="H88" xr:uid="{057DAA00-9F07-4DAF-AFEA-AFF35D15AEBC}">
      <formula1>"仅含出让金,出让金+开发费"</formula1>
    </dataValidation>
    <dataValidation type="list" allowBlank="1" showInputMessage="1" showErrorMessage="1" sqref="H91" xr:uid="{AE2B8D3D-6822-4B1C-B4BA-66E0BD8811A3}">
      <formula1>"企业提供（在右侧录入）,——"</formula1>
    </dataValidation>
    <dataValidation type="list" allowBlank="1" showInputMessage="1" showErrorMessage="1" sqref="C33" xr:uid="{F121F5BA-A703-4290-9ADA-C80D4A150120}">
      <formula1>"成本比率,收益比率,自定义"</formula1>
    </dataValidation>
    <dataValidation type="list" allowBlank="1" showInputMessage="1" showErrorMessage="1" sqref="F45" xr:uid="{5E8B5273-C858-4939-856D-80B492727419}">
      <formula1>"100%,70%,56%"</formula1>
    </dataValidation>
    <dataValidation type="list" allowBlank="1" showInputMessage="1" showErrorMessage="1" sqref="D32" xr:uid="{ED4F1678-0821-4108-A857-A24CC9770B99}">
      <formula1>"总价,楼面单价"</formula1>
    </dataValidation>
    <dataValidation type="list" allowBlank="1" showInputMessage="1" showErrorMessage="1" sqref="H58" xr:uid="{12A623A1-286C-4DB7-97AF-13FA08DEA2D9}">
      <formula1>"转让取得,自行开发建设"</formula1>
    </dataValidation>
    <dataValidation type="list" allowBlank="1" showInputMessage="1" showErrorMessage="1" sqref="H48" xr:uid="{7568D68A-9D12-4502-8538-C05F535CBDF6}">
      <formula1>"情况1,情况2,情况3,情况4"</formula1>
    </dataValidation>
    <dataValidation type="list" allowBlank="1" showInputMessage="1" showErrorMessage="1" sqref="H55:H56" xr:uid="{8DBE0049-57DF-47E3-BC13-C82455A29A58}">
      <formula1>"个人住宅,正常"</formula1>
    </dataValidation>
    <dataValidation type="list" allowBlank="1" showInputMessage="1" showErrorMessage="1" sqref="C4:D4 D33" xr:uid="{ED290083-82CF-4496-AD54-454D25CF292A}">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14DAA-0853-48FE-8104-C56F38257B0F}">
  <sheetPr>
    <tabColor rgb="FFFF0000"/>
  </sheetPr>
  <dimension ref="A1:AJ512"/>
  <sheetViews>
    <sheetView view="pageBreakPreview" topLeftCell="A49" zoomScale="70" zoomScaleNormal="100" zoomScaleSheetLayoutView="70" zoomScalePageLayoutView="80" workbookViewId="0">
      <selection activeCell="D45" sqref="D4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1001</v>
      </c>
      <c r="D1" s="646"/>
      <c r="E1" s="646"/>
      <c r="F1" s="1621" t="s">
        <v>1263</v>
      </c>
      <c r="G1" s="1453"/>
      <c r="H1" s="1621" t="str">
        <f>IF(G1="现房","——","估价对象范围")</f>
        <v>估价对象范围</v>
      </c>
      <c r="I1" s="1622"/>
    </row>
    <row r="2" spans="1:12" ht="21.75" customHeight="1" thickBot="1">
      <c r="A2" s="3344" t="str">
        <f>项目基本情况!S2</f>
        <v>北京市房山区辰光东路16号院5号楼10层1001等共计9套房地产</v>
      </c>
      <c r="B2" s="3345"/>
      <c r="C2" s="3345"/>
      <c r="D2" s="3345"/>
      <c r="E2" s="3345"/>
      <c r="F2" s="3345"/>
      <c r="G2" s="3345"/>
      <c r="H2" s="3345"/>
      <c r="I2" s="3346"/>
    </row>
    <row r="3" spans="1:12" ht="13.2">
      <c r="A3" s="3348" t="s">
        <v>1264</v>
      </c>
      <c r="B3" s="3349"/>
      <c r="C3" s="3349"/>
      <c r="D3" s="3349"/>
      <c r="E3" s="3349"/>
      <c r="F3" s="3349"/>
      <c r="G3" s="3349"/>
      <c r="H3" s="3349"/>
      <c r="I3" s="3349"/>
    </row>
    <row r="4" spans="1:12" ht="14.4">
      <c r="A4" s="1624" t="s">
        <v>1265</v>
      </c>
      <c r="B4" s="1625" t="s">
        <v>1266</v>
      </c>
      <c r="C4" s="1626" t="s">
        <v>3456</v>
      </c>
      <c r="D4" s="1626" t="s">
        <v>3454</v>
      </c>
      <c r="E4" s="3353" t="s">
        <v>1267</v>
      </c>
      <c r="F4" s="3354"/>
      <c r="G4" s="3354"/>
      <c r="H4" s="3354"/>
      <c r="I4" s="3355"/>
      <c r="K4" s="138" t="str">
        <f>IF(ISNUMBER(FIND("比较法",结果表1010!C4)),"比较法",IF(ISNUMBER(FIND("成本法",结果表1010!C4)),"成本法",IF(ISNUMBER(FIND("假设开发法",结果表1010!C4)),"假设开发法",IF(ISNUMBER(FIND("收益法",结果表1010!C4)),"收益法","基准地价系数修正法"))))</f>
        <v>比较法</v>
      </c>
      <c r="L4" s="138" t="str">
        <f>IF(ISNUMBER(FIND("比较法",结果表1010!D4)),"比较法",IF(ISNUMBER(FIND("成本法",结果表1010!D4)),"成本法",IF(ISNUMBER(FIND("假设开发法",结果表1010!D4)),"假设开发法",IF(ISNUMBER(FIND("收益法",结果表1010!D4)),"收益法","基准地价系数修正法"))))</f>
        <v>收益法</v>
      </c>
    </row>
    <row r="5" spans="1:12" ht="13.2">
      <c r="A5" s="3292" t="s">
        <v>1268</v>
      </c>
      <c r="B5" s="3347">
        <v>25</v>
      </c>
      <c r="C5" s="3350"/>
      <c r="D5" s="3338"/>
      <c r="E5" s="123" t="s">
        <v>1269</v>
      </c>
      <c r="F5" s="1627"/>
      <c r="G5" s="1627"/>
      <c r="H5" s="1627"/>
      <c r="I5" s="1281"/>
    </row>
    <row r="6" spans="1:12" ht="13.2">
      <c r="A6" s="3292"/>
      <c r="B6" s="3347"/>
      <c r="C6" s="3352"/>
      <c r="D6" s="3338"/>
      <c r="E6" s="123" t="s">
        <v>1270</v>
      </c>
      <c r="F6" s="1627"/>
      <c r="G6" s="1627"/>
      <c r="H6" s="1627"/>
      <c r="I6" s="1281"/>
    </row>
    <row r="7" spans="1:12" ht="13.2">
      <c r="A7" s="3292"/>
      <c r="B7" s="3347"/>
      <c r="C7" s="3351"/>
      <c r="D7" s="3338"/>
      <c r="E7" s="123" t="s">
        <v>1271</v>
      </c>
      <c r="F7" s="1627"/>
      <c r="G7" s="1627"/>
      <c r="H7" s="1627"/>
      <c r="I7" s="1281"/>
    </row>
    <row r="8" spans="1:12" ht="13.2">
      <c r="A8" s="3292" t="s">
        <v>1272</v>
      </c>
      <c r="B8" s="3347">
        <v>15</v>
      </c>
      <c r="C8" s="3350"/>
      <c r="D8" s="3338"/>
      <c r="E8" s="123" t="s">
        <v>1273</v>
      </c>
      <c r="F8" s="1627"/>
      <c r="G8" s="1627"/>
      <c r="H8" s="1627"/>
      <c r="I8" s="1281"/>
    </row>
    <row r="9" spans="1:12" ht="13.2">
      <c r="A9" s="3292"/>
      <c r="B9" s="3347"/>
      <c r="C9" s="3351"/>
      <c r="D9" s="3338"/>
      <c r="E9" s="123" t="s">
        <v>1274</v>
      </c>
      <c r="F9" s="1627"/>
      <c r="G9" s="1627"/>
      <c r="H9" s="1627"/>
      <c r="I9" s="1281"/>
    </row>
    <row r="10" spans="1:12" ht="13.2">
      <c r="A10" s="3292" t="s">
        <v>1275</v>
      </c>
      <c r="B10" s="3347">
        <v>15</v>
      </c>
      <c r="C10" s="3350"/>
      <c r="D10" s="3338"/>
      <c r="E10" s="123" t="s">
        <v>1276</v>
      </c>
      <c r="F10" s="1627"/>
      <c r="G10" s="1627"/>
      <c r="H10" s="1627"/>
      <c r="I10" s="1281"/>
    </row>
    <row r="11" spans="1:12" ht="13.2">
      <c r="A11" s="3292"/>
      <c r="B11" s="3347"/>
      <c r="C11" s="3351"/>
      <c r="D11" s="3338"/>
      <c r="E11" s="123" t="s">
        <v>1277</v>
      </c>
      <c r="F11" s="1627"/>
      <c r="G11" s="1627"/>
      <c r="H11" s="1627"/>
      <c r="I11" s="1281"/>
    </row>
    <row r="12" spans="1:12" ht="13.2">
      <c r="A12" s="3292" t="s">
        <v>1278</v>
      </c>
      <c r="B12" s="3347">
        <v>15</v>
      </c>
      <c r="C12" s="3350"/>
      <c r="D12" s="3338"/>
      <c r="E12" s="123" t="s">
        <v>1279</v>
      </c>
      <c r="F12" s="1627"/>
      <c r="G12" s="1627"/>
      <c r="H12" s="1627"/>
      <c r="I12" s="1281"/>
    </row>
    <row r="13" spans="1:12" ht="13.2">
      <c r="A13" s="3292"/>
      <c r="B13" s="3347"/>
      <c r="C13" s="3351"/>
      <c r="D13" s="3338"/>
      <c r="E13" s="123" t="s">
        <v>1280</v>
      </c>
      <c r="F13" s="1627"/>
      <c r="G13" s="1627"/>
      <c r="H13" s="1627"/>
      <c r="I13" s="1281"/>
    </row>
    <row r="14" spans="1:12" ht="13.2">
      <c r="A14" s="3292" t="s">
        <v>1281</v>
      </c>
      <c r="B14" s="3347">
        <v>30</v>
      </c>
      <c r="C14" s="3350">
        <v>6</v>
      </c>
      <c r="D14" s="3338">
        <v>4</v>
      </c>
      <c r="E14" s="123" t="s">
        <v>1282</v>
      </c>
      <c r="F14" s="1627"/>
      <c r="G14" s="1627"/>
      <c r="H14" s="1627"/>
      <c r="I14" s="1281"/>
    </row>
    <row r="15" spans="1:12" ht="13.2">
      <c r="A15" s="3292"/>
      <c r="B15" s="3347"/>
      <c r="C15" s="3352"/>
      <c r="D15" s="3338"/>
      <c r="E15" s="123" t="s">
        <v>1283</v>
      </c>
      <c r="F15" s="1627"/>
      <c r="G15" s="1627"/>
      <c r="H15" s="1627"/>
      <c r="I15" s="1281"/>
    </row>
    <row r="16" spans="1:12" ht="13.2">
      <c r="A16" s="3292"/>
      <c r="B16" s="3347"/>
      <c r="C16" s="3351"/>
      <c r="D16" s="3338"/>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69" t="s">
        <v>2129</v>
      </c>
      <c r="F18" s="3370"/>
      <c r="G18" s="3370"/>
      <c r="H18" s="3370"/>
      <c r="I18" s="3370"/>
      <c r="K18" s="294" t="s">
        <v>1289</v>
      </c>
      <c r="L18" s="294">
        <f>IF(C1="",'数据-汇总表'!E3,SUMIF(项目类型,C1,'数据-汇总表'!E17:E26)+SUMIF(项目类型,C1,'数据-汇总表'!I17:I26))</f>
        <v>94.78</v>
      </c>
      <c r="M18" s="294">
        <f>IF(C1="",'数据-汇总表'!E3,SUMIF(项目类型,C1,'数据-汇总表'!E17:E26))</f>
        <v>94.78</v>
      </c>
    </row>
    <row r="19" spans="1:36" ht="14.4">
      <c r="A19" s="1630" t="s">
        <v>1290</v>
      </c>
      <c r="B19" s="1631" t="s">
        <v>1291</v>
      </c>
      <c r="C19" s="126">
        <f ca="1">SUMIF(INDIRECT("'"&amp;C4&amp;"'"&amp;"!A:A"),结果表1010!B19,INDIRECT("'"&amp;C4&amp;"'"&amp;"!B:B"))</f>
        <v>111.84990000000001</v>
      </c>
      <c r="D19" s="127">
        <f ca="1">SUMIF(INDIRECT("'"&amp;D4&amp;"'"&amp;"!A:A"),结果表1010!B19,INDIRECT("'"&amp;D4&amp;"'"&amp;"!B:B"))</f>
        <v>71.690899999999999</v>
      </c>
      <c r="E19" s="1630" t="s">
        <v>1292</v>
      </c>
      <c r="F19" s="1631" t="s">
        <v>1291</v>
      </c>
      <c r="G19" s="128">
        <f ca="1">ROUND(C19*$C$18+D19*$D$18,0)</f>
        <v>96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SUMIF(INDIRECT("'"&amp;C4&amp;"'"&amp;"!A:A"),结果表1010!B20,INDIRECT("'"&amp;C4&amp;"'"&amp;"!B:B"))</f>
        <v>11801</v>
      </c>
      <c r="D20" s="130">
        <f ca="1">SUMIF(INDIRECT("'"&amp;D4&amp;"'"&amp;"!A:A"),结果表1010!B20,INDIRECT("'"&amp;D4&amp;"'"&amp;"!B:B"))</f>
        <v>7564</v>
      </c>
      <c r="E20" s="1633"/>
      <c r="F20" s="43" t="s">
        <v>1295</v>
      </c>
      <c r="G20" s="131">
        <f ca="1">ROUND(C20*$C$18+D20*$D$18,0)</f>
        <v>10106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0.56016872434297804</v>
      </c>
      <c r="E22" s="121"/>
      <c r="F22" s="121"/>
      <c r="G22" s="121"/>
      <c r="H22" s="121"/>
      <c r="I22" s="121"/>
    </row>
    <row r="23" spans="1:36" ht="13.8" thickBot="1">
      <c r="A23" s="646"/>
      <c r="B23" s="646"/>
      <c r="C23" s="646"/>
      <c r="D23" s="646"/>
      <c r="E23" s="121"/>
      <c r="F23" s="121"/>
      <c r="G23" s="121"/>
      <c r="H23" s="121"/>
      <c r="I23" s="121"/>
    </row>
    <row r="24" spans="1:36" ht="14.4">
      <c r="A24" s="3362" t="s">
        <v>1299</v>
      </c>
      <c r="B24" s="1631" t="s">
        <v>1291</v>
      </c>
      <c r="C24" s="128">
        <f>IF(B30=0,0,D30)</f>
        <v>0</v>
      </c>
      <c r="D24" s="1637"/>
      <c r="E24" s="121"/>
      <c r="F24" s="121"/>
      <c r="G24" s="121"/>
      <c r="H24" s="121"/>
      <c r="I24" s="121"/>
    </row>
    <row r="25" spans="1:36" ht="14.4">
      <c r="A25" s="33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10106</v>
      </c>
      <c r="D32" s="1641" t="s">
        <v>3517</v>
      </c>
      <c r="E32" s="121"/>
      <c r="F32" s="121"/>
      <c r="G32" s="121"/>
      <c r="H32" s="121"/>
      <c r="I32" s="121"/>
    </row>
    <row r="33" spans="1:15" ht="14.4">
      <c r="A33" s="740" t="s">
        <v>1306</v>
      </c>
      <c r="B33" s="123"/>
      <c r="C33" s="1642" t="s">
        <v>3518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39" t="s">
        <v>1312</v>
      </c>
      <c r="B36" s="1652" t="s">
        <v>1313</v>
      </c>
      <c r="C36" s="137"/>
      <c r="D36" s="1653"/>
      <c r="E36" s="1567"/>
      <c r="F36" s="1654"/>
      <c r="G36" s="121"/>
      <c r="H36" s="121"/>
      <c r="I36" s="121"/>
    </row>
    <row r="37" spans="1:15" ht="15" thickBot="1">
      <c r="A37" s="3340"/>
      <c r="B37" s="1555" t="s">
        <v>1314</v>
      </c>
      <c r="C37" s="139"/>
      <c r="D37" s="1071"/>
      <c r="E37" s="1071"/>
      <c r="F37" s="1654"/>
      <c r="G37" s="121"/>
      <c r="H37" s="121"/>
      <c r="I37" s="121"/>
    </row>
    <row r="38" spans="1:15" ht="15" thickBot="1">
      <c r="A38" s="3341"/>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9" t="s">
        <v>1326</v>
      </c>
      <c r="B45" s="3360"/>
      <c r="C45" s="3361"/>
      <c r="D45" s="3179">
        <f ca="1">典型户型修正!S30</f>
        <v>90.074799999999996</v>
      </c>
      <c r="E45" s="148" t="s">
        <v>1327</v>
      </c>
      <c r="F45" s="149">
        <v>1</v>
      </c>
      <c r="G45" s="150" t="s">
        <v>1328</v>
      </c>
      <c r="H45" s="121"/>
      <c r="I45" s="121"/>
      <c r="J45" s="3279" t="s">
        <v>1329</v>
      </c>
      <c r="K45" s="3279"/>
      <c r="L45" s="3279"/>
      <c r="M45" s="3279"/>
      <c r="N45" s="3279"/>
      <c r="O45" s="3279"/>
    </row>
    <row r="46" spans="1:15" ht="14.25" customHeight="1">
      <c r="A46" s="3356" t="s">
        <v>1330</v>
      </c>
      <c r="B46" s="3357"/>
      <c r="C46" s="3357"/>
      <c r="D46" s="3357"/>
      <c r="E46" s="3357"/>
      <c r="F46" s="3357"/>
      <c r="G46" s="3358"/>
      <c r="H46" s="1668"/>
      <c r="I46" s="151"/>
      <c r="J46" s="2309">
        <v>1</v>
      </c>
      <c r="K46" s="3280" t="s">
        <v>1331</v>
      </c>
      <c r="L46" s="3280"/>
      <c r="M46" s="3281"/>
      <c r="N46" s="3281"/>
      <c r="O46" s="3281"/>
    </row>
    <row r="47" spans="1:15" ht="12" customHeight="1">
      <c r="A47" s="152" t="s">
        <v>1332</v>
      </c>
      <c r="B47" s="153"/>
      <c r="C47" s="154"/>
      <c r="D47" s="1024" t="s">
        <v>1333</v>
      </c>
      <c r="E47" s="294" t="s">
        <v>1334</v>
      </c>
      <c r="F47" s="155" t="s">
        <v>1335</v>
      </c>
      <c r="G47" s="2332" t="s">
        <v>1336</v>
      </c>
      <c r="H47" s="2333"/>
      <c r="I47" s="151"/>
      <c r="J47" s="2309">
        <v>2</v>
      </c>
      <c r="K47" s="3280" t="s">
        <v>1337</v>
      </c>
      <c r="L47" s="3280"/>
      <c r="M47" s="3282">
        <f>'数据-取费表'!B2</f>
        <v>45828</v>
      </c>
      <c r="N47" s="3282"/>
      <c r="O47" s="3282"/>
    </row>
    <row r="48" spans="1:15" ht="39.6">
      <c r="A48" s="3342" t="s">
        <v>1338</v>
      </c>
      <c r="B48" s="3343"/>
      <c r="C48" s="3343"/>
      <c r="D48" s="12">
        <f ca="1">IF(H48="情况1",0,IF(H48="情况2",D52,IF(H48="情况3",D53,IF(H48="情况4",D54))))</f>
        <v>0</v>
      </c>
      <c r="E48" s="1256" t="str">
        <f>IF(H48="情况4","(销售额-原购置价)×税（费）率","销售额×税（费）率")</f>
        <v>(销售额-原购置价)×税（费）率</v>
      </c>
      <c r="F48" s="2334">
        <f>IF(H48="情况1","免征",'数据-取费表'!B41)</f>
        <v>5.6000000000000001E-2</v>
      </c>
      <c r="G48" s="2335" t="s">
        <v>1339</v>
      </c>
      <c r="H48" s="2336" t="s">
        <v>3538</v>
      </c>
      <c r="I48" s="1668"/>
      <c r="J48" s="2309">
        <v>3</v>
      </c>
      <c r="K48" s="3280" t="s">
        <v>1340</v>
      </c>
      <c r="L48" s="3280"/>
      <c r="M48" s="3283">
        <f ca="1">D45</f>
        <v>90.074799999999996</v>
      </c>
      <c r="N48" s="3283"/>
      <c r="O48" s="3283"/>
    </row>
    <row r="49" spans="1:35" ht="25.5" customHeight="1">
      <c r="A49" s="2152" t="s">
        <v>1341</v>
      </c>
      <c r="B49" s="3328" t="s">
        <v>1342</v>
      </c>
      <c r="C49" s="3328"/>
      <c r="D49" s="1478">
        <v>0</v>
      </c>
      <c r="E49" s="316" t="s">
        <v>1343</v>
      </c>
      <c r="F49" s="2232" t="s">
        <v>28</v>
      </c>
      <c r="G49" s="3311"/>
      <c r="H49" s="2134" t="s">
        <v>2132</v>
      </c>
      <c r="I49" s="2135"/>
      <c r="J49" s="2309">
        <v>4</v>
      </c>
      <c r="K49" s="3280" t="str">
        <f>IF(项目基本情况!E8="房地产抵押价值","房地产抵押价值","抵押担保权已注销时的房地产抵押价值")</f>
        <v>房地产抵押价值</v>
      </c>
      <c r="L49" s="3280"/>
      <c r="M49" s="3283">
        <f ca="1">M48</f>
        <v>90.074799999999996</v>
      </c>
      <c r="N49" s="3283"/>
      <c r="O49" s="3283"/>
    </row>
    <row r="50" spans="1:35" ht="25.5" customHeight="1">
      <c r="A50" s="2337"/>
      <c r="B50" s="3328" t="s">
        <v>1344</v>
      </c>
      <c r="C50" s="3328"/>
      <c r="D50" s="2189"/>
      <c r="E50" s="323"/>
      <c r="F50" s="2232"/>
      <c r="G50" s="3312"/>
      <c r="H50" s="2136" t="s">
        <v>2133</v>
      </c>
      <c r="I50" s="2135"/>
      <c r="J50" s="3279" t="s">
        <v>1345</v>
      </c>
      <c r="K50" s="3279"/>
      <c r="L50" s="3279"/>
      <c r="M50" s="3279"/>
      <c r="N50" s="3279"/>
      <c r="O50" s="3279"/>
    </row>
    <row r="51" spans="1:35" ht="20.399999999999999" customHeight="1">
      <c r="A51" s="2338"/>
      <c r="B51" s="3328" t="s">
        <v>1346</v>
      </c>
      <c r="C51" s="3328"/>
      <c r="D51" s="1024"/>
      <c r="E51" s="319"/>
      <c r="F51" s="2232"/>
      <c r="G51" s="3313"/>
      <c r="H51" s="2136" t="s">
        <v>2134</v>
      </c>
      <c r="I51" s="2135"/>
      <c r="J51" s="2310" t="s">
        <v>1347</v>
      </c>
      <c r="K51" s="3280" t="s">
        <v>1348</v>
      </c>
      <c r="L51" s="3280"/>
      <c r="M51" s="2310" t="s">
        <v>1349</v>
      </c>
      <c r="N51" s="2310" t="s">
        <v>1350</v>
      </c>
      <c r="O51" s="2310" t="s">
        <v>1351</v>
      </c>
    </row>
    <row r="52" spans="1:35" ht="24" customHeight="1">
      <c r="A52" s="2153" t="s">
        <v>1352</v>
      </c>
      <c r="B52" s="3328" t="s">
        <v>1353</v>
      </c>
      <c r="C52" s="3328"/>
      <c r="D52" s="1024">
        <f ca="1">ROUND(D45*'数据-取费表'!B41/(1+'数据-取费表'!C42),0)</f>
        <v>5</v>
      </c>
      <c r="E52" s="1256" t="s">
        <v>1354</v>
      </c>
      <c r="F52" s="2339">
        <f>'数据-取费表'!B41</f>
        <v>5.6000000000000001E-2</v>
      </c>
      <c r="G52" s="2340"/>
      <c r="H52" s="2330"/>
      <c r="I52" s="1669"/>
      <c r="J52" s="2309">
        <v>1</v>
      </c>
      <c r="K52" s="3305" t="s">
        <v>1355</v>
      </c>
      <c r="L52" s="3305"/>
      <c r="M52" s="2311">
        <f ca="1">D48</f>
        <v>0</v>
      </c>
      <c r="N52" s="2309" t="str">
        <f>E48</f>
        <v>(销售额-原购置价)×税（费）率</v>
      </c>
      <c r="O52" s="2312">
        <f>F48</f>
        <v>5.6000000000000001E-2</v>
      </c>
    </row>
    <row r="53" spans="1:35" ht="12" customHeight="1">
      <c r="A53" s="2153" t="s">
        <v>1356</v>
      </c>
      <c r="B53" s="3329" t="s">
        <v>2289</v>
      </c>
      <c r="C53" s="3330"/>
      <c r="D53" s="1024">
        <f ca="1">ROUND(D45*'数据-取费表'!B41/(1+'数据-取费表'!C42),0)</f>
        <v>5</v>
      </c>
      <c r="E53" s="1256" t="s">
        <v>1354</v>
      </c>
      <c r="F53" s="2339">
        <f>'数据-取费表'!B41</f>
        <v>5.6000000000000001E-2</v>
      </c>
      <c r="G53" s="2340"/>
      <c r="H53" s="2330"/>
      <c r="I53" s="1669"/>
      <c r="J53" s="2309">
        <v>2</v>
      </c>
      <c r="K53" s="3305" t="s">
        <v>1357</v>
      </c>
      <c r="L53" s="3305"/>
      <c r="M53" s="2311">
        <f t="shared" ref="M53:O54" ca="1" si="0">D55</f>
        <v>4.4999999999999998E-2</v>
      </c>
      <c r="N53" s="2309" t="str">
        <f t="shared" si="0"/>
        <v>销售额×税（费）率</v>
      </c>
      <c r="O53" s="2312">
        <f t="shared" si="0"/>
        <v>5.0000000000000001E-4</v>
      </c>
    </row>
    <row r="54" spans="1:35" ht="12" customHeight="1">
      <c r="A54" s="2153" t="s">
        <v>1358</v>
      </c>
      <c r="B54" s="3329" t="s">
        <v>2290</v>
      </c>
      <c r="C54" s="3330"/>
      <c r="D54" s="1024">
        <f ca="1">C68</f>
        <v>0</v>
      </c>
      <c r="E54" s="319" t="s">
        <v>1359</v>
      </c>
      <c r="F54" s="2339">
        <f>'数据-取费表'!B41</f>
        <v>5.6000000000000001E-2</v>
      </c>
      <c r="G54" s="2340"/>
      <c r="H54" s="2341"/>
      <c r="I54" s="1669"/>
      <c r="J54" s="2309">
        <v>3</v>
      </c>
      <c r="K54" s="3305" t="s">
        <v>1360</v>
      </c>
      <c r="L54" s="3305"/>
      <c r="M54" s="2311">
        <f t="shared" ca="1" si="0"/>
        <v>0</v>
      </c>
      <c r="N54" s="2309" t="str">
        <f t="shared" si="0"/>
        <v>增值额×税（费）率</v>
      </c>
      <c r="O54" s="2313" t="str">
        <f t="shared" si="0"/>
        <v>——</v>
      </c>
    </row>
    <row r="55" spans="1:35" ht="24" customHeight="1">
      <c r="A55" s="3365" t="s">
        <v>1361</v>
      </c>
      <c r="B55" s="3343"/>
      <c r="C55" s="3343"/>
      <c r="D55" s="1504">
        <f ca="1">IF(H55="个人住宅",0,ROUND(D45*I55,4))</f>
        <v>4.4999999999999998E-2</v>
      </c>
      <c r="E55" s="1256" t="s">
        <v>1362</v>
      </c>
      <c r="F55" s="2339">
        <f>IF(H55="正常",I55,"免征")</f>
        <v>5.0000000000000001E-4</v>
      </c>
      <c r="G55" s="2340"/>
      <c r="H55" s="2336" t="s">
        <v>3465</v>
      </c>
      <c r="I55" s="157">
        <f>'数据-取费表'!B49</f>
        <v>5.0000000000000001E-4</v>
      </c>
      <c r="J55" s="2309" t="str">
        <f>IF(H59="非个人房产","",4)</f>
        <v/>
      </c>
      <c r="K55" s="3305" t="str">
        <f>IF(H59="非个人房产","——","个人所得税")</f>
        <v>——</v>
      </c>
      <c r="L55" s="3305"/>
      <c r="M55" s="2314" t="str">
        <f>D59</f>
        <v>——</v>
      </c>
      <c r="N55" s="1883" t="str">
        <f>E59</f>
        <v>——</v>
      </c>
      <c r="O55" s="2315" t="str">
        <f>F59</f>
        <v>——</v>
      </c>
    </row>
    <row r="56" spans="1:35" ht="25.2">
      <c r="A56" s="3365" t="s">
        <v>1363</v>
      </c>
      <c r="B56" s="3343"/>
      <c r="C56" s="3343"/>
      <c r="D56" s="12">
        <f ca="1">IF(H56="个人住宅",D57,D58)</f>
        <v>0</v>
      </c>
      <c r="E56" s="1256" t="s">
        <v>1364</v>
      </c>
      <c r="F56" s="2339" t="str">
        <f>IF(H56="正常",F58,"免征")</f>
        <v>——</v>
      </c>
      <c r="G56" s="2342" t="s">
        <v>1365</v>
      </c>
      <c r="H56" s="2343" t="s">
        <v>3465</v>
      </c>
      <c r="I56" s="1670"/>
      <c r="J56" s="2309" t="str">
        <f>IF(项目基本情况!K6="上海银行",IF(J55="",4,J55+1),"")</f>
        <v/>
      </c>
      <c r="K56" s="3286" t="str">
        <f>IF(项目基本情况!K6="上海银行","其他处置费用","")</f>
        <v/>
      </c>
      <c r="L56" s="3287"/>
      <c r="M56" s="2311" t="str">
        <f>IF(项目基本情况!K6="上海银行",M69,"")</f>
        <v/>
      </c>
      <c r="N56" s="3286" t="str">
        <f>IF(项目基本情况!K6="上海银行","包含处置中涉及的律师、诉讼、拍卖、评估等费用","")</f>
        <v/>
      </c>
      <c r="O56" s="3289"/>
    </row>
    <row r="57" spans="1:35" ht="13.2">
      <c r="A57" s="2153" t="s">
        <v>1341</v>
      </c>
      <c r="B57" s="3329" t="s">
        <v>1366</v>
      </c>
      <c r="C57" s="3330"/>
      <c r="D57" s="1478">
        <v>0</v>
      </c>
      <c r="E57" s="316" t="s">
        <v>1343</v>
      </c>
      <c r="F57" s="294"/>
      <c r="G57" s="2340"/>
      <c r="H57" s="2344"/>
      <c r="I57" s="1670"/>
      <c r="J57" s="3305">
        <f>IF(AND(J55="",J56=""),4,IF(项目基本情况!K6="上海银行",结果表1010!J56+1,结果表1010!J55+1))</f>
        <v>4</v>
      </c>
      <c r="K57" s="3305" t="s">
        <v>1367</v>
      </c>
      <c r="L57" s="2316" t="s">
        <v>1368</v>
      </c>
      <c r="M57" s="2317"/>
      <c r="N57" s="2318">
        <f ca="1">SUMIF(M52:M56,"&lt;9e307")</f>
        <v>4.4999999999999998E-2</v>
      </c>
      <c r="O57" s="2319"/>
      <c r="P57" s="2460">
        <f ca="1">N57/M49</f>
        <v>4.9958478953047915E-4</v>
      </c>
    </row>
    <row r="58" spans="1:35" ht="25.2">
      <c r="A58" s="2153" t="s">
        <v>1352</v>
      </c>
      <c r="B58" s="3329" t="s">
        <v>1369</v>
      </c>
      <c r="C58" s="3328"/>
      <c r="D58" s="12">
        <f ca="1">IF(H58="转让取得",C81,C97)</f>
        <v>0</v>
      </c>
      <c r="E58" s="1256" t="s">
        <v>1364</v>
      </c>
      <c r="F58" s="294" t="s">
        <v>28</v>
      </c>
      <c r="G58" s="2340"/>
      <c r="H58" s="2343" t="s">
        <v>3539</v>
      </c>
      <c r="I58" s="1670"/>
      <c r="J58" s="3305"/>
      <c r="K58" s="3305"/>
      <c r="L58" s="2316" t="s">
        <v>1370</v>
      </c>
      <c r="M58" s="2320"/>
      <c r="N58" s="2321" t="str">
        <f ca="1">NUMBERSTRING(INT(N57*10000),2)&amp;"元整"</f>
        <v>肆佰伍拾元整</v>
      </c>
      <c r="O58" s="2322"/>
    </row>
    <row r="59" spans="1:35" ht="24.6" thickBot="1">
      <c r="A59" s="3309" t="s">
        <v>1371</v>
      </c>
      <c r="B59" s="3310"/>
      <c r="C59" s="3310"/>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3540</v>
      </c>
      <c r="I59" s="2137" t="s">
        <v>2135</v>
      </c>
      <c r="J59" s="3307">
        <f>J57+1</f>
        <v>5</v>
      </c>
      <c r="K59" s="3305" t="s">
        <v>1372</v>
      </c>
      <c r="L59" s="2309" t="s">
        <v>1368</v>
      </c>
      <c r="M59" s="2323"/>
      <c r="N59" s="2324">
        <f ca="1">M49-N57</f>
        <v>90.029799999999994</v>
      </c>
      <c r="O59" s="2325"/>
    </row>
    <row r="60" spans="1:35" ht="12" customHeight="1">
      <c r="A60" s="1671"/>
      <c r="B60" s="646"/>
      <c r="C60" s="646"/>
      <c r="D60" s="646"/>
      <c r="E60" s="1466"/>
      <c r="F60" s="1670"/>
      <c r="G60" s="1670"/>
      <c r="H60" s="151"/>
      <c r="I60" s="121"/>
      <c r="J60" s="3308"/>
      <c r="K60" s="3305"/>
      <c r="L60" s="2316" t="s">
        <v>1370</v>
      </c>
      <c r="M60" s="2320"/>
      <c r="N60" s="2321" t="str">
        <f ca="1">NUMBERSTRING(INT(N59*10000),2)&amp;"元整"</f>
        <v>玖拾万零贰佰玖拾捌元整</v>
      </c>
      <c r="O60" s="2322"/>
    </row>
    <row r="61" spans="1:35" ht="13.8" thickBot="1">
      <c r="A61" s="3364" t="s">
        <v>1373</v>
      </c>
      <c r="B61" s="3364"/>
      <c r="C61" s="3364"/>
      <c r="D61" s="3364"/>
      <c r="E61" s="3364"/>
      <c r="F61" s="1670"/>
      <c r="G61" s="1670"/>
      <c r="H61" s="151"/>
      <c r="I61" s="121"/>
      <c r="J61" s="2309">
        <f>J59+1</f>
        <v>6</v>
      </c>
      <c r="K61" s="3305" t="s">
        <v>1374</v>
      </c>
      <c r="L61" s="3305"/>
      <c r="M61" s="2326"/>
      <c r="N61" s="3188">
        <f ca="1">ROUND(N59*10000/'数据-基础表'!G19,0)</f>
        <v>10101</v>
      </c>
      <c r="O61" s="2328"/>
    </row>
    <row r="62" spans="1:35" ht="13.2">
      <c r="A62" s="3324" t="s">
        <v>1375</v>
      </c>
      <c r="B62" s="3325"/>
      <c r="C62" s="1865"/>
      <c r="D62" s="1865" t="s">
        <v>1376</v>
      </c>
      <c r="E62" s="158" t="s">
        <v>1377</v>
      </c>
      <c r="F62" s="1670"/>
      <c r="G62" s="1670"/>
      <c r="H62" s="151"/>
      <c r="I62" s="121"/>
    </row>
    <row r="63" spans="1:35" ht="13.2">
      <c r="A63" s="165" t="s">
        <v>330</v>
      </c>
      <c r="B63" s="159" t="s">
        <v>1378</v>
      </c>
      <c r="C63" s="3181">
        <f ca="1">ROUND((C64+C65)/(1+'数据-取费表'!C42),4)</f>
        <v>85.785499999999999</v>
      </c>
      <c r="D63" s="159"/>
      <c r="E63" s="160"/>
      <c r="F63" s="1670"/>
      <c r="G63" s="1670"/>
      <c r="H63" s="151"/>
      <c r="I63" s="121"/>
      <c r="J63" s="3288" t="s">
        <v>1379</v>
      </c>
      <c r="K63" s="1245" t="s">
        <v>1380</v>
      </c>
      <c r="L63" s="1245">
        <f ca="1">IF(M49&gt;10000,M49*0.5%,IF(AND(M49&gt;1000,M49&lt;=10000),M49*1%,IF(AND(M49&gt;100,M49&lt;=1000),M49*3%,IF(AND(M49&gt;10,M49&lt;=100),M49*5%,M49*8%))))</f>
        <v>4.5037399999999996</v>
      </c>
      <c r="M63" s="294">
        <f ca="1">ROUND(L63,1)</f>
        <v>4.5</v>
      </c>
      <c r="N63" s="2329"/>
      <c r="Z63" s="1623"/>
      <c r="AI63" s="1561"/>
    </row>
    <row r="64" spans="1:35" ht="14.25" customHeight="1">
      <c r="A64" s="161" t="s">
        <v>325</v>
      </c>
      <c r="B64" s="162" t="s">
        <v>1381</v>
      </c>
      <c r="C64" s="3182">
        <f ca="1">D45</f>
        <v>90.074799999999996</v>
      </c>
      <c r="D64" s="162" t="s">
        <v>26</v>
      </c>
      <c r="E64" s="164"/>
      <c r="F64" s="1670"/>
      <c r="G64" s="1670"/>
      <c r="H64" s="151"/>
      <c r="I64" s="121"/>
      <c r="J64" s="3288"/>
      <c r="K64" s="1245" t="s">
        <v>1382</v>
      </c>
      <c r="L64" s="1245">
        <f ca="1">IF(M49&gt;2000,M49*0.5%,IF(AND(M49&gt;1000,M49&lt;=2000),M49*0.6%,IF(AND(M49&gt;500,M49&lt;=1000),M49*0.7%,IF(AND(M49&gt;200,M49&lt;=500),M49*0.8%,IF(AND(M49&gt;100,M49&lt;=200),M49*0.9%,IF(AND(M49&gt;50,M49&lt;=100),M49*1%,IF(AND(M49&gt;20,M49&lt;=50),M49*1.5%,IF(AND(M49&gt;10,M49&lt;=20),M49*2%,IF(AND(M49&gt;1,M49&lt;=10),M49*2.5%)))))))))</f>
        <v>0.90074799999999999</v>
      </c>
      <c r="M64" s="294">
        <f t="shared" ref="M64:M65" ca="1" si="1">ROUND(L64,1)</f>
        <v>0.9</v>
      </c>
      <c r="N64" s="2330" t="s">
        <v>1383</v>
      </c>
      <c r="Z64" s="1623"/>
      <c r="AI64" s="1561"/>
    </row>
    <row r="65" spans="1:35" ht="14.25" customHeight="1">
      <c r="A65" s="161" t="s">
        <v>326</v>
      </c>
      <c r="B65" s="162" t="s">
        <v>1384</v>
      </c>
      <c r="C65" s="2349"/>
      <c r="D65" s="162"/>
      <c r="E65" s="164"/>
      <c r="F65" s="1670"/>
      <c r="G65" s="1670"/>
      <c r="H65" s="151"/>
      <c r="I65" s="121"/>
      <c r="J65" s="3288"/>
      <c r="K65" s="1245" t="s">
        <v>1385</v>
      </c>
      <c r="L65" s="1245">
        <f ca="1">IF(M49&gt;1000,M49*0.1%,IF(AND(M49&gt;500,M49&lt;=1000),M49*0.5%,IF(AND(M49&gt;50,M49&lt;=500),M49*1%,IF(AND(M49&gt;1,M49&lt;=50),M49*1.5%))))</f>
        <v>0.90074799999999999</v>
      </c>
      <c r="M65" s="294">
        <f t="shared" ca="1" si="1"/>
        <v>0.9</v>
      </c>
      <c r="N65" s="2330" t="s">
        <v>1383</v>
      </c>
      <c r="Z65" s="1623"/>
      <c r="AI65" s="1561"/>
    </row>
    <row r="66" spans="1:35" ht="14.25" customHeight="1">
      <c r="A66" s="165" t="s">
        <v>327</v>
      </c>
      <c r="B66" s="166" t="s">
        <v>1386</v>
      </c>
      <c r="C66" s="2350">
        <f>C75/1.05</f>
        <v>93.374285714285719</v>
      </c>
      <c r="D66" s="166" t="s">
        <v>26</v>
      </c>
      <c r="E66" s="1251" t="s">
        <v>671</v>
      </c>
      <c r="F66" s="1670"/>
      <c r="G66" s="1670"/>
      <c r="H66" s="151"/>
      <c r="I66" s="121"/>
      <c r="J66" s="3288"/>
      <c r="K66" s="1245" t="s">
        <v>1387</v>
      </c>
      <c r="L66" s="1245">
        <f ca="1">M49*0.5%</f>
        <v>0.450374</v>
      </c>
      <c r="M66" s="294">
        <f ca="1">IF(L66&gt;0.5,0.5,ROUND(L66,0))</f>
        <v>0</v>
      </c>
      <c r="N66" s="2330" t="s">
        <v>1388</v>
      </c>
      <c r="Z66" s="1623"/>
      <c r="AI66" s="1561"/>
    </row>
    <row r="67" spans="1:35" ht="14.25" customHeight="1">
      <c r="A67" s="165" t="s">
        <v>328</v>
      </c>
      <c r="B67" s="166" t="s">
        <v>1389</v>
      </c>
      <c r="C67" s="2351">
        <f ca="1">C63-C66</f>
        <v>-7.58878571428572</v>
      </c>
      <c r="D67" s="162" t="s">
        <v>26</v>
      </c>
      <c r="E67" s="164"/>
      <c r="F67" s="1670"/>
      <c r="G67" s="1670"/>
      <c r="H67" s="151"/>
      <c r="I67" s="121"/>
      <c r="J67" s="3288"/>
      <c r="K67" s="1245" t="s">
        <v>1390</v>
      </c>
      <c r="L67" s="1245">
        <f ca="1">IF(M49&gt;=10000,(8.25+(M49-10000)*0.01%),IF(AND(M49&gt;=8000,M49&lt;10000),(7.85+(M49-8000)*0.02%),IF(AND(M49&gt;=5000,M49&lt;8000),(6.65+(M49-5000)*0.04%),IF(AND(M49&gt;=2000,M49&lt;5000),(4.25+(PM49-2000)*0.08%),IF(AND(M49&gt;=1000,M49&lt;2000),(2.75+(M49-1000)*0.15%),IF(AND(M49&gt;=100,M49&lt;1000),(0.5+(M49-100)*0.25%),IF(AND(M49&gt;0,M49&lt;100),M49*0.5%)))))))</f>
        <v>0.450374</v>
      </c>
      <c r="M67" s="294">
        <f ca="1">ROUND(L67*0.9,1)</f>
        <v>0.4</v>
      </c>
      <c r="N67" s="2329"/>
      <c r="Z67" s="1623"/>
      <c r="AI67" s="1561"/>
    </row>
    <row r="68" spans="1:35" ht="14.25" customHeight="1" thickBot="1">
      <c r="A68" s="168" t="s">
        <v>329</v>
      </c>
      <c r="B68" s="169" t="s">
        <v>1391</v>
      </c>
      <c r="C68" s="3180">
        <f ca="1">IF(C67&lt;=0,0,ROUND(C67*D68,4))</f>
        <v>0</v>
      </c>
      <c r="D68" s="2352">
        <f>'数据-取费表'!B41</f>
        <v>5.6000000000000001E-2</v>
      </c>
      <c r="E68" s="170"/>
      <c r="F68" s="1670"/>
      <c r="G68" s="1670"/>
      <c r="H68" s="151"/>
      <c r="I68" s="121"/>
      <c r="J68" s="3288"/>
      <c r="K68" s="1245" t="s">
        <v>1392</v>
      </c>
      <c r="L68" s="1245">
        <f ca="1">IF(M49&gt;10000,M49*0.5%,IF(AND(M49&gt;5000,M49&lt;=10000),M49*1%,IF(AND(M49&gt;1000,M49&lt;=5000),M49*2%,IF(AND(M49&gt;200,M49&lt;=1000),M49*3%,M49*5%))))</f>
        <v>4.5037399999999996</v>
      </c>
      <c r="M68" s="294">
        <f ca="1">ROUND(L68,1)</f>
        <v>4.5</v>
      </c>
      <c r="N68" s="2329"/>
      <c r="Z68" s="1623"/>
      <c r="AI68" s="1561"/>
    </row>
    <row r="69" spans="1:35" ht="16.5" customHeight="1">
      <c r="A69" s="1672"/>
      <c r="B69" s="1673"/>
      <c r="C69" s="1674"/>
      <c r="D69" s="1675"/>
      <c r="E69" s="1676"/>
      <c r="F69" s="1466"/>
      <c r="G69" s="1466"/>
      <c r="H69" s="1467"/>
      <c r="I69" s="646"/>
      <c r="J69" s="3288"/>
      <c r="K69" s="1245" t="s">
        <v>1393</v>
      </c>
      <c r="L69" s="1245"/>
      <c r="M69" s="294">
        <f ca="1">ROUND(SUM(M63:M68),0)</f>
        <v>11</v>
      </c>
      <c r="N69" s="2331">
        <f ca="1">M69/M49</f>
        <v>0.12212072632967268</v>
      </c>
      <c r="Z69" s="1623"/>
      <c r="AI69" s="1561"/>
    </row>
    <row r="70" spans="1:35" s="642" customFormat="1" ht="14.4" thickBot="1">
      <c r="A70" s="3332" t="s">
        <v>1394</v>
      </c>
      <c r="B70" s="3333"/>
      <c r="C70" s="3333"/>
      <c r="D70" s="3333"/>
      <c r="E70" s="3333"/>
      <c r="F70" s="3333"/>
      <c r="G70" s="3333"/>
      <c r="H70" s="333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4" t="s">
        <v>1375</v>
      </c>
      <c r="B71" s="332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3183">
        <f ca="1">ROUND(D45/(1+'数据-取费表'!C42),4)</f>
        <v>85.785499999999999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3183">
        <f ca="1">C74+C78</f>
        <v>111.44340000000001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3085">
        <f>ROUND(IF(G77="2016年5月1日后购买",C75/(1+'数据-取费表'!C42)+C76+C77,C75+C76+C77),4)</f>
        <v>110.92870000000001</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3184">
        <f>面积信息!K8</f>
        <v>98.043000000000006</v>
      </c>
      <c r="D75" s="162" t="s">
        <v>26</v>
      </c>
      <c r="E75" s="176" t="s">
        <v>1399</v>
      </c>
      <c r="F75" s="2354" t="s">
        <v>3541</v>
      </c>
      <c r="G75" s="176" t="s">
        <v>1400</v>
      </c>
      <c r="H75" s="2355">
        <f>2025-2022</f>
        <v>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085">
        <f>IF(F75="购房发票",ROUND(C75*H75*D76,4),0)</f>
        <v>14.7065</v>
      </c>
      <c r="D76" s="2356">
        <v>0.05</v>
      </c>
      <c r="E76" s="3329" t="s">
        <v>1402</v>
      </c>
      <c r="F76" s="3328"/>
      <c r="G76" s="3328"/>
      <c r="H76" s="333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085">
        <f>ROUND(IF(G77="个人住宅",0,IF(G77="2016年5月1日前购买",C75*D77,C75*D77/(1+'数据-取费表'!C42))),4)</f>
        <v>2.8479000000000001</v>
      </c>
      <c r="D77" s="2357">
        <f>'数据-取费表'!B48+'数据-取费表'!B49</f>
        <v>3.0499999999999999E-2</v>
      </c>
      <c r="E77" s="12" t="s">
        <v>1404</v>
      </c>
      <c r="F77" s="178"/>
      <c r="G77" s="1682" t="s">
        <v>3542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185">
        <f ca="1">ROUND(D45*D78/(1+'数据-取费表'!C42),4)</f>
        <v>0.51470000000000005</v>
      </c>
      <c r="D78" s="2359">
        <f>'数据-取费表'!B43</f>
        <v>6.000000000000001E-3</v>
      </c>
      <c r="E78" s="3321" t="s">
        <v>1406</v>
      </c>
      <c r="F78" s="3322"/>
      <c r="G78" s="3322"/>
      <c r="H78" s="332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1">
        <f ca="1">C72-C73</f>
        <v>-25.657900000000012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3186">
        <f ca="1">ROUND(IF(C79&lt;=0,0,IF(C80&gt;=200%,C79*60%-C73*35%,IF(C80&gt;=100%,C79*50%-C73*15%,IF(C80&gt;=50%,C79*40%-C73*5%,IF(C80&lt;50%,C79*30%,0))))),4)</f>
        <v>0</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2" t="s">
        <v>1410</v>
      </c>
      <c r="B83" s="3333"/>
      <c r="C83" s="3333"/>
      <c r="D83" s="3333"/>
      <c r="E83" s="3333"/>
      <c r="F83" s="3333"/>
      <c r="G83" s="3333"/>
      <c r="H83" s="333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4" t="s">
        <v>1375</v>
      </c>
      <c r="B84" s="332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86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1</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8">
        <f>C88+C89</f>
        <v>0</v>
      </c>
      <c r="D87" s="2359"/>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4"/>
      <c r="D88" s="2359"/>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8">
        <f>ROUND(C88*D89,0)</f>
        <v>0</v>
      </c>
      <c r="D89" s="2359">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4"/>
      <c r="D90" s="2359"/>
      <c r="E90" s="185" t="str">
        <f>IF(H88="-","土地取得成本中已包含该笔费用"," ")</f>
        <v xml:space="preserve"> </v>
      </c>
      <c r="F90" s="2148"/>
      <c r="G90" s="3290" t="s">
        <v>2127</v>
      </c>
      <c r="H90" s="3291"/>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321" t="s">
        <v>1419</v>
      </c>
      <c r="F91" s="3322"/>
      <c r="G91" s="332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321" t="s">
        <v>1422</v>
      </c>
      <c r="F92" s="3322"/>
      <c r="G92" s="3322"/>
      <c r="H92" s="3323"/>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1</v>
      </c>
      <c r="D93" s="2359">
        <f>'数据-取费表'!B43</f>
        <v>6.000000000000001E-3</v>
      </c>
      <c r="E93" s="3321" t="s">
        <v>1406</v>
      </c>
      <c r="F93" s="3322"/>
      <c r="G93" s="3322"/>
      <c r="H93" s="332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366" t="s">
        <v>1426</v>
      </c>
      <c r="F94" s="3367"/>
      <c r="G94" s="3367"/>
      <c r="H94" s="336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1">
        <f ca="1">ROUND(C85-C86,0)</f>
        <v>85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f ca="1">IF(C95&lt;=0,0,C95/C86)</f>
        <v>85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1">
        <f ca="1">ROUND(IF(C95&lt;=0,0,IF(C96&gt;=200%,C95*60%-C86*35%,IF(C96&gt;=100%,C95*50%-C86*15%,IF(C96&gt;=50%,C95*40%-C86*5%,IF(C96&lt;50%,C95*30%,0))))),0)</f>
        <v>51</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1" t="s">
        <v>1428</v>
      </c>
      <c r="B100" s="3272"/>
      <c r="C100" s="3272"/>
      <c r="D100" s="3306"/>
      <c r="E100" s="3272" t="s">
        <v>1429</v>
      </c>
      <c r="F100" s="3272"/>
      <c r="G100" s="3272"/>
      <c r="H100" s="3306"/>
      <c r="I100" s="121"/>
    </row>
    <row r="101" spans="1:35" ht="18.75" customHeight="1">
      <c r="A101" s="3314" t="s">
        <v>1430</v>
      </c>
      <c r="B101" s="3315"/>
      <c r="C101" s="2367" t="str">
        <f>C4</f>
        <v>比较法-办公</v>
      </c>
      <c r="D101" s="2368" t="str">
        <f>D4</f>
        <v>收益法 (元)</v>
      </c>
      <c r="E101" s="3284" t="s">
        <v>1431</v>
      </c>
      <c r="F101" s="3285"/>
      <c r="G101" s="1687" t="s">
        <v>1432</v>
      </c>
      <c r="H101" s="2377">
        <f ca="1">H118</f>
        <v>95.784700000000001</v>
      </c>
      <c r="I101" s="121"/>
    </row>
    <row r="102" spans="1:35" ht="18.75" customHeight="1">
      <c r="A102" s="3316" t="s">
        <v>1433</v>
      </c>
      <c r="B102" s="2366" t="s">
        <v>1432</v>
      </c>
      <c r="C102" s="2367">
        <f ca="1">IF(D32="楼面单价",ROUND(C19,0),C19)</f>
        <v>112</v>
      </c>
      <c r="D102" s="2368">
        <f ca="1">IF(D32="楼面单价",ROUND(D19,0),D19)</f>
        <v>72</v>
      </c>
      <c r="E102" s="3284"/>
      <c r="F102" s="3285"/>
      <c r="G102" s="1687" t="s">
        <v>1434</v>
      </c>
      <c r="H102" s="2340">
        <f ca="1">I118</f>
        <v>10106</v>
      </c>
      <c r="I102" s="121"/>
    </row>
    <row r="103" spans="1:35" ht="42.75" customHeight="1">
      <c r="A103" s="3316"/>
      <c r="B103" s="2366" t="s">
        <v>1434</v>
      </c>
      <c r="C103" s="2369">
        <f ca="1">C20</f>
        <v>11801</v>
      </c>
      <c r="D103" s="2370">
        <f ca="1">D20</f>
        <v>7564</v>
      </c>
      <c r="E103" s="3277" t="s">
        <v>1435</v>
      </c>
      <c r="F103" s="3278"/>
      <c r="G103" s="1688" t="s">
        <v>1436</v>
      </c>
      <c r="H103" s="2377">
        <f>IF(D36="正常操作",H104+H105+H106,H105+H106)</f>
        <v>0</v>
      </c>
      <c r="I103" s="121"/>
    </row>
    <row r="104" spans="1:35" ht="18.75" customHeight="1">
      <c r="A104" s="3316" t="s">
        <v>1437</v>
      </c>
      <c r="B104" s="2371" t="s">
        <v>1432</v>
      </c>
      <c r="C104" s="2372">
        <f ca="1">H118</f>
        <v>95.784700000000001</v>
      </c>
      <c r="D104" s="2373"/>
      <c r="E104" s="1555" t="s">
        <v>1438</v>
      </c>
      <c r="F104" s="1548"/>
      <c r="G104" s="1688" t="s">
        <v>1436</v>
      </c>
      <c r="H104" s="2378">
        <f>IF(D36="同一抵押权人同一抵押物续贷",C36&amp;"（续贷，未扣减，详见特别提示）",C36)</f>
        <v>0</v>
      </c>
      <c r="I104" s="121"/>
    </row>
    <row r="105" spans="1:35" ht="18.75" customHeight="1" thickBot="1">
      <c r="A105" s="3326"/>
      <c r="B105" s="2374" t="s">
        <v>1434</v>
      </c>
      <c r="C105" s="2375">
        <f ca="1">I118</f>
        <v>10106</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317" t="str">
        <f>IF(项目基本情况!E8="已注销","——","3.房地产抵押价值")</f>
        <v>3.房地产抵押价值</v>
      </c>
      <c r="F107" s="3285"/>
      <c r="G107" s="1687" t="s">
        <v>1432</v>
      </c>
      <c r="H107" s="2377">
        <f ca="1">IF(E107="——","——",H101-H103)</f>
        <v>95.784700000000001</v>
      </c>
      <c r="I107" s="121"/>
    </row>
    <row r="108" spans="1:35" ht="18.75" customHeight="1">
      <c r="A108" s="121"/>
      <c r="B108" s="121"/>
      <c r="C108" s="121"/>
      <c r="D108" s="121"/>
      <c r="E108" s="3317"/>
      <c r="F108" s="3285"/>
      <c r="G108" s="1687" t="s">
        <v>1434</v>
      </c>
      <c r="H108" s="2340">
        <f ca="1">IF(H107=H101,H102,ROUND(H107*10000/'数据-汇总表'!E3,0))</f>
        <v>10106</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285"/>
      <c r="G109" s="1687" t="s">
        <v>1432</v>
      </c>
      <c r="H109" s="2380" t="str">
        <f>IF(E109="——","——",H101-H105-H106)</f>
        <v>——</v>
      </c>
      <c r="I109" s="121"/>
    </row>
    <row r="110" spans="1:35" ht="18.75" customHeight="1">
      <c r="A110" s="121"/>
      <c r="B110" s="121"/>
      <c r="C110" s="121"/>
      <c r="D110" s="121"/>
      <c r="E110" s="3317"/>
      <c r="F110" s="3285"/>
      <c r="G110" s="1687" t="s">
        <v>1434</v>
      </c>
      <c r="H110" s="2340" t="str">
        <f>IF(H109="——","——",ROUND(H109*10000/'数据-汇总表'!E3,0))</f>
        <v>——</v>
      </c>
      <c r="I110" s="121"/>
    </row>
    <row r="111" spans="1:35" ht="18.75" customHeight="1">
      <c r="A111" s="121"/>
      <c r="B111" s="121"/>
      <c r="C111" s="121"/>
      <c r="D111" s="121"/>
      <c r="E111" s="3318" t="str">
        <f>IF(项目基本情况!E9="抵押净值",IF(OR(项目基本情况!E8="已注销",项目基本情况!E8="房地产抵押价值"),"4.抵押净值","5.抵押净值"),"——")</f>
        <v>4.抵押净值</v>
      </c>
      <c r="F111" s="3304"/>
      <c r="G111" s="1687" t="s">
        <v>1432</v>
      </c>
      <c r="H111" s="2377">
        <f ca="1">IF(E111="——","——",N59)</f>
        <v>90.029799999999994</v>
      </c>
      <c r="I111" s="121"/>
    </row>
    <row r="112" spans="1:35" ht="18.75" customHeight="1" thickBot="1">
      <c r="A112" s="121"/>
      <c r="B112" s="121"/>
      <c r="C112" s="121"/>
      <c r="D112" s="121"/>
      <c r="E112" s="3319"/>
      <c r="F112" s="3320"/>
      <c r="G112" s="1690" t="s">
        <v>1434</v>
      </c>
      <c r="H112" s="2381">
        <f ca="1">IF(E111="——","——",N61)</f>
        <v>10101</v>
      </c>
      <c r="I112" s="121"/>
    </row>
    <row r="113" spans="1:27" ht="18.75" customHeight="1">
      <c r="A113" s="121"/>
      <c r="B113" s="121"/>
      <c r="C113" s="121"/>
      <c r="D113" s="121"/>
      <c r="E113" s="3327" t="s">
        <v>1440</v>
      </c>
      <c r="F113" s="3327"/>
      <c r="G113" s="3327"/>
      <c r="H113" s="3327"/>
      <c r="I113" s="121"/>
    </row>
    <row r="114" spans="1:27" ht="3.75" customHeight="1">
      <c r="A114" s="646"/>
      <c r="B114" s="646"/>
      <c r="C114" s="646"/>
      <c r="D114" s="646"/>
      <c r="E114" s="1671"/>
      <c r="F114" s="1671"/>
      <c r="G114" s="1671"/>
      <c r="H114" s="1671"/>
      <c r="I114" s="646"/>
    </row>
    <row r="115" spans="1:27" ht="18.75" customHeight="1">
      <c r="A115" s="3335" t="s">
        <v>1442</v>
      </c>
      <c r="B115" s="3336"/>
      <c r="C115" s="3336"/>
      <c r="D115" s="3336"/>
      <c r="E115" s="3336"/>
      <c r="F115" s="3336"/>
      <c r="G115" s="3336"/>
      <c r="H115" s="3336"/>
      <c r="I115" s="3337"/>
    </row>
    <row r="116" spans="1:27" ht="27" customHeight="1">
      <c r="A116" s="3292" t="s">
        <v>1443</v>
      </c>
      <c r="B116" s="3296" t="s">
        <v>1444</v>
      </c>
      <c r="C116" s="3296" t="s">
        <v>1445</v>
      </c>
      <c r="D116" s="3302" t="s">
        <v>1446</v>
      </c>
      <c r="E116" s="3303"/>
      <c r="F116" s="3334" t="s">
        <v>1447</v>
      </c>
      <c r="G116" s="3334"/>
      <c r="H116" s="3292" t="s">
        <v>1448</v>
      </c>
      <c r="I116" s="3292"/>
    </row>
    <row r="117" spans="1:27" ht="18.75" customHeight="1">
      <c r="A117" s="3292"/>
      <c r="B117" s="3297"/>
      <c r="C117" s="3297"/>
      <c r="D117" s="2150" t="s">
        <v>1449</v>
      </c>
      <c r="E117" s="2150" t="s">
        <v>1450</v>
      </c>
      <c r="F117" s="2150" t="s">
        <v>1449</v>
      </c>
      <c r="G117" s="2150" t="s">
        <v>1451</v>
      </c>
      <c r="H117" s="2150" t="s">
        <v>1449</v>
      </c>
      <c r="I117" s="2150" t="s">
        <v>1451</v>
      </c>
    </row>
    <row r="118" spans="1:27" ht="24.75" customHeight="1">
      <c r="A118" s="2382" t="str">
        <f>项目基本情况!S2</f>
        <v>北京市房山区辰光东路16号院5号楼10层1001等共计9套房地产</v>
      </c>
      <c r="B118" s="2150">
        <f>M18</f>
        <v>94.78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78">
        <f ca="1">ROUND(IF(D32="总价",C32,I118*B118/10000),4)</f>
        <v>95.784700000000001</v>
      </c>
      <c r="I118" s="2150">
        <f ca="1">ROUND(IF(D32="楼面单价",C32,H118*10000/B118),0)</f>
        <v>10106</v>
      </c>
    </row>
    <row r="119" spans="1:27" ht="18.75" customHeight="1">
      <c r="A119" s="3292" t="s">
        <v>1452</v>
      </c>
      <c r="B119" s="3292"/>
      <c r="C119" s="3292"/>
      <c r="D119" s="3298" t="str">
        <f>NUMBERSTRING(INT(D118*10000),2)&amp;"元整"</f>
        <v>零元整</v>
      </c>
      <c r="E119" s="3299"/>
      <c r="F119" s="3298" t="str">
        <f>NUMBERSTRING(INT(F118*10000),2)&amp;"元整"</f>
        <v>零元整</v>
      </c>
      <c r="G119" s="3299"/>
      <c r="H119" s="3298" t="str">
        <f ca="1">NUMBERSTRING(INT(H118*10000),2)&amp;"元整"</f>
        <v>玖拾伍万柒仟捌佰肆拾柒元整</v>
      </c>
      <c r="I119" s="3299"/>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8" t="s">
        <v>1452</v>
      </c>
      <c r="B121" s="3300"/>
      <c r="C121" s="3299"/>
      <c r="D121" s="3298" t="str">
        <f>IF(D120=0,"零元整",NUMBERSTRING(INT(D120*10000),2)&amp;"元整")</f>
        <v>零元整</v>
      </c>
      <c r="E121" s="3300"/>
      <c r="F121" s="3300"/>
      <c r="G121" s="3300"/>
      <c r="H121" s="3300"/>
      <c r="I121" s="3299"/>
      <c r="AA121" s="684"/>
    </row>
    <row r="122" spans="1:27" ht="18.75" customHeight="1">
      <c r="A122" s="3304" t="str">
        <f>IF(项目基本情况!B9="房地产市场价值","",MID(E107,3,LEN(E107)-2))</f>
        <v>房地产抵押价值</v>
      </c>
      <c r="B122" s="3304"/>
      <c r="C122" s="3304"/>
      <c r="D122" s="3293">
        <f ca="1">H107</f>
        <v>95.784700000000001</v>
      </c>
      <c r="E122" s="3294"/>
      <c r="F122" s="3294"/>
      <c r="G122" s="3294"/>
      <c r="H122" s="3294"/>
      <c r="I122" s="3295"/>
      <c r="AA122" s="684"/>
    </row>
    <row r="123" spans="1:27" ht="18.75" customHeight="1">
      <c r="A123" s="3292" t="s">
        <v>1452</v>
      </c>
      <c r="B123" s="3292"/>
      <c r="C123" s="3292"/>
      <c r="D123" s="3298" t="str">
        <f ca="1">NUMBERSTRING(INT(D122*10000),2)&amp;"元整"</f>
        <v>玖拾伍万柒仟捌佰肆拾柒元整</v>
      </c>
      <c r="E123" s="3300"/>
      <c r="F123" s="3300"/>
      <c r="G123" s="3300"/>
      <c r="H123" s="3300"/>
      <c r="I123" s="3299"/>
      <c r="AA123" s="684"/>
    </row>
    <row r="124" spans="1:27" ht="18.75" customHeight="1">
      <c r="A124" s="3304" t="str">
        <f>IF(项目基本情况!B9="房地产市场价值","",MID(E109,3,LEN(E109)-2))</f>
        <v/>
      </c>
      <c r="B124" s="3304"/>
      <c r="C124" s="3304"/>
      <c r="D124" s="3293" t="str">
        <f>H109</f>
        <v>——</v>
      </c>
      <c r="E124" s="3294"/>
      <c r="F124" s="3294"/>
      <c r="G124" s="3294"/>
      <c r="H124" s="3294"/>
      <c r="I124" s="3295"/>
      <c r="AA124" s="684"/>
    </row>
    <row r="125" spans="1:27" ht="18.75" customHeight="1">
      <c r="A125" s="3292" t="s">
        <v>1452</v>
      </c>
      <c r="B125" s="3292"/>
      <c r="C125" s="3292"/>
      <c r="D125" s="3298" t="e">
        <f>NUMBERSTRING(INT(D124*10000),2)&amp;"元整"</f>
        <v>#VALUE!</v>
      </c>
      <c r="E125" s="3300"/>
      <c r="F125" s="3300"/>
      <c r="G125" s="3300"/>
      <c r="H125" s="3300"/>
      <c r="I125" s="3299"/>
      <c r="AA125" s="684"/>
    </row>
    <row r="126" spans="1:27" ht="18.75" customHeight="1">
      <c r="A126" s="3304" t="str">
        <f>IF(项目基本情况!B9="房地产市场价值","",MID(E111,3,LEN(E111)-2))</f>
        <v>抵押净值</v>
      </c>
      <c r="B126" s="3304"/>
      <c r="C126" s="3304"/>
      <c r="D126" s="3293">
        <f ca="1">H111</f>
        <v>90.029799999999994</v>
      </c>
      <c r="E126" s="3294"/>
      <c r="F126" s="3294"/>
      <c r="G126" s="3294"/>
      <c r="H126" s="3294"/>
      <c r="I126" s="3295"/>
      <c r="AA126" s="684"/>
    </row>
    <row r="127" spans="1:27" ht="18.75" customHeight="1">
      <c r="A127" s="3292" t="s">
        <v>1452</v>
      </c>
      <c r="B127" s="3292"/>
      <c r="C127" s="3292"/>
      <c r="D127" s="3298" t="str">
        <f ca="1">NUMBERSTRING(INT(D126*10000),2)&amp;"元整"</f>
        <v>玖拾万零贰佰玖拾捌元整</v>
      </c>
      <c r="E127" s="3300"/>
      <c r="F127" s="3300"/>
      <c r="G127" s="3300"/>
      <c r="H127" s="3300"/>
      <c r="I127" s="3299"/>
      <c r="AA127" s="684"/>
    </row>
    <row r="128" spans="1:27" ht="21.75" customHeight="1">
      <c r="A128" s="3301" t="s">
        <v>1453</v>
      </c>
      <c r="B128" s="3301"/>
      <c r="C128" s="3301"/>
      <c r="D128" s="3301"/>
      <c r="E128" s="3301"/>
      <c r="F128" s="3301"/>
      <c r="G128" s="3301"/>
      <c r="H128" s="3301"/>
      <c r="I128" s="330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C5:D7">
    <cfRule type="cellIs" dxfId="142" priority="6" stopIfTrue="1" operator="equal">
      <formula>25</formula>
    </cfRule>
  </conditionalFormatting>
  <conditionalFormatting sqref="C8:D13">
    <cfRule type="cellIs" dxfId="141" priority="5" stopIfTrue="1" operator="equal">
      <formula>15</formula>
    </cfRule>
  </conditionalFormatting>
  <conditionalFormatting sqref="C14:D16">
    <cfRule type="cellIs" dxfId="140" priority="4" stopIfTrue="1" operator="equal">
      <formula>30</formula>
    </cfRule>
  </conditionalFormatting>
  <conditionalFormatting sqref="E36">
    <cfRule type="expression" dxfId="139" priority="1" stopIfTrue="1">
      <formula>$D$36="同一抵押权人同一抵押物续贷"</formula>
    </cfRule>
  </conditionalFormatting>
  <dataValidations count="23">
    <dataValidation type="list" allowBlank="1" showInputMessage="1" showErrorMessage="1" sqref="C4:D4 D33" xr:uid="{FC1D014C-65A9-428C-8921-B01DDF4A6D4E}">
      <formula1>估价方法</formula1>
    </dataValidation>
    <dataValidation type="list" allowBlank="1" showInputMessage="1" showErrorMessage="1" sqref="H55:H56" xr:uid="{427E42C3-1AD5-49ED-943C-EAD8F6D8F683}">
      <formula1>"个人住宅,正常"</formula1>
    </dataValidation>
    <dataValidation type="list" allowBlank="1" showInputMessage="1" showErrorMessage="1" sqref="H48" xr:uid="{A4854104-2E37-4697-A872-7671FB32D055}">
      <formula1>"情况1,情况2,情况3,情况4"</formula1>
    </dataValidation>
    <dataValidation type="list" allowBlank="1" showInputMessage="1" showErrorMessage="1" sqref="H58" xr:uid="{4D095197-7195-4625-BB18-61E4B039C204}">
      <formula1>"转让取得,自行开发建设"</formula1>
    </dataValidation>
    <dataValidation type="list" allowBlank="1" showInputMessage="1" showErrorMessage="1" sqref="D32" xr:uid="{4D64DE04-CFC3-428C-BA07-DCEDB477EE47}">
      <formula1>"总价,楼面单价"</formula1>
    </dataValidation>
    <dataValidation type="list" allowBlank="1" showInputMessage="1" showErrorMessage="1" sqref="F45" xr:uid="{FE4F0492-CE8D-4F75-ACDE-2BAFEE87B7C9}">
      <formula1>"100%,70%,56%"</formula1>
    </dataValidation>
    <dataValidation type="list" allowBlank="1" showInputMessage="1" showErrorMessage="1" sqref="C33" xr:uid="{DDDECC52-0150-4717-851F-E50F7036B6C5}">
      <formula1>"成本比率,收益比率,自定义"</formula1>
    </dataValidation>
    <dataValidation type="list" allowBlank="1" showInputMessage="1" showErrorMessage="1" sqref="H91" xr:uid="{FBEDC946-05F3-44AE-A25B-E1B3FE25AE6E}">
      <formula1>"企业提供（在右侧录入）,——"</formula1>
    </dataValidation>
    <dataValidation type="list" allowBlank="1" showInputMessage="1" showErrorMessage="1" sqref="H88" xr:uid="{C57A7A0A-48FC-4C28-8433-8F790439745F}">
      <formula1>"仅含出让金,出让金+开发费"</formula1>
    </dataValidation>
    <dataValidation type="list" allowBlank="1" showInputMessage="1" showErrorMessage="1" sqref="F75" xr:uid="{A3DC00B1-EEDC-45B4-B219-0BFD8194A47C}">
      <formula1>"买卖合同,购房发票"</formula1>
    </dataValidation>
    <dataValidation type="list" allowBlank="1" showInputMessage="1" showErrorMessage="1" sqref="D36" xr:uid="{74E1C94D-92FC-4CDA-9E7F-EEDCD67A4475}">
      <formula1>"同一抵押权人同一抵押物续贷,注销后放款,正常操作"</formula1>
    </dataValidation>
    <dataValidation type="list" allowBlank="1" showInputMessage="1" showErrorMessage="1" sqref="B116:B117" xr:uid="{DCE7BD99-A911-497D-AFE1-2A1CD890C6B3}">
      <formula1>"建筑面积,规划建筑面积,（规划）建筑面积"</formula1>
    </dataValidation>
    <dataValidation type="list" allowBlank="1" showInputMessage="1" showErrorMessage="1" sqref="C116:C117" xr:uid="{5B750ACB-C8BD-447F-85CB-A475BA7CF3BE}">
      <formula1>"土地面积,分摊土地面积,（分摊）土地面积"</formula1>
    </dataValidation>
    <dataValidation type="list" allowBlank="1" showInputMessage="1" showErrorMessage="1" sqref="D116:E116" xr:uid="{5022ECA6-8B70-4B81-A7C7-C3276111C69E}">
      <formula1>"出让国有建设用地使用权价值,划拨国有建设用地使用权价值"</formula1>
    </dataValidation>
    <dataValidation type="list" allowBlank="1" showInputMessage="1" showErrorMessage="1" sqref="F116:G116" xr:uid="{3FB8E17D-1D47-402C-A732-023AA42D37EF}">
      <formula1>"建筑物价值,在建建筑物价值,建筑物/在建建筑物价值"</formula1>
    </dataValidation>
    <dataValidation type="list" allowBlank="1" showInputMessage="1" showErrorMessage="1" sqref="C129" xr:uid="{4DE04D6E-B7DD-45A0-8CC1-B9743ECDE39F}">
      <formula1>"无,有"</formula1>
    </dataValidation>
    <dataValidation type="list" showInputMessage="1" showErrorMessage="1" sqref="G1" xr:uid="{FC776372-E633-411F-A5CA-6A77527D25BF}">
      <formula1>"现房,在建,土地,-"</formula1>
    </dataValidation>
    <dataValidation type="list" allowBlank="1" showInputMessage="1" showErrorMessage="1" sqref="I1" xr:uid="{AFF6AE5F-31F7-4BFB-ABDE-A5D986139551}">
      <formula1>"项目局部,项目全部,——"</formula1>
    </dataValidation>
    <dataValidation type="list" allowBlank="1" showInputMessage="1" showErrorMessage="1" sqref="C1" xr:uid="{FFB0153C-6580-413F-A553-F1E1C50807B1}">
      <formula1>项目类型</formula1>
    </dataValidation>
    <dataValidation type="list" allowBlank="1" showInputMessage="1" showErrorMessage="1" sqref="G77" xr:uid="{9AD98750-BF78-4892-81AB-4E6C8B197F44}">
      <formula1>"个人住宅,2016年5月1日前购买,2016年5月1日后购买"</formula1>
    </dataValidation>
    <dataValidation type="list" allowBlank="1" showInputMessage="1" showErrorMessage="1" sqref="E103" xr:uid="{C9562C8C-AC81-4C41-8A99-B785488E936E}">
      <formula1>"2.估价师知悉的法定优先受偿款,2.估价师知悉的除抵押担保权以外的法定优先受偿款"</formula1>
    </dataValidation>
    <dataValidation type="list" allowBlank="1" showInputMessage="1" showErrorMessage="1" sqref="H59" xr:uid="{5D26004B-CE57-431C-9DCB-EA4104397DE2}">
      <formula1>"非个人房产,个人住宅（满五唯一有凭证）,个人其他（有凭证）,个人其他（无凭证）"</formula1>
    </dataValidation>
    <dataValidation type="list" allowBlank="1" showInputMessage="1" showErrorMessage="1" sqref="D92" xr:uid="{4B04CA42-27AA-486C-A20C-1B257027BC67}">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9316-EBF4-4DA5-9DCD-5E40E1E59922}">
  <sheetPr>
    <tabColor rgb="FFFF0000"/>
  </sheetPr>
  <dimension ref="A1:AJ512"/>
  <sheetViews>
    <sheetView view="pageBreakPreview" topLeftCell="A55" zoomScale="70" zoomScaleNormal="100" zoomScaleSheetLayoutView="70" zoomScalePageLayoutView="80" workbookViewId="0">
      <selection activeCell="C75" sqref="C7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1001</v>
      </c>
      <c r="D1" s="646"/>
      <c r="E1" s="646"/>
      <c r="F1" s="1621" t="s">
        <v>1263</v>
      </c>
      <c r="G1" s="1453"/>
      <c r="H1" s="1621" t="str">
        <f>IF(G1="现房","——","估价对象范围")</f>
        <v>估价对象范围</v>
      </c>
      <c r="I1" s="1622"/>
    </row>
    <row r="2" spans="1:12" ht="21.75" customHeight="1" thickBot="1">
      <c r="A2" s="3344" t="str">
        <f>项目基本情况!S2</f>
        <v>北京市房山区辰光东路16号院5号楼10层1001等共计9套房地产</v>
      </c>
      <c r="B2" s="3345"/>
      <c r="C2" s="3345"/>
      <c r="D2" s="3345"/>
      <c r="E2" s="3345"/>
      <c r="F2" s="3345"/>
      <c r="G2" s="3345"/>
      <c r="H2" s="3345"/>
      <c r="I2" s="3346"/>
    </row>
    <row r="3" spans="1:12" ht="13.2">
      <c r="A3" s="3348" t="s">
        <v>1264</v>
      </c>
      <c r="B3" s="3349"/>
      <c r="C3" s="3349"/>
      <c r="D3" s="3349"/>
      <c r="E3" s="3349"/>
      <c r="F3" s="3349"/>
      <c r="G3" s="3349"/>
      <c r="H3" s="3349"/>
      <c r="I3" s="3349"/>
    </row>
    <row r="4" spans="1:12" ht="14.4">
      <c r="A4" s="1624" t="s">
        <v>1265</v>
      </c>
      <c r="B4" s="1625" t="s">
        <v>1266</v>
      </c>
      <c r="C4" s="1626" t="s">
        <v>3456</v>
      </c>
      <c r="D4" s="1626" t="s">
        <v>3454</v>
      </c>
      <c r="E4" s="3353" t="s">
        <v>1267</v>
      </c>
      <c r="F4" s="3354"/>
      <c r="G4" s="3354"/>
      <c r="H4" s="3354"/>
      <c r="I4" s="3355"/>
      <c r="K4" s="138" t="str">
        <f>IF(ISNUMBER(FIND("比较法",结果表1011!C4)),"比较法",IF(ISNUMBER(FIND("成本法",结果表1011!C4)),"成本法",IF(ISNUMBER(FIND("假设开发法",结果表1011!C4)),"假设开发法",IF(ISNUMBER(FIND("收益法",结果表1011!C4)),"收益法","基准地价系数修正法"))))</f>
        <v>比较法</v>
      </c>
      <c r="L4" s="138" t="str">
        <f>IF(ISNUMBER(FIND("比较法",结果表1011!D4)),"比较法",IF(ISNUMBER(FIND("成本法",结果表1011!D4)),"成本法",IF(ISNUMBER(FIND("假设开发法",结果表1011!D4)),"假设开发法",IF(ISNUMBER(FIND("收益法",结果表1011!D4)),"收益法","基准地价系数修正法"))))</f>
        <v>收益法</v>
      </c>
    </row>
    <row r="5" spans="1:12" ht="13.2">
      <c r="A5" s="3292" t="s">
        <v>1268</v>
      </c>
      <c r="B5" s="3347">
        <v>25</v>
      </c>
      <c r="C5" s="3350"/>
      <c r="D5" s="3338"/>
      <c r="E5" s="123" t="s">
        <v>1269</v>
      </c>
      <c r="F5" s="1627"/>
      <c r="G5" s="1627"/>
      <c r="H5" s="1627"/>
      <c r="I5" s="1281"/>
    </row>
    <row r="6" spans="1:12" ht="13.2">
      <c r="A6" s="3292"/>
      <c r="B6" s="3347"/>
      <c r="C6" s="3352"/>
      <c r="D6" s="3338"/>
      <c r="E6" s="123" t="s">
        <v>1270</v>
      </c>
      <c r="F6" s="1627"/>
      <c r="G6" s="1627"/>
      <c r="H6" s="1627"/>
      <c r="I6" s="1281"/>
    </row>
    <row r="7" spans="1:12" ht="13.2">
      <c r="A7" s="3292"/>
      <c r="B7" s="3347"/>
      <c r="C7" s="3351"/>
      <c r="D7" s="3338"/>
      <c r="E7" s="123" t="s">
        <v>1271</v>
      </c>
      <c r="F7" s="1627"/>
      <c r="G7" s="1627"/>
      <c r="H7" s="1627"/>
      <c r="I7" s="1281"/>
    </row>
    <row r="8" spans="1:12" ht="13.2">
      <c r="A8" s="3292" t="s">
        <v>1272</v>
      </c>
      <c r="B8" s="3347">
        <v>15</v>
      </c>
      <c r="C8" s="3350"/>
      <c r="D8" s="3338"/>
      <c r="E8" s="123" t="s">
        <v>1273</v>
      </c>
      <c r="F8" s="1627"/>
      <c r="G8" s="1627"/>
      <c r="H8" s="1627"/>
      <c r="I8" s="1281"/>
    </row>
    <row r="9" spans="1:12" ht="13.2">
      <c r="A9" s="3292"/>
      <c r="B9" s="3347"/>
      <c r="C9" s="3351"/>
      <c r="D9" s="3338"/>
      <c r="E9" s="123" t="s">
        <v>1274</v>
      </c>
      <c r="F9" s="1627"/>
      <c r="G9" s="1627"/>
      <c r="H9" s="1627"/>
      <c r="I9" s="1281"/>
    </row>
    <row r="10" spans="1:12" ht="13.2">
      <c r="A10" s="3292" t="s">
        <v>1275</v>
      </c>
      <c r="B10" s="3347">
        <v>15</v>
      </c>
      <c r="C10" s="3350"/>
      <c r="D10" s="3338"/>
      <c r="E10" s="123" t="s">
        <v>1276</v>
      </c>
      <c r="F10" s="1627"/>
      <c r="G10" s="1627"/>
      <c r="H10" s="1627"/>
      <c r="I10" s="1281"/>
    </row>
    <row r="11" spans="1:12" ht="13.2">
      <c r="A11" s="3292"/>
      <c r="B11" s="3347"/>
      <c r="C11" s="3351"/>
      <c r="D11" s="3338"/>
      <c r="E11" s="123" t="s">
        <v>1277</v>
      </c>
      <c r="F11" s="1627"/>
      <c r="G11" s="1627"/>
      <c r="H11" s="1627"/>
      <c r="I11" s="1281"/>
    </row>
    <row r="12" spans="1:12" ht="13.2">
      <c r="A12" s="3292" t="s">
        <v>1278</v>
      </c>
      <c r="B12" s="3347">
        <v>15</v>
      </c>
      <c r="C12" s="3350"/>
      <c r="D12" s="3338"/>
      <c r="E12" s="123" t="s">
        <v>1279</v>
      </c>
      <c r="F12" s="1627"/>
      <c r="G12" s="1627"/>
      <c r="H12" s="1627"/>
      <c r="I12" s="1281"/>
    </row>
    <row r="13" spans="1:12" ht="13.2">
      <c r="A13" s="3292"/>
      <c r="B13" s="3347"/>
      <c r="C13" s="3351"/>
      <c r="D13" s="3338"/>
      <c r="E13" s="123" t="s">
        <v>1280</v>
      </c>
      <c r="F13" s="1627"/>
      <c r="G13" s="1627"/>
      <c r="H13" s="1627"/>
      <c r="I13" s="1281"/>
    </row>
    <row r="14" spans="1:12" ht="13.2">
      <c r="A14" s="3292" t="s">
        <v>1281</v>
      </c>
      <c r="B14" s="3347">
        <v>30</v>
      </c>
      <c r="C14" s="3350">
        <v>6</v>
      </c>
      <c r="D14" s="3338">
        <v>4</v>
      </c>
      <c r="E14" s="123" t="s">
        <v>1282</v>
      </c>
      <c r="F14" s="1627"/>
      <c r="G14" s="1627"/>
      <c r="H14" s="1627"/>
      <c r="I14" s="1281"/>
    </row>
    <row r="15" spans="1:12" ht="13.2">
      <c r="A15" s="3292"/>
      <c r="B15" s="3347"/>
      <c r="C15" s="3352"/>
      <c r="D15" s="3338"/>
      <c r="E15" s="123" t="s">
        <v>1283</v>
      </c>
      <c r="F15" s="1627"/>
      <c r="G15" s="1627"/>
      <c r="H15" s="1627"/>
      <c r="I15" s="1281"/>
    </row>
    <row r="16" spans="1:12" ht="13.2">
      <c r="A16" s="3292"/>
      <c r="B16" s="3347"/>
      <c r="C16" s="3351"/>
      <c r="D16" s="3338"/>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69" t="s">
        <v>2129</v>
      </c>
      <c r="F18" s="3370"/>
      <c r="G18" s="3370"/>
      <c r="H18" s="3370"/>
      <c r="I18" s="3370"/>
      <c r="K18" s="294" t="s">
        <v>1289</v>
      </c>
      <c r="L18" s="294">
        <f>IF(C1="",'数据-汇总表'!E3,SUMIF(项目类型,C1,'数据-汇总表'!E17:E26)+SUMIF(项目类型,C1,'数据-汇总表'!I17:I26))</f>
        <v>94.78</v>
      </c>
      <c r="M18" s="294">
        <f>IF(C1="",'数据-汇总表'!E3,SUMIF(项目类型,C1,'数据-汇总表'!E17:E26))</f>
        <v>94.78</v>
      </c>
    </row>
    <row r="19" spans="1:36" ht="14.4">
      <c r="A19" s="1630" t="s">
        <v>1290</v>
      </c>
      <c r="B19" s="1631" t="s">
        <v>1291</v>
      </c>
      <c r="C19" s="126">
        <f ca="1">SUMIF(INDIRECT("'"&amp;C4&amp;"'"&amp;"!A:A"),结果表1011!B19,INDIRECT("'"&amp;C4&amp;"'"&amp;"!B:B"))</f>
        <v>111.84990000000001</v>
      </c>
      <c r="D19" s="127">
        <f ca="1">SUMIF(INDIRECT("'"&amp;D4&amp;"'"&amp;"!A:A"),结果表1011!B19,INDIRECT("'"&amp;D4&amp;"'"&amp;"!B:B"))</f>
        <v>71.690899999999999</v>
      </c>
      <c r="E19" s="1630" t="s">
        <v>1292</v>
      </c>
      <c r="F19" s="1631" t="s">
        <v>1291</v>
      </c>
      <c r="G19" s="128">
        <f ca="1">ROUND(C19*$C$18+D19*$D$18,0)</f>
        <v>96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SUMIF(INDIRECT("'"&amp;C4&amp;"'"&amp;"!A:A"),结果表1011!B20,INDIRECT("'"&amp;C4&amp;"'"&amp;"!B:B"))</f>
        <v>11801</v>
      </c>
      <c r="D20" s="130">
        <f ca="1">SUMIF(INDIRECT("'"&amp;D4&amp;"'"&amp;"!A:A"),结果表1011!B20,INDIRECT("'"&amp;D4&amp;"'"&amp;"!B:B"))</f>
        <v>7564</v>
      </c>
      <c r="E20" s="1633"/>
      <c r="F20" s="43" t="s">
        <v>1295</v>
      </c>
      <c r="G20" s="131">
        <f ca="1">ROUND(C20*$C$18+D20*$D$18,0)</f>
        <v>10106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0.56016872434297804</v>
      </c>
      <c r="E22" s="121"/>
      <c r="F22" s="121"/>
      <c r="G22" s="121"/>
      <c r="H22" s="121"/>
      <c r="I22" s="121"/>
    </row>
    <row r="23" spans="1:36" ht="13.8" thickBot="1">
      <c r="A23" s="646"/>
      <c r="B23" s="646"/>
      <c r="C23" s="646"/>
      <c r="D23" s="646"/>
      <c r="E23" s="121"/>
      <c r="F23" s="121"/>
      <c r="G23" s="121"/>
      <c r="H23" s="121"/>
      <c r="I23" s="121"/>
    </row>
    <row r="24" spans="1:36" ht="14.4">
      <c r="A24" s="3362" t="s">
        <v>1299</v>
      </c>
      <c r="B24" s="1631" t="s">
        <v>1291</v>
      </c>
      <c r="C24" s="128">
        <f>IF(B30=0,0,D30)</f>
        <v>0</v>
      </c>
      <c r="D24" s="1637"/>
      <c r="E24" s="121"/>
      <c r="F24" s="121"/>
      <c r="G24" s="121"/>
      <c r="H24" s="121"/>
      <c r="I24" s="121"/>
    </row>
    <row r="25" spans="1:36" ht="14.4">
      <c r="A25" s="33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10106</v>
      </c>
      <c r="D32" s="1641" t="s">
        <v>3517</v>
      </c>
      <c r="E32" s="121"/>
      <c r="F32" s="121"/>
      <c r="G32" s="121"/>
      <c r="H32" s="121"/>
      <c r="I32" s="121"/>
    </row>
    <row r="33" spans="1:15" ht="14.4">
      <c r="A33" s="740" t="s">
        <v>1306</v>
      </c>
      <c r="B33" s="123"/>
      <c r="C33" s="1642" t="s">
        <v>3518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39" t="s">
        <v>1312</v>
      </c>
      <c r="B36" s="1652" t="s">
        <v>1313</v>
      </c>
      <c r="C36" s="137"/>
      <c r="D36" s="1653"/>
      <c r="E36" s="1567"/>
      <c r="F36" s="1654"/>
      <c r="G36" s="121"/>
      <c r="H36" s="121"/>
      <c r="I36" s="121"/>
    </row>
    <row r="37" spans="1:15" ht="15" thickBot="1">
      <c r="A37" s="3340"/>
      <c r="B37" s="1555" t="s">
        <v>1314</v>
      </c>
      <c r="C37" s="139"/>
      <c r="D37" s="1071"/>
      <c r="E37" s="1071"/>
      <c r="F37" s="1654"/>
      <c r="G37" s="121"/>
      <c r="H37" s="121"/>
      <c r="I37" s="121"/>
    </row>
    <row r="38" spans="1:15" ht="15" thickBot="1">
      <c r="A38" s="3341"/>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9" t="s">
        <v>1326</v>
      </c>
      <c r="B45" s="3360"/>
      <c r="C45" s="3361"/>
      <c r="D45" s="3179">
        <f ca="1">典型户型修正!S31</f>
        <v>95.784700000000001</v>
      </c>
      <c r="E45" s="148" t="s">
        <v>1327</v>
      </c>
      <c r="F45" s="149">
        <v>1</v>
      </c>
      <c r="G45" s="150" t="s">
        <v>1328</v>
      </c>
      <c r="H45" s="121"/>
      <c r="I45" s="121"/>
      <c r="J45" s="3279" t="s">
        <v>1329</v>
      </c>
      <c r="K45" s="3279"/>
      <c r="L45" s="3279"/>
      <c r="M45" s="3279"/>
      <c r="N45" s="3279"/>
      <c r="O45" s="3279"/>
    </row>
    <row r="46" spans="1:15" ht="14.25" customHeight="1">
      <c r="A46" s="3356" t="s">
        <v>1330</v>
      </c>
      <c r="B46" s="3357"/>
      <c r="C46" s="3357"/>
      <c r="D46" s="3357"/>
      <c r="E46" s="3357"/>
      <c r="F46" s="3357"/>
      <c r="G46" s="3358"/>
      <c r="H46" s="1668"/>
      <c r="I46" s="151"/>
      <c r="J46" s="2309">
        <v>1</v>
      </c>
      <c r="K46" s="3280" t="s">
        <v>1331</v>
      </c>
      <c r="L46" s="3280"/>
      <c r="M46" s="3281"/>
      <c r="N46" s="3281"/>
      <c r="O46" s="3281"/>
    </row>
    <row r="47" spans="1:15" ht="12" customHeight="1">
      <c r="A47" s="152" t="s">
        <v>1332</v>
      </c>
      <c r="B47" s="153"/>
      <c r="C47" s="154"/>
      <c r="D47" s="1024" t="s">
        <v>1333</v>
      </c>
      <c r="E47" s="294" t="s">
        <v>1334</v>
      </c>
      <c r="F47" s="155" t="s">
        <v>1335</v>
      </c>
      <c r="G47" s="2332" t="s">
        <v>1336</v>
      </c>
      <c r="H47" s="2333"/>
      <c r="I47" s="151"/>
      <c r="J47" s="2309">
        <v>2</v>
      </c>
      <c r="K47" s="3280" t="s">
        <v>1337</v>
      </c>
      <c r="L47" s="3280"/>
      <c r="M47" s="3282">
        <f>'数据-取费表'!B2</f>
        <v>45828</v>
      </c>
      <c r="N47" s="3282"/>
      <c r="O47" s="3282"/>
    </row>
    <row r="48" spans="1:15" ht="39.6">
      <c r="A48" s="3342" t="s">
        <v>1338</v>
      </c>
      <c r="B48" s="3343"/>
      <c r="C48" s="3343"/>
      <c r="D48" s="12">
        <f ca="1">IF(H48="情况1",0,IF(H48="情况2",D52,IF(H48="情况3",D53,IF(H48="情况4",D54))))</f>
        <v>0</v>
      </c>
      <c r="E48" s="1256" t="str">
        <f>IF(H48="情况4","(销售额-原购置价)×税（费）率","销售额×税（费）率")</f>
        <v>(销售额-原购置价)×税（费）率</v>
      </c>
      <c r="F48" s="2334">
        <f>IF(H48="情况1","免征",'数据-取费表'!B41)</f>
        <v>5.6000000000000001E-2</v>
      </c>
      <c r="G48" s="2335" t="s">
        <v>1339</v>
      </c>
      <c r="H48" s="2336" t="s">
        <v>3538</v>
      </c>
      <c r="I48" s="1668"/>
      <c r="J48" s="2309">
        <v>3</v>
      </c>
      <c r="K48" s="3280" t="s">
        <v>1340</v>
      </c>
      <c r="L48" s="3280"/>
      <c r="M48" s="3283">
        <f ca="1">D45</f>
        <v>95.784700000000001</v>
      </c>
      <c r="N48" s="3283"/>
      <c r="O48" s="3283"/>
    </row>
    <row r="49" spans="1:35" ht="25.5" customHeight="1">
      <c r="A49" s="2152" t="s">
        <v>1341</v>
      </c>
      <c r="B49" s="3328" t="s">
        <v>1342</v>
      </c>
      <c r="C49" s="3328"/>
      <c r="D49" s="1478">
        <v>0</v>
      </c>
      <c r="E49" s="316" t="s">
        <v>1343</v>
      </c>
      <c r="F49" s="2232" t="s">
        <v>28</v>
      </c>
      <c r="G49" s="3311"/>
      <c r="H49" s="2134" t="s">
        <v>2132</v>
      </c>
      <c r="I49" s="2135"/>
      <c r="J49" s="2309">
        <v>4</v>
      </c>
      <c r="K49" s="3280" t="str">
        <f>IF(项目基本情况!E8="房地产抵押价值","房地产抵押价值","抵押担保权已注销时的房地产抵押价值")</f>
        <v>房地产抵押价值</v>
      </c>
      <c r="L49" s="3280"/>
      <c r="M49" s="3283">
        <f ca="1">M48</f>
        <v>95.784700000000001</v>
      </c>
      <c r="N49" s="3283"/>
      <c r="O49" s="3283"/>
    </row>
    <row r="50" spans="1:35" ht="25.5" customHeight="1">
      <c r="A50" s="2337"/>
      <c r="B50" s="3328" t="s">
        <v>1344</v>
      </c>
      <c r="C50" s="3328"/>
      <c r="D50" s="2189"/>
      <c r="E50" s="323"/>
      <c r="F50" s="2232"/>
      <c r="G50" s="3312"/>
      <c r="H50" s="2136" t="s">
        <v>2133</v>
      </c>
      <c r="I50" s="2135"/>
      <c r="J50" s="3279" t="s">
        <v>1345</v>
      </c>
      <c r="K50" s="3279"/>
      <c r="L50" s="3279"/>
      <c r="M50" s="3279"/>
      <c r="N50" s="3279"/>
      <c r="O50" s="3279"/>
    </row>
    <row r="51" spans="1:35" ht="20.399999999999999" customHeight="1">
      <c r="A51" s="2338"/>
      <c r="B51" s="3328" t="s">
        <v>1346</v>
      </c>
      <c r="C51" s="3328"/>
      <c r="D51" s="1024"/>
      <c r="E51" s="319"/>
      <c r="F51" s="2232"/>
      <c r="G51" s="3313"/>
      <c r="H51" s="2136" t="s">
        <v>2134</v>
      </c>
      <c r="I51" s="2135"/>
      <c r="J51" s="2310" t="s">
        <v>1347</v>
      </c>
      <c r="K51" s="3280" t="s">
        <v>1348</v>
      </c>
      <c r="L51" s="3280"/>
      <c r="M51" s="2310" t="s">
        <v>1349</v>
      </c>
      <c r="N51" s="2310" t="s">
        <v>1350</v>
      </c>
      <c r="O51" s="2310" t="s">
        <v>1351</v>
      </c>
    </row>
    <row r="52" spans="1:35" ht="24" customHeight="1">
      <c r="A52" s="2153" t="s">
        <v>1352</v>
      </c>
      <c r="B52" s="3328" t="s">
        <v>1353</v>
      </c>
      <c r="C52" s="3328"/>
      <c r="D52" s="1024">
        <f ca="1">ROUND(D45*'数据-取费表'!B41/(1+'数据-取费表'!C42),0)</f>
        <v>5</v>
      </c>
      <c r="E52" s="1256" t="s">
        <v>1354</v>
      </c>
      <c r="F52" s="2339">
        <f>'数据-取费表'!B41</f>
        <v>5.6000000000000001E-2</v>
      </c>
      <c r="G52" s="2340"/>
      <c r="H52" s="2330"/>
      <c r="I52" s="1669"/>
      <c r="J52" s="2309">
        <v>1</v>
      </c>
      <c r="K52" s="3305" t="s">
        <v>1355</v>
      </c>
      <c r="L52" s="3305"/>
      <c r="M52" s="2311">
        <f ca="1">D48</f>
        <v>0</v>
      </c>
      <c r="N52" s="2309" t="str">
        <f>E48</f>
        <v>(销售额-原购置价)×税（费）率</v>
      </c>
      <c r="O52" s="2312">
        <f>F48</f>
        <v>5.6000000000000001E-2</v>
      </c>
    </row>
    <row r="53" spans="1:35" ht="12" customHeight="1">
      <c r="A53" s="2153" t="s">
        <v>1356</v>
      </c>
      <c r="B53" s="3329" t="s">
        <v>2289</v>
      </c>
      <c r="C53" s="3330"/>
      <c r="D53" s="1024">
        <f ca="1">ROUND(D45*'数据-取费表'!B41/(1+'数据-取费表'!C42),0)</f>
        <v>5</v>
      </c>
      <c r="E53" s="1256" t="s">
        <v>1354</v>
      </c>
      <c r="F53" s="2339">
        <f>'数据-取费表'!B41</f>
        <v>5.6000000000000001E-2</v>
      </c>
      <c r="G53" s="2340"/>
      <c r="H53" s="2330"/>
      <c r="I53" s="1669"/>
      <c r="J53" s="2309">
        <v>2</v>
      </c>
      <c r="K53" s="3305" t="s">
        <v>1357</v>
      </c>
      <c r="L53" s="3305"/>
      <c r="M53" s="2311">
        <f t="shared" ref="M53:O54" ca="1" si="0">D55</f>
        <v>4.7899999999999998E-2</v>
      </c>
      <c r="N53" s="2309" t="str">
        <f t="shared" si="0"/>
        <v>销售额×税（费）率</v>
      </c>
      <c r="O53" s="2312">
        <f t="shared" si="0"/>
        <v>5.0000000000000001E-4</v>
      </c>
    </row>
    <row r="54" spans="1:35" ht="12" customHeight="1">
      <c r="A54" s="2153" t="s">
        <v>1358</v>
      </c>
      <c r="B54" s="3329" t="s">
        <v>2290</v>
      </c>
      <c r="C54" s="3330"/>
      <c r="D54" s="1024">
        <f ca="1">C68</f>
        <v>0</v>
      </c>
      <c r="E54" s="319" t="s">
        <v>1359</v>
      </c>
      <c r="F54" s="2339">
        <f>'数据-取费表'!B41</f>
        <v>5.6000000000000001E-2</v>
      </c>
      <c r="G54" s="2340"/>
      <c r="H54" s="2341"/>
      <c r="I54" s="1669"/>
      <c r="J54" s="2309">
        <v>3</v>
      </c>
      <c r="K54" s="3305" t="s">
        <v>1360</v>
      </c>
      <c r="L54" s="3305"/>
      <c r="M54" s="2311">
        <f t="shared" ca="1" si="0"/>
        <v>0</v>
      </c>
      <c r="N54" s="2309" t="str">
        <f t="shared" si="0"/>
        <v>增值额×税（费）率</v>
      </c>
      <c r="O54" s="2313" t="str">
        <f t="shared" si="0"/>
        <v>——</v>
      </c>
    </row>
    <row r="55" spans="1:35" ht="24" customHeight="1">
      <c r="A55" s="3365" t="s">
        <v>1361</v>
      </c>
      <c r="B55" s="3343"/>
      <c r="C55" s="3343"/>
      <c r="D55" s="1504">
        <f ca="1">IF(H55="个人住宅",0,ROUND(D45*I55,4))</f>
        <v>4.7899999999999998E-2</v>
      </c>
      <c r="E55" s="1256" t="s">
        <v>1362</v>
      </c>
      <c r="F55" s="2339">
        <f>IF(H55="正常",I55,"免征")</f>
        <v>5.0000000000000001E-4</v>
      </c>
      <c r="G55" s="2340"/>
      <c r="H55" s="2336" t="s">
        <v>3465</v>
      </c>
      <c r="I55" s="157">
        <f>'数据-取费表'!B49</f>
        <v>5.0000000000000001E-4</v>
      </c>
      <c r="J55" s="2309" t="str">
        <f>IF(H59="非个人房产","",4)</f>
        <v/>
      </c>
      <c r="K55" s="3305" t="str">
        <f>IF(H59="非个人房产","——","个人所得税")</f>
        <v>——</v>
      </c>
      <c r="L55" s="3305"/>
      <c r="M55" s="2314" t="str">
        <f>D59</f>
        <v>——</v>
      </c>
      <c r="N55" s="1883" t="str">
        <f>E59</f>
        <v>——</v>
      </c>
      <c r="O55" s="2315" t="str">
        <f>F59</f>
        <v>——</v>
      </c>
    </row>
    <row r="56" spans="1:35" ht="25.2">
      <c r="A56" s="3365" t="s">
        <v>1363</v>
      </c>
      <c r="B56" s="3343"/>
      <c r="C56" s="3343"/>
      <c r="D56" s="12">
        <f ca="1">IF(H56="个人住宅",D57,D58)</f>
        <v>0</v>
      </c>
      <c r="E56" s="1256" t="s">
        <v>1364</v>
      </c>
      <c r="F56" s="2339" t="str">
        <f>IF(H56="正常",F58,"免征")</f>
        <v>——</v>
      </c>
      <c r="G56" s="2342" t="s">
        <v>1365</v>
      </c>
      <c r="H56" s="2343" t="s">
        <v>3465</v>
      </c>
      <c r="I56" s="1670"/>
      <c r="J56" s="2309" t="str">
        <f>IF(项目基本情况!K6="上海银行",IF(J55="",4,J55+1),"")</f>
        <v/>
      </c>
      <c r="K56" s="3286" t="str">
        <f>IF(项目基本情况!K6="上海银行","其他处置费用","")</f>
        <v/>
      </c>
      <c r="L56" s="3287"/>
      <c r="M56" s="2311" t="str">
        <f>IF(项目基本情况!K6="上海银行",M69,"")</f>
        <v/>
      </c>
      <c r="N56" s="3286" t="str">
        <f>IF(项目基本情况!K6="上海银行","包含处置中涉及的律师、诉讼、拍卖、评估等费用","")</f>
        <v/>
      </c>
      <c r="O56" s="3289"/>
    </row>
    <row r="57" spans="1:35" ht="13.2">
      <c r="A57" s="2153" t="s">
        <v>1341</v>
      </c>
      <c r="B57" s="3329" t="s">
        <v>1366</v>
      </c>
      <c r="C57" s="3330"/>
      <c r="D57" s="1478">
        <v>0</v>
      </c>
      <c r="E57" s="316" t="s">
        <v>1343</v>
      </c>
      <c r="F57" s="294"/>
      <c r="G57" s="2340"/>
      <c r="H57" s="2344"/>
      <c r="I57" s="1670"/>
      <c r="J57" s="3305">
        <f>IF(AND(J55="",J56=""),4,IF(项目基本情况!K6="上海银行",结果表1011!J56+1,结果表1011!J55+1))</f>
        <v>4</v>
      </c>
      <c r="K57" s="3305" t="s">
        <v>1367</v>
      </c>
      <c r="L57" s="2316" t="s">
        <v>1368</v>
      </c>
      <c r="M57" s="2317"/>
      <c r="N57" s="2318">
        <f ca="1">SUMIF(M52:M56,"&lt;9e307")</f>
        <v>4.7899999999999998E-2</v>
      </c>
      <c r="O57" s="2319"/>
      <c r="P57" s="2460">
        <f ca="1">N57/M49</f>
        <v>5.0007986661752867E-4</v>
      </c>
    </row>
    <row r="58" spans="1:35" ht="25.2">
      <c r="A58" s="2153" t="s">
        <v>1352</v>
      </c>
      <c r="B58" s="3329" t="s">
        <v>1369</v>
      </c>
      <c r="C58" s="3328"/>
      <c r="D58" s="12">
        <f ca="1">IF(H58="转让取得",C81,C97)</f>
        <v>0</v>
      </c>
      <c r="E58" s="1256" t="s">
        <v>1364</v>
      </c>
      <c r="F58" s="294" t="s">
        <v>28</v>
      </c>
      <c r="G58" s="2340"/>
      <c r="H58" s="2343" t="s">
        <v>3539</v>
      </c>
      <c r="I58" s="1670"/>
      <c r="J58" s="3305"/>
      <c r="K58" s="3305"/>
      <c r="L58" s="2316" t="s">
        <v>1370</v>
      </c>
      <c r="M58" s="2320"/>
      <c r="N58" s="2321" t="str">
        <f ca="1">NUMBERSTRING(INT(N57*10000),2)&amp;"元整"</f>
        <v>肆佰柒拾玖元整</v>
      </c>
      <c r="O58" s="2322"/>
    </row>
    <row r="59" spans="1:35" ht="24.6" thickBot="1">
      <c r="A59" s="3309" t="s">
        <v>1371</v>
      </c>
      <c r="B59" s="3310"/>
      <c r="C59" s="3310"/>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3540</v>
      </c>
      <c r="I59" s="2137" t="s">
        <v>2135</v>
      </c>
      <c r="J59" s="3307">
        <f>J57+1</f>
        <v>5</v>
      </c>
      <c r="K59" s="3305" t="s">
        <v>1372</v>
      </c>
      <c r="L59" s="2309" t="s">
        <v>1368</v>
      </c>
      <c r="M59" s="2323"/>
      <c r="N59" s="2324">
        <f ca="1">M49-N57</f>
        <v>95.736800000000002</v>
      </c>
      <c r="O59" s="2325"/>
    </row>
    <row r="60" spans="1:35" ht="12" customHeight="1">
      <c r="A60" s="1671"/>
      <c r="B60" s="646"/>
      <c r="C60" s="646"/>
      <c r="D60" s="646"/>
      <c r="E60" s="1466"/>
      <c r="F60" s="1670"/>
      <c r="G60" s="1670"/>
      <c r="H60" s="151"/>
      <c r="I60" s="121"/>
      <c r="J60" s="3308"/>
      <c r="K60" s="3305"/>
      <c r="L60" s="2316" t="s">
        <v>1370</v>
      </c>
      <c r="M60" s="2320"/>
      <c r="N60" s="2321" t="str">
        <f ca="1">NUMBERSTRING(INT(N59*10000),2)&amp;"元整"</f>
        <v>玖拾伍万柒仟叁佰陆拾捌元整</v>
      </c>
      <c r="O60" s="2322"/>
    </row>
    <row r="61" spans="1:35" ht="13.8" thickBot="1">
      <c r="A61" s="3364" t="s">
        <v>1373</v>
      </c>
      <c r="B61" s="3364"/>
      <c r="C61" s="3364"/>
      <c r="D61" s="3364"/>
      <c r="E61" s="3364"/>
      <c r="F61" s="1670"/>
      <c r="G61" s="1670"/>
      <c r="H61" s="151"/>
      <c r="I61" s="121"/>
      <c r="J61" s="2309">
        <f>J59+1</f>
        <v>6</v>
      </c>
      <c r="K61" s="3305" t="s">
        <v>1374</v>
      </c>
      <c r="L61" s="3305"/>
      <c r="M61" s="2326"/>
      <c r="N61" s="3188">
        <f ca="1">ROUND(N59*10000/'数据-基础表'!G20,0)</f>
        <v>10101</v>
      </c>
      <c r="O61" s="2328"/>
    </row>
    <row r="62" spans="1:35" ht="13.2">
      <c r="A62" s="3324" t="s">
        <v>1375</v>
      </c>
      <c r="B62" s="3325"/>
      <c r="C62" s="1865"/>
      <c r="D62" s="1865" t="s">
        <v>1376</v>
      </c>
      <c r="E62" s="158" t="s">
        <v>1377</v>
      </c>
      <c r="F62" s="1670"/>
      <c r="G62" s="1670"/>
      <c r="H62" s="151"/>
      <c r="I62" s="121"/>
    </row>
    <row r="63" spans="1:35" ht="13.2">
      <c r="A63" s="165" t="s">
        <v>330</v>
      </c>
      <c r="B63" s="159" t="s">
        <v>1378</v>
      </c>
      <c r="C63" s="3181">
        <f ca="1">ROUND((C64+C65)/(1+'数据-取费表'!C42),4)</f>
        <v>91.223500000000001</v>
      </c>
      <c r="D63" s="159"/>
      <c r="E63" s="160"/>
      <c r="F63" s="1670"/>
      <c r="G63" s="1670"/>
      <c r="H63" s="151"/>
      <c r="I63" s="121"/>
      <c r="J63" s="3288" t="s">
        <v>1379</v>
      </c>
      <c r="K63" s="1245" t="s">
        <v>1380</v>
      </c>
      <c r="L63" s="1245">
        <f ca="1">IF(M49&gt;10000,M49*0.5%,IF(AND(M49&gt;1000,M49&lt;=10000),M49*1%,IF(AND(M49&gt;100,M49&lt;=1000),M49*3%,IF(AND(M49&gt;10,M49&lt;=100),M49*5%,M49*8%))))</f>
        <v>4.7892350000000006</v>
      </c>
      <c r="M63" s="294">
        <f ca="1">ROUND(L63,1)</f>
        <v>4.8</v>
      </c>
      <c r="N63" s="2329"/>
      <c r="Z63" s="1623"/>
      <c r="AI63" s="1561"/>
    </row>
    <row r="64" spans="1:35" ht="14.25" customHeight="1">
      <c r="A64" s="161" t="s">
        <v>325</v>
      </c>
      <c r="B64" s="162" t="s">
        <v>1381</v>
      </c>
      <c r="C64" s="3182">
        <f ca="1">D45</f>
        <v>95.784700000000001</v>
      </c>
      <c r="D64" s="162" t="s">
        <v>26</v>
      </c>
      <c r="E64" s="164"/>
      <c r="F64" s="1670"/>
      <c r="G64" s="1670"/>
      <c r="H64" s="151"/>
      <c r="I64" s="121"/>
      <c r="J64" s="3288"/>
      <c r="K64" s="1245" t="s">
        <v>1382</v>
      </c>
      <c r="L64" s="1245">
        <f ca="1">IF(M49&gt;2000,M49*0.5%,IF(AND(M49&gt;1000,M49&lt;=2000),M49*0.6%,IF(AND(M49&gt;500,M49&lt;=1000),M49*0.7%,IF(AND(M49&gt;200,M49&lt;=500),M49*0.8%,IF(AND(M49&gt;100,M49&lt;=200),M49*0.9%,IF(AND(M49&gt;50,M49&lt;=100),M49*1%,IF(AND(M49&gt;20,M49&lt;=50),M49*1.5%,IF(AND(M49&gt;10,M49&lt;=20),M49*2%,IF(AND(M49&gt;1,M49&lt;=10),M49*2.5%)))))))))</f>
        <v>0.957847</v>
      </c>
      <c r="M64" s="294">
        <f t="shared" ref="M64:M65" ca="1" si="1">ROUND(L64,1)</f>
        <v>1</v>
      </c>
      <c r="N64" s="2330" t="s">
        <v>1383</v>
      </c>
      <c r="Z64" s="1623"/>
      <c r="AI64" s="1561"/>
    </row>
    <row r="65" spans="1:35" ht="14.25" customHeight="1">
      <c r="A65" s="161" t="s">
        <v>326</v>
      </c>
      <c r="B65" s="162" t="s">
        <v>1384</v>
      </c>
      <c r="C65" s="2349"/>
      <c r="D65" s="162"/>
      <c r="E65" s="164"/>
      <c r="F65" s="1670"/>
      <c r="G65" s="1670"/>
      <c r="H65" s="151"/>
      <c r="I65" s="121"/>
      <c r="J65" s="3288"/>
      <c r="K65" s="1245" t="s">
        <v>1385</v>
      </c>
      <c r="L65" s="1245">
        <f ca="1">IF(M49&gt;1000,M49*0.1%,IF(AND(M49&gt;500,M49&lt;=1000),M49*0.5%,IF(AND(M49&gt;50,M49&lt;=500),M49*1%,IF(AND(M49&gt;1,M49&lt;=50),M49*1.5%))))</f>
        <v>0.957847</v>
      </c>
      <c r="M65" s="294">
        <f t="shared" ca="1" si="1"/>
        <v>1</v>
      </c>
      <c r="N65" s="2330" t="s">
        <v>1383</v>
      </c>
      <c r="Z65" s="1623"/>
      <c r="AI65" s="1561"/>
    </row>
    <row r="66" spans="1:35" ht="14.25" customHeight="1">
      <c r="A66" s="165" t="s">
        <v>327</v>
      </c>
      <c r="B66" s="166" t="s">
        <v>1386</v>
      </c>
      <c r="C66" s="2350">
        <f>C75/1.05</f>
        <v>99.293333333333322</v>
      </c>
      <c r="D66" s="166" t="s">
        <v>26</v>
      </c>
      <c r="E66" s="1251" t="s">
        <v>671</v>
      </c>
      <c r="F66" s="1670"/>
      <c r="G66" s="1670"/>
      <c r="H66" s="151"/>
      <c r="I66" s="121"/>
      <c r="J66" s="3288"/>
      <c r="K66" s="1245" t="s">
        <v>1387</v>
      </c>
      <c r="L66" s="1245">
        <f ca="1">M49*0.5%</f>
        <v>0.4789235</v>
      </c>
      <c r="M66" s="294">
        <f ca="1">IF(L66&gt;0.5,0.5,ROUND(L66,0))</f>
        <v>0</v>
      </c>
      <c r="N66" s="2330" t="s">
        <v>1388</v>
      </c>
      <c r="Z66" s="1623"/>
      <c r="AI66" s="1561"/>
    </row>
    <row r="67" spans="1:35" ht="14.25" customHeight="1">
      <c r="A67" s="165" t="s">
        <v>328</v>
      </c>
      <c r="B67" s="166" t="s">
        <v>1389</v>
      </c>
      <c r="C67" s="2351">
        <f ca="1">C63-C66</f>
        <v>-8.069833333333321</v>
      </c>
      <c r="D67" s="162" t="s">
        <v>26</v>
      </c>
      <c r="E67" s="164"/>
      <c r="F67" s="1670"/>
      <c r="G67" s="1670"/>
      <c r="H67" s="151"/>
      <c r="I67" s="121"/>
      <c r="J67" s="3288"/>
      <c r="K67" s="1245" t="s">
        <v>1390</v>
      </c>
      <c r="L67" s="1245">
        <f ca="1">IF(M49&gt;=10000,(8.25+(M49-10000)*0.01%),IF(AND(M49&gt;=8000,M49&lt;10000),(7.85+(M49-8000)*0.02%),IF(AND(M49&gt;=5000,M49&lt;8000),(6.65+(M49-5000)*0.04%),IF(AND(M49&gt;=2000,M49&lt;5000),(4.25+(PM49-2000)*0.08%),IF(AND(M49&gt;=1000,M49&lt;2000),(2.75+(M49-1000)*0.15%),IF(AND(M49&gt;=100,M49&lt;1000),(0.5+(M49-100)*0.25%),IF(AND(M49&gt;0,M49&lt;100),M49*0.5%)))))))</f>
        <v>0.4789235</v>
      </c>
      <c r="M67" s="294">
        <f ca="1">ROUND(L67*0.9,1)</f>
        <v>0.4</v>
      </c>
      <c r="N67" s="2329"/>
      <c r="Z67" s="1623"/>
      <c r="AI67" s="1561"/>
    </row>
    <row r="68" spans="1:35" ht="14.25" customHeight="1" thickBot="1">
      <c r="A68" s="168" t="s">
        <v>329</v>
      </c>
      <c r="B68" s="169" t="s">
        <v>1391</v>
      </c>
      <c r="C68" s="3180">
        <f ca="1">IF(C67&lt;=0,0,ROUND(C67*D68,4))</f>
        <v>0</v>
      </c>
      <c r="D68" s="2352">
        <f>'数据-取费表'!B41</f>
        <v>5.6000000000000001E-2</v>
      </c>
      <c r="E68" s="170"/>
      <c r="F68" s="1670"/>
      <c r="G68" s="1670"/>
      <c r="H68" s="151"/>
      <c r="I68" s="121"/>
      <c r="J68" s="3288"/>
      <c r="K68" s="1245" t="s">
        <v>1392</v>
      </c>
      <c r="L68" s="1245">
        <f ca="1">IF(M49&gt;10000,M49*0.5%,IF(AND(M49&gt;5000,M49&lt;=10000),M49*1%,IF(AND(M49&gt;1000,M49&lt;=5000),M49*2%,IF(AND(M49&gt;200,M49&lt;=1000),M49*3%,M49*5%))))</f>
        <v>4.7892350000000006</v>
      </c>
      <c r="M68" s="294">
        <f ca="1">ROUND(L68,1)</f>
        <v>4.8</v>
      </c>
      <c r="N68" s="2329"/>
      <c r="Z68" s="1623"/>
      <c r="AI68" s="1561"/>
    </row>
    <row r="69" spans="1:35" ht="16.5" customHeight="1">
      <c r="A69" s="1672"/>
      <c r="B69" s="1673"/>
      <c r="C69" s="1674"/>
      <c r="D69" s="1675"/>
      <c r="E69" s="1676"/>
      <c r="F69" s="1466"/>
      <c r="G69" s="1466"/>
      <c r="H69" s="1467"/>
      <c r="I69" s="646"/>
      <c r="J69" s="3288"/>
      <c r="K69" s="1245" t="s">
        <v>1393</v>
      </c>
      <c r="L69" s="1245"/>
      <c r="M69" s="294">
        <f ca="1">ROUND(SUM(M63:M68),0)</f>
        <v>12</v>
      </c>
      <c r="N69" s="2331">
        <f ca="1">M69/M49</f>
        <v>0.12528096867244978</v>
      </c>
      <c r="Z69" s="1623"/>
      <c r="AI69" s="1561"/>
    </row>
    <row r="70" spans="1:35" s="642" customFormat="1" ht="14.4" thickBot="1">
      <c r="A70" s="3332" t="s">
        <v>1394</v>
      </c>
      <c r="B70" s="3333"/>
      <c r="C70" s="3333"/>
      <c r="D70" s="3333"/>
      <c r="E70" s="3333"/>
      <c r="F70" s="3333"/>
      <c r="G70" s="3333"/>
      <c r="H70" s="333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4" t="s">
        <v>1375</v>
      </c>
      <c r="B71" s="332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3183">
        <f ca="1">ROUND(D45/(1+'数据-取费表'!C42),4)</f>
        <v>91.223500000000001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3183">
        <f ca="1">C74+C78</f>
        <v>118.50770000000001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3085">
        <f>ROUND(IF(G77="2016年5月1日后购买",C75/(1+'数据-取费表'!C42)+C76+C77,C75+C76+C77),4)</f>
        <v>117.96040000000001</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3184">
        <f>面积信息!K9</f>
        <v>104.258</v>
      </c>
      <c r="D75" s="162" t="s">
        <v>26</v>
      </c>
      <c r="E75" s="176" t="s">
        <v>1399</v>
      </c>
      <c r="F75" s="2354" t="s">
        <v>3541</v>
      </c>
      <c r="G75" s="176" t="s">
        <v>1400</v>
      </c>
      <c r="H75" s="2355">
        <f>2025-2022</f>
        <v>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085">
        <f>IF(F75="购房发票",ROUND(C75*H75*D76,4),0)</f>
        <v>15.6387</v>
      </c>
      <c r="D76" s="2356">
        <v>0.05</v>
      </c>
      <c r="E76" s="3329" t="s">
        <v>1402</v>
      </c>
      <c r="F76" s="3328"/>
      <c r="G76" s="3328"/>
      <c r="H76" s="333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085">
        <f>ROUND(IF(G77="个人住宅",0,IF(G77="2016年5月1日前购买",C75*D77,C75*D77/(1+'数据-取费表'!C42))),4)</f>
        <v>3.0284</v>
      </c>
      <c r="D77" s="2357">
        <f>'数据-取费表'!B48+'数据-取费表'!B49</f>
        <v>3.0499999999999999E-2</v>
      </c>
      <c r="E77" s="12" t="s">
        <v>1404</v>
      </c>
      <c r="F77" s="178"/>
      <c r="G77" s="1682" t="s">
        <v>3542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185">
        <f ca="1">ROUND(D45*D78/(1+'数据-取费表'!C42),4)</f>
        <v>0.54730000000000001</v>
      </c>
      <c r="D78" s="2359">
        <f>'数据-取费表'!B43</f>
        <v>6.000000000000001E-3</v>
      </c>
      <c r="E78" s="3321" t="s">
        <v>1406</v>
      </c>
      <c r="F78" s="3322"/>
      <c r="G78" s="3322"/>
      <c r="H78" s="332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1">
        <f ca="1">C72-C73</f>
        <v>-27.284200000000013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3186">
        <f ca="1">ROUND(IF(C79&lt;=0,0,IF(C80&gt;=200%,C79*60%-C73*35%,IF(C80&gt;=100%,C79*50%-C73*15%,IF(C80&gt;=50%,C79*40%-C73*5%,IF(C80&lt;50%,C79*30%,0))))),4)</f>
        <v>0</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2" t="s">
        <v>1410</v>
      </c>
      <c r="B83" s="3333"/>
      <c r="C83" s="3333"/>
      <c r="D83" s="3333"/>
      <c r="E83" s="3333"/>
      <c r="F83" s="3333"/>
      <c r="G83" s="3333"/>
      <c r="H83" s="333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4" t="s">
        <v>1375</v>
      </c>
      <c r="B84" s="332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91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1</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8">
        <f>C88+C89</f>
        <v>0</v>
      </c>
      <c r="D87" s="2359"/>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4"/>
      <c r="D88" s="2359"/>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8">
        <f>ROUND(C88*D89,0)</f>
        <v>0</v>
      </c>
      <c r="D89" s="2359">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4"/>
      <c r="D90" s="2359"/>
      <c r="E90" s="185" t="str">
        <f>IF(H88="-","土地取得成本中已包含该笔费用"," ")</f>
        <v xml:space="preserve"> </v>
      </c>
      <c r="F90" s="2148"/>
      <c r="G90" s="3290" t="s">
        <v>2127</v>
      </c>
      <c r="H90" s="3291"/>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321" t="s">
        <v>1419</v>
      </c>
      <c r="F91" s="3322"/>
      <c r="G91" s="332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321" t="s">
        <v>1422</v>
      </c>
      <c r="F92" s="3322"/>
      <c r="G92" s="3322"/>
      <c r="H92" s="3323"/>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1</v>
      </c>
      <c r="D93" s="2359">
        <f>'数据-取费表'!B43</f>
        <v>6.000000000000001E-3</v>
      </c>
      <c r="E93" s="3321" t="s">
        <v>1406</v>
      </c>
      <c r="F93" s="3322"/>
      <c r="G93" s="3322"/>
      <c r="H93" s="332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366" t="s">
        <v>1426</v>
      </c>
      <c r="F94" s="3367"/>
      <c r="G94" s="3367"/>
      <c r="H94" s="336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1">
        <f ca="1">ROUND(C85-C86,0)</f>
        <v>90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f ca="1">IF(C95&lt;=0,0,C95/C86)</f>
        <v>90</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1">
        <f ca="1">ROUND(IF(C95&lt;=0,0,IF(C96&gt;=200%,C95*60%-C86*35%,IF(C96&gt;=100%,C95*50%-C86*15%,IF(C96&gt;=50%,C95*40%-C86*5%,IF(C96&lt;50%,C95*30%,0))))),0)</f>
        <v>54</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1" t="s">
        <v>1428</v>
      </c>
      <c r="B100" s="3272"/>
      <c r="C100" s="3272"/>
      <c r="D100" s="3306"/>
      <c r="E100" s="3272" t="s">
        <v>1429</v>
      </c>
      <c r="F100" s="3272"/>
      <c r="G100" s="3272"/>
      <c r="H100" s="3306"/>
      <c r="I100" s="121"/>
    </row>
    <row r="101" spans="1:35" ht="18.75" customHeight="1">
      <c r="A101" s="3314" t="s">
        <v>1430</v>
      </c>
      <c r="B101" s="3315"/>
      <c r="C101" s="2367" t="str">
        <f>C4</f>
        <v>比较法-办公</v>
      </c>
      <c r="D101" s="2368" t="str">
        <f>D4</f>
        <v>收益法 (元)</v>
      </c>
      <c r="E101" s="3284" t="s">
        <v>1431</v>
      </c>
      <c r="F101" s="3285"/>
      <c r="G101" s="1687" t="s">
        <v>1432</v>
      </c>
      <c r="H101" s="2377">
        <f ca="1">H118</f>
        <v>95.784700000000001</v>
      </c>
      <c r="I101" s="121"/>
    </row>
    <row r="102" spans="1:35" ht="18.75" customHeight="1">
      <c r="A102" s="3316" t="s">
        <v>1433</v>
      </c>
      <c r="B102" s="2366" t="s">
        <v>1432</v>
      </c>
      <c r="C102" s="2367">
        <f ca="1">IF(D32="楼面单价",ROUND(C19,0),C19)</f>
        <v>112</v>
      </c>
      <c r="D102" s="2368">
        <f ca="1">IF(D32="楼面单价",ROUND(D19,0),D19)</f>
        <v>72</v>
      </c>
      <c r="E102" s="3284"/>
      <c r="F102" s="3285"/>
      <c r="G102" s="1687" t="s">
        <v>1434</v>
      </c>
      <c r="H102" s="2340">
        <f ca="1">I118</f>
        <v>10106</v>
      </c>
      <c r="I102" s="121"/>
    </row>
    <row r="103" spans="1:35" ht="42.75" customHeight="1">
      <c r="A103" s="3316"/>
      <c r="B103" s="2366" t="s">
        <v>1434</v>
      </c>
      <c r="C103" s="2369">
        <f ca="1">C20</f>
        <v>11801</v>
      </c>
      <c r="D103" s="2370">
        <f ca="1">D20</f>
        <v>7564</v>
      </c>
      <c r="E103" s="3277" t="s">
        <v>1435</v>
      </c>
      <c r="F103" s="3278"/>
      <c r="G103" s="1688" t="s">
        <v>1436</v>
      </c>
      <c r="H103" s="2377">
        <f>IF(D36="正常操作",H104+H105+H106,H105+H106)</f>
        <v>0</v>
      </c>
      <c r="I103" s="121"/>
    </row>
    <row r="104" spans="1:35" ht="18.75" customHeight="1">
      <c r="A104" s="3316" t="s">
        <v>1437</v>
      </c>
      <c r="B104" s="2371" t="s">
        <v>1432</v>
      </c>
      <c r="C104" s="2372">
        <f ca="1">H118</f>
        <v>95.784700000000001</v>
      </c>
      <c r="D104" s="2373"/>
      <c r="E104" s="1555" t="s">
        <v>1438</v>
      </c>
      <c r="F104" s="1548"/>
      <c r="G104" s="1688" t="s">
        <v>1436</v>
      </c>
      <c r="H104" s="2378">
        <f>IF(D36="同一抵押权人同一抵押物续贷",C36&amp;"（续贷，未扣减，详见特别提示）",C36)</f>
        <v>0</v>
      </c>
      <c r="I104" s="121"/>
    </row>
    <row r="105" spans="1:35" ht="18.75" customHeight="1" thickBot="1">
      <c r="A105" s="3326"/>
      <c r="B105" s="2374" t="s">
        <v>1434</v>
      </c>
      <c r="C105" s="2375">
        <f ca="1">I118</f>
        <v>10106</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317" t="str">
        <f>IF(项目基本情况!E8="已注销","——","3.房地产抵押价值")</f>
        <v>3.房地产抵押价值</v>
      </c>
      <c r="F107" s="3285"/>
      <c r="G107" s="1687" t="s">
        <v>1432</v>
      </c>
      <c r="H107" s="2377">
        <f ca="1">IF(E107="——","——",H101-H103)</f>
        <v>95.784700000000001</v>
      </c>
      <c r="I107" s="121"/>
    </row>
    <row r="108" spans="1:35" ht="18.75" customHeight="1">
      <c r="A108" s="121"/>
      <c r="B108" s="121"/>
      <c r="C108" s="121"/>
      <c r="D108" s="121"/>
      <c r="E108" s="3317"/>
      <c r="F108" s="3285"/>
      <c r="G108" s="1687" t="s">
        <v>1434</v>
      </c>
      <c r="H108" s="2340">
        <f ca="1">IF(H107=H101,H102,ROUND(H107*10000/'数据-汇总表'!E3,0))</f>
        <v>10106</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285"/>
      <c r="G109" s="1687" t="s">
        <v>1432</v>
      </c>
      <c r="H109" s="2380" t="str">
        <f>IF(E109="——","——",H101-H105-H106)</f>
        <v>——</v>
      </c>
      <c r="I109" s="121"/>
    </row>
    <row r="110" spans="1:35" ht="18.75" customHeight="1">
      <c r="A110" s="121"/>
      <c r="B110" s="121"/>
      <c r="C110" s="121"/>
      <c r="D110" s="121"/>
      <c r="E110" s="3317"/>
      <c r="F110" s="3285"/>
      <c r="G110" s="1687" t="s">
        <v>1434</v>
      </c>
      <c r="H110" s="2340" t="str">
        <f>IF(H109="——","——",ROUND(H109*10000/'数据-汇总表'!E3,0))</f>
        <v>——</v>
      </c>
      <c r="I110" s="121"/>
    </row>
    <row r="111" spans="1:35" ht="18.75" customHeight="1">
      <c r="A111" s="121"/>
      <c r="B111" s="121"/>
      <c r="C111" s="121"/>
      <c r="D111" s="121"/>
      <c r="E111" s="3318" t="str">
        <f>IF(项目基本情况!E9="抵押净值",IF(OR(项目基本情况!E8="已注销",项目基本情况!E8="房地产抵押价值"),"4.抵押净值","5.抵押净值"),"——")</f>
        <v>4.抵押净值</v>
      </c>
      <c r="F111" s="3304"/>
      <c r="G111" s="1687" t="s">
        <v>1432</v>
      </c>
      <c r="H111" s="2377">
        <f ca="1">IF(E111="——","——",N59)</f>
        <v>95.736800000000002</v>
      </c>
      <c r="I111" s="121"/>
    </row>
    <row r="112" spans="1:35" ht="18.75" customHeight="1" thickBot="1">
      <c r="A112" s="121"/>
      <c r="B112" s="121"/>
      <c r="C112" s="121"/>
      <c r="D112" s="121"/>
      <c r="E112" s="3319"/>
      <c r="F112" s="3320"/>
      <c r="G112" s="1690" t="s">
        <v>1434</v>
      </c>
      <c r="H112" s="2381">
        <f ca="1">IF(E111="——","——",N61)</f>
        <v>10101</v>
      </c>
      <c r="I112" s="121"/>
    </row>
    <row r="113" spans="1:27" ht="18.75" customHeight="1">
      <c r="A113" s="121"/>
      <c r="B113" s="121"/>
      <c r="C113" s="121"/>
      <c r="D113" s="121"/>
      <c r="E113" s="3327" t="s">
        <v>1440</v>
      </c>
      <c r="F113" s="3327"/>
      <c r="G113" s="3327"/>
      <c r="H113" s="3327"/>
      <c r="I113" s="121"/>
    </row>
    <row r="114" spans="1:27" ht="3.75" customHeight="1">
      <c r="A114" s="646"/>
      <c r="B114" s="646"/>
      <c r="C114" s="646"/>
      <c r="D114" s="646"/>
      <c r="E114" s="1671"/>
      <c r="F114" s="1671"/>
      <c r="G114" s="1671"/>
      <c r="H114" s="1671"/>
      <c r="I114" s="646"/>
    </row>
    <row r="115" spans="1:27" ht="18.75" customHeight="1">
      <c r="A115" s="3335" t="s">
        <v>1442</v>
      </c>
      <c r="B115" s="3336"/>
      <c r="C115" s="3336"/>
      <c r="D115" s="3336"/>
      <c r="E115" s="3336"/>
      <c r="F115" s="3336"/>
      <c r="G115" s="3336"/>
      <c r="H115" s="3336"/>
      <c r="I115" s="3337"/>
    </row>
    <row r="116" spans="1:27" ht="27" customHeight="1">
      <c r="A116" s="3292" t="s">
        <v>1443</v>
      </c>
      <c r="B116" s="3296" t="s">
        <v>1444</v>
      </c>
      <c r="C116" s="3296" t="s">
        <v>1445</v>
      </c>
      <c r="D116" s="3302" t="s">
        <v>1446</v>
      </c>
      <c r="E116" s="3303"/>
      <c r="F116" s="3334" t="s">
        <v>1447</v>
      </c>
      <c r="G116" s="3334"/>
      <c r="H116" s="3292" t="s">
        <v>1448</v>
      </c>
      <c r="I116" s="3292"/>
    </row>
    <row r="117" spans="1:27" ht="18.75" customHeight="1">
      <c r="A117" s="3292"/>
      <c r="B117" s="3297"/>
      <c r="C117" s="3297"/>
      <c r="D117" s="2150" t="s">
        <v>1449</v>
      </c>
      <c r="E117" s="2150" t="s">
        <v>1450</v>
      </c>
      <c r="F117" s="2150" t="s">
        <v>1449</v>
      </c>
      <c r="G117" s="2150" t="s">
        <v>1451</v>
      </c>
      <c r="H117" s="2150" t="s">
        <v>1449</v>
      </c>
      <c r="I117" s="2150" t="s">
        <v>1451</v>
      </c>
    </row>
    <row r="118" spans="1:27" ht="24.75" customHeight="1">
      <c r="A118" s="2382" t="str">
        <f>项目基本情况!S2</f>
        <v>北京市房山区辰光东路16号院5号楼10层1001等共计9套房地产</v>
      </c>
      <c r="B118" s="2150">
        <f>M18</f>
        <v>94.78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78">
        <f ca="1">ROUND(IF(D32="总价",C32,I118*B118/10000),4)</f>
        <v>95.784700000000001</v>
      </c>
      <c r="I118" s="2150">
        <f ca="1">ROUND(IF(D32="楼面单价",C32,H118*10000/B118),0)</f>
        <v>10106</v>
      </c>
    </row>
    <row r="119" spans="1:27" ht="18.75" customHeight="1">
      <c r="A119" s="3292" t="s">
        <v>1452</v>
      </c>
      <c r="B119" s="3292"/>
      <c r="C119" s="3292"/>
      <c r="D119" s="3298" t="str">
        <f>NUMBERSTRING(INT(D118*10000),2)&amp;"元整"</f>
        <v>零元整</v>
      </c>
      <c r="E119" s="3299"/>
      <c r="F119" s="3298" t="str">
        <f>NUMBERSTRING(INT(F118*10000),2)&amp;"元整"</f>
        <v>零元整</v>
      </c>
      <c r="G119" s="3299"/>
      <c r="H119" s="3298" t="str">
        <f ca="1">NUMBERSTRING(INT(H118*10000),2)&amp;"元整"</f>
        <v>玖拾伍万柒仟捌佰肆拾柒元整</v>
      </c>
      <c r="I119" s="3299"/>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8" t="s">
        <v>1452</v>
      </c>
      <c r="B121" s="3300"/>
      <c r="C121" s="3299"/>
      <c r="D121" s="3298" t="str">
        <f>IF(D120=0,"零元整",NUMBERSTRING(INT(D120*10000),2)&amp;"元整")</f>
        <v>零元整</v>
      </c>
      <c r="E121" s="3300"/>
      <c r="F121" s="3300"/>
      <c r="G121" s="3300"/>
      <c r="H121" s="3300"/>
      <c r="I121" s="3299"/>
      <c r="AA121" s="684"/>
    </row>
    <row r="122" spans="1:27" ht="18.75" customHeight="1">
      <c r="A122" s="3304" t="str">
        <f>IF(项目基本情况!B9="房地产市场价值","",MID(E107,3,LEN(E107)-2))</f>
        <v>房地产抵押价值</v>
      </c>
      <c r="B122" s="3304"/>
      <c r="C122" s="3304"/>
      <c r="D122" s="3293">
        <f ca="1">H107</f>
        <v>95.784700000000001</v>
      </c>
      <c r="E122" s="3294"/>
      <c r="F122" s="3294"/>
      <c r="G122" s="3294"/>
      <c r="H122" s="3294"/>
      <c r="I122" s="3295"/>
      <c r="AA122" s="684"/>
    </row>
    <row r="123" spans="1:27" ht="18.75" customHeight="1">
      <c r="A123" s="3292" t="s">
        <v>1452</v>
      </c>
      <c r="B123" s="3292"/>
      <c r="C123" s="3292"/>
      <c r="D123" s="3298" t="str">
        <f ca="1">NUMBERSTRING(INT(D122*10000),2)&amp;"元整"</f>
        <v>玖拾伍万柒仟捌佰肆拾柒元整</v>
      </c>
      <c r="E123" s="3300"/>
      <c r="F123" s="3300"/>
      <c r="G123" s="3300"/>
      <c r="H123" s="3300"/>
      <c r="I123" s="3299"/>
      <c r="AA123" s="684"/>
    </row>
    <row r="124" spans="1:27" ht="18.75" customHeight="1">
      <c r="A124" s="3304" t="str">
        <f>IF(项目基本情况!B9="房地产市场价值","",MID(E109,3,LEN(E109)-2))</f>
        <v/>
      </c>
      <c r="B124" s="3304"/>
      <c r="C124" s="3304"/>
      <c r="D124" s="3293" t="str">
        <f>H109</f>
        <v>——</v>
      </c>
      <c r="E124" s="3294"/>
      <c r="F124" s="3294"/>
      <c r="G124" s="3294"/>
      <c r="H124" s="3294"/>
      <c r="I124" s="3295"/>
      <c r="AA124" s="684"/>
    </row>
    <row r="125" spans="1:27" ht="18.75" customHeight="1">
      <c r="A125" s="3292" t="s">
        <v>1452</v>
      </c>
      <c r="B125" s="3292"/>
      <c r="C125" s="3292"/>
      <c r="D125" s="3298" t="e">
        <f>NUMBERSTRING(INT(D124*10000),2)&amp;"元整"</f>
        <v>#VALUE!</v>
      </c>
      <c r="E125" s="3300"/>
      <c r="F125" s="3300"/>
      <c r="G125" s="3300"/>
      <c r="H125" s="3300"/>
      <c r="I125" s="3299"/>
      <c r="AA125" s="684"/>
    </row>
    <row r="126" spans="1:27" ht="18.75" customHeight="1">
      <c r="A126" s="3304" t="str">
        <f>IF(项目基本情况!B9="房地产市场价值","",MID(E111,3,LEN(E111)-2))</f>
        <v>抵押净值</v>
      </c>
      <c r="B126" s="3304"/>
      <c r="C126" s="3304"/>
      <c r="D126" s="3293">
        <f ca="1">H111</f>
        <v>95.736800000000002</v>
      </c>
      <c r="E126" s="3294"/>
      <c r="F126" s="3294"/>
      <c r="G126" s="3294"/>
      <c r="H126" s="3294"/>
      <c r="I126" s="3295"/>
      <c r="AA126" s="684"/>
    </row>
    <row r="127" spans="1:27" ht="18.75" customHeight="1">
      <c r="A127" s="3292" t="s">
        <v>1452</v>
      </c>
      <c r="B127" s="3292"/>
      <c r="C127" s="3292"/>
      <c r="D127" s="3298" t="str">
        <f ca="1">NUMBERSTRING(INT(D126*10000),2)&amp;"元整"</f>
        <v>玖拾伍万柒仟叁佰陆拾捌元整</v>
      </c>
      <c r="E127" s="3300"/>
      <c r="F127" s="3300"/>
      <c r="G127" s="3300"/>
      <c r="H127" s="3300"/>
      <c r="I127" s="3299"/>
      <c r="AA127" s="684"/>
    </row>
    <row r="128" spans="1:27" ht="21.75" customHeight="1">
      <c r="A128" s="3301" t="s">
        <v>1453</v>
      </c>
      <c r="B128" s="3301"/>
      <c r="C128" s="3301"/>
      <c r="D128" s="3301"/>
      <c r="E128" s="3301"/>
      <c r="F128" s="3301"/>
      <c r="G128" s="3301"/>
      <c r="H128" s="3301"/>
      <c r="I128" s="330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6" stopIfTrue="1" operator="equal">
      <formula>25</formula>
    </cfRule>
  </conditionalFormatting>
  <conditionalFormatting sqref="C8:D13">
    <cfRule type="cellIs" dxfId="135" priority="5" stopIfTrue="1" operator="equal">
      <formula>15</formula>
    </cfRule>
  </conditionalFormatting>
  <conditionalFormatting sqref="C14:D16">
    <cfRule type="cellIs" dxfId="134" priority="4"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D92" xr:uid="{68999EB7-A5BE-4590-87ED-910100FFC155}">
      <formula1>"0,5%,10%"</formula1>
    </dataValidation>
    <dataValidation type="list" allowBlank="1" showInputMessage="1" showErrorMessage="1" sqref="H59" xr:uid="{797023C7-6B36-40DC-A9B7-F735D3BE6721}">
      <formula1>"非个人房产,个人住宅（满五唯一有凭证）,个人其他（有凭证）,个人其他（无凭证）"</formula1>
    </dataValidation>
    <dataValidation type="list" allowBlank="1" showInputMessage="1" showErrorMessage="1" sqref="E103" xr:uid="{5A578305-8318-4232-BD41-DB688B061C3A}">
      <formula1>"2.估价师知悉的法定优先受偿款,2.估价师知悉的除抵押担保权以外的法定优先受偿款"</formula1>
    </dataValidation>
    <dataValidation type="list" allowBlank="1" showInputMessage="1" showErrorMessage="1" sqref="G77" xr:uid="{FCFC2F47-8653-414E-B3C2-1D450F4D6772}">
      <formula1>"个人住宅,2016年5月1日前购买,2016年5月1日后购买"</formula1>
    </dataValidation>
    <dataValidation type="list" allowBlank="1" showInputMessage="1" showErrorMessage="1" sqref="C1" xr:uid="{F008D916-D86F-4BBB-A6D7-A0FFE4F82B94}">
      <formula1>项目类型</formula1>
    </dataValidation>
    <dataValidation type="list" allowBlank="1" showInputMessage="1" showErrorMessage="1" sqref="I1" xr:uid="{F34EA8B0-77E3-4B5B-B921-D976A9AFA9E5}">
      <formula1>"项目局部,项目全部,——"</formula1>
    </dataValidation>
    <dataValidation type="list" showInputMessage="1" showErrorMessage="1" sqref="G1" xr:uid="{2FF20C92-9E7B-4CDB-B0A2-050337C3F8C9}">
      <formula1>"现房,在建,土地,-"</formula1>
    </dataValidation>
    <dataValidation type="list" allowBlank="1" showInputMessage="1" showErrorMessage="1" sqref="C129" xr:uid="{9A21928D-A94E-4024-83E7-38C7F15CBF0A}">
      <formula1>"无,有"</formula1>
    </dataValidation>
    <dataValidation type="list" allowBlank="1" showInputMessage="1" showErrorMessage="1" sqref="F116:G116" xr:uid="{F82375C5-E309-41EE-9555-D732ADE8A586}">
      <formula1>"建筑物价值,在建建筑物价值,建筑物/在建建筑物价值"</formula1>
    </dataValidation>
    <dataValidation type="list" allowBlank="1" showInputMessage="1" showErrorMessage="1" sqref="D116:E116" xr:uid="{5C3DF75A-EE52-45BB-B7FF-CA208DB71168}">
      <formula1>"出让国有建设用地使用权价值,划拨国有建设用地使用权价值"</formula1>
    </dataValidation>
    <dataValidation type="list" allowBlank="1" showInputMessage="1" showErrorMessage="1" sqref="C116:C117" xr:uid="{C9B65959-069F-4D44-918B-F7D9D8F68F07}">
      <formula1>"土地面积,分摊土地面积,（分摊）土地面积"</formula1>
    </dataValidation>
    <dataValidation type="list" allowBlank="1" showInputMessage="1" showErrorMessage="1" sqref="B116:B117" xr:uid="{64CCAB4E-CC04-43B4-823B-0E64B2B07D8F}">
      <formula1>"建筑面积,规划建筑面积,（规划）建筑面积"</formula1>
    </dataValidation>
    <dataValidation type="list" allowBlank="1" showInputMessage="1" showErrorMessage="1" sqref="D36" xr:uid="{C4F23BF2-B35D-4425-9CCD-F71A11FDC150}">
      <formula1>"同一抵押权人同一抵押物续贷,注销后放款,正常操作"</formula1>
    </dataValidation>
    <dataValidation type="list" allowBlank="1" showInputMessage="1" showErrorMessage="1" sqref="F75" xr:uid="{FA843A23-584C-4A12-8C3C-3CEC3D330047}">
      <formula1>"买卖合同,购房发票"</formula1>
    </dataValidation>
    <dataValidation type="list" allowBlank="1" showInputMessage="1" showErrorMessage="1" sqref="H88" xr:uid="{D9028522-D45B-4D0B-ADA5-1343CFC9E652}">
      <formula1>"仅含出让金,出让金+开发费"</formula1>
    </dataValidation>
    <dataValidation type="list" allowBlank="1" showInputMessage="1" showErrorMessage="1" sqref="H91" xr:uid="{0B3FC304-7361-4E54-BC21-494998DFEB21}">
      <formula1>"企业提供（在右侧录入）,——"</formula1>
    </dataValidation>
    <dataValidation type="list" allowBlank="1" showInputMessage="1" showErrorMessage="1" sqref="C33" xr:uid="{DD1CE2DC-C9C8-4849-80F6-958413AE3B29}">
      <formula1>"成本比率,收益比率,自定义"</formula1>
    </dataValidation>
    <dataValidation type="list" allowBlank="1" showInputMessage="1" showErrorMessage="1" sqref="F45" xr:uid="{861413D7-78B2-4123-8910-4B21BD5C041B}">
      <formula1>"100%,70%,56%"</formula1>
    </dataValidation>
    <dataValidation type="list" allowBlank="1" showInputMessage="1" showErrorMessage="1" sqref="D32" xr:uid="{FE3C50B3-FED0-446B-BA8F-388B88257C6F}">
      <formula1>"总价,楼面单价"</formula1>
    </dataValidation>
    <dataValidation type="list" allowBlank="1" showInputMessage="1" showErrorMessage="1" sqref="H58" xr:uid="{6BD9A478-4A03-483E-9AC6-8B2A8FA8E414}">
      <formula1>"转让取得,自行开发建设"</formula1>
    </dataValidation>
    <dataValidation type="list" allowBlank="1" showInputMessage="1" showErrorMessage="1" sqref="H48" xr:uid="{1BC9E5B9-809D-4005-A512-FD42625512B3}">
      <formula1>"情况1,情况2,情况3,情况4"</formula1>
    </dataValidation>
    <dataValidation type="list" allowBlank="1" showInputMessage="1" showErrorMessage="1" sqref="H55:H56" xr:uid="{1908E998-2D67-4704-BF6E-3B1774923DE5}">
      <formula1>"个人住宅,正常"</formula1>
    </dataValidation>
    <dataValidation type="list" allowBlank="1" showInputMessage="1" showErrorMessage="1" sqref="C4:D4 D33" xr:uid="{E16E8781-A6A9-4761-AB3F-D6AB9A4E5F86}">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FF4A6-2284-4870-90C1-0CC1C76A56F8}">
  <sheetPr>
    <tabColor rgb="FFFF0000"/>
  </sheetPr>
  <dimension ref="A1:AJ512"/>
  <sheetViews>
    <sheetView view="pageBreakPreview" topLeftCell="A47" zoomScale="70" zoomScaleNormal="100" zoomScaleSheetLayoutView="70" zoomScalePageLayoutView="80" workbookViewId="0">
      <selection activeCell="D45" sqref="D4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1001</v>
      </c>
      <c r="D1" s="646"/>
      <c r="E1" s="646"/>
      <c r="F1" s="1621" t="s">
        <v>1263</v>
      </c>
      <c r="G1" s="1453"/>
      <c r="H1" s="1621" t="str">
        <f>IF(G1="现房","——","估价对象范围")</f>
        <v>估价对象范围</v>
      </c>
      <c r="I1" s="1622"/>
    </row>
    <row r="2" spans="1:12" ht="21.75" customHeight="1" thickBot="1">
      <c r="A2" s="3344" t="str">
        <f>项目基本情况!S2</f>
        <v>北京市房山区辰光东路16号院5号楼10层1001等共计9套房地产</v>
      </c>
      <c r="B2" s="3345"/>
      <c r="C2" s="3345"/>
      <c r="D2" s="3345"/>
      <c r="E2" s="3345"/>
      <c r="F2" s="3345"/>
      <c r="G2" s="3345"/>
      <c r="H2" s="3345"/>
      <c r="I2" s="3346"/>
    </row>
    <row r="3" spans="1:12" ht="13.2">
      <c r="A3" s="3348" t="s">
        <v>1264</v>
      </c>
      <c r="B3" s="3349"/>
      <c r="C3" s="3349"/>
      <c r="D3" s="3349"/>
      <c r="E3" s="3349"/>
      <c r="F3" s="3349"/>
      <c r="G3" s="3349"/>
      <c r="H3" s="3349"/>
      <c r="I3" s="3349"/>
    </row>
    <row r="4" spans="1:12" ht="14.4">
      <c r="A4" s="1624" t="s">
        <v>1265</v>
      </c>
      <c r="B4" s="1625" t="s">
        <v>1266</v>
      </c>
      <c r="C4" s="1626" t="s">
        <v>3456</v>
      </c>
      <c r="D4" s="1626" t="s">
        <v>3454</v>
      </c>
      <c r="E4" s="3353" t="s">
        <v>1267</v>
      </c>
      <c r="F4" s="3354"/>
      <c r="G4" s="3354"/>
      <c r="H4" s="3354"/>
      <c r="I4" s="3355"/>
      <c r="K4" s="138" t="str">
        <f>IF(ISNUMBER(FIND("比较法",结果表1012!C4)),"比较法",IF(ISNUMBER(FIND("成本法",结果表1012!C4)),"成本法",IF(ISNUMBER(FIND("假设开发法",结果表1012!C4)),"假设开发法",IF(ISNUMBER(FIND("收益法",结果表1012!C4)),"收益法","基准地价系数修正法"))))</f>
        <v>比较法</v>
      </c>
      <c r="L4" s="138" t="str">
        <f>IF(ISNUMBER(FIND("比较法",结果表1012!D4)),"比较法",IF(ISNUMBER(FIND("成本法",结果表1012!D4)),"成本法",IF(ISNUMBER(FIND("假设开发法",结果表1012!D4)),"假设开发法",IF(ISNUMBER(FIND("收益法",结果表1012!D4)),"收益法","基准地价系数修正法"))))</f>
        <v>收益法</v>
      </c>
    </row>
    <row r="5" spans="1:12" ht="13.2">
      <c r="A5" s="3292" t="s">
        <v>1268</v>
      </c>
      <c r="B5" s="3347">
        <v>25</v>
      </c>
      <c r="C5" s="3350"/>
      <c r="D5" s="3338"/>
      <c r="E5" s="123" t="s">
        <v>1269</v>
      </c>
      <c r="F5" s="1627"/>
      <c r="G5" s="1627"/>
      <c r="H5" s="1627"/>
      <c r="I5" s="1281"/>
    </row>
    <row r="6" spans="1:12" ht="13.2">
      <c r="A6" s="3292"/>
      <c r="B6" s="3347"/>
      <c r="C6" s="3352"/>
      <c r="D6" s="3338"/>
      <c r="E6" s="123" t="s">
        <v>1270</v>
      </c>
      <c r="F6" s="1627"/>
      <c r="G6" s="1627"/>
      <c r="H6" s="1627"/>
      <c r="I6" s="1281"/>
    </row>
    <row r="7" spans="1:12" ht="13.2">
      <c r="A7" s="3292"/>
      <c r="B7" s="3347"/>
      <c r="C7" s="3351"/>
      <c r="D7" s="3338"/>
      <c r="E7" s="123" t="s">
        <v>1271</v>
      </c>
      <c r="F7" s="1627"/>
      <c r="G7" s="1627"/>
      <c r="H7" s="1627"/>
      <c r="I7" s="1281"/>
    </row>
    <row r="8" spans="1:12" ht="13.2">
      <c r="A8" s="3292" t="s">
        <v>1272</v>
      </c>
      <c r="B8" s="3347">
        <v>15</v>
      </c>
      <c r="C8" s="3350"/>
      <c r="D8" s="3338"/>
      <c r="E8" s="123" t="s">
        <v>1273</v>
      </c>
      <c r="F8" s="1627"/>
      <c r="G8" s="1627"/>
      <c r="H8" s="1627"/>
      <c r="I8" s="1281"/>
    </row>
    <row r="9" spans="1:12" ht="13.2">
      <c r="A9" s="3292"/>
      <c r="B9" s="3347"/>
      <c r="C9" s="3351"/>
      <c r="D9" s="3338"/>
      <c r="E9" s="123" t="s">
        <v>1274</v>
      </c>
      <c r="F9" s="1627"/>
      <c r="G9" s="1627"/>
      <c r="H9" s="1627"/>
      <c r="I9" s="1281"/>
    </row>
    <row r="10" spans="1:12" ht="13.2">
      <c r="A10" s="3292" t="s">
        <v>1275</v>
      </c>
      <c r="B10" s="3347">
        <v>15</v>
      </c>
      <c r="C10" s="3350"/>
      <c r="D10" s="3338"/>
      <c r="E10" s="123" t="s">
        <v>1276</v>
      </c>
      <c r="F10" s="1627"/>
      <c r="G10" s="1627"/>
      <c r="H10" s="1627"/>
      <c r="I10" s="1281"/>
    </row>
    <row r="11" spans="1:12" ht="13.2">
      <c r="A11" s="3292"/>
      <c r="B11" s="3347"/>
      <c r="C11" s="3351"/>
      <c r="D11" s="3338"/>
      <c r="E11" s="123" t="s">
        <v>1277</v>
      </c>
      <c r="F11" s="1627"/>
      <c r="G11" s="1627"/>
      <c r="H11" s="1627"/>
      <c r="I11" s="1281"/>
    </row>
    <row r="12" spans="1:12" ht="13.2">
      <c r="A12" s="3292" t="s">
        <v>1278</v>
      </c>
      <c r="B12" s="3347">
        <v>15</v>
      </c>
      <c r="C12" s="3350"/>
      <c r="D12" s="3338"/>
      <c r="E12" s="123" t="s">
        <v>1279</v>
      </c>
      <c r="F12" s="1627"/>
      <c r="G12" s="1627"/>
      <c r="H12" s="1627"/>
      <c r="I12" s="1281"/>
    </row>
    <row r="13" spans="1:12" ht="13.2">
      <c r="A13" s="3292"/>
      <c r="B13" s="3347"/>
      <c r="C13" s="3351"/>
      <c r="D13" s="3338"/>
      <c r="E13" s="123" t="s">
        <v>1280</v>
      </c>
      <c r="F13" s="1627"/>
      <c r="G13" s="1627"/>
      <c r="H13" s="1627"/>
      <c r="I13" s="1281"/>
    </row>
    <row r="14" spans="1:12" ht="13.2">
      <c r="A14" s="3292" t="s">
        <v>1281</v>
      </c>
      <c r="B14" s="3347">
        <v>30</v>
      </c>
      <c r="C14" s="3350">
        <v>6</v>
      </c>
      <c r="D14" s="3338">
        <v>4</v>
      </c>
      <c r="E14" s="123" t="s">
        <v>1282</v>
      </c>
      <c r="F14" s="1627"/>
      <c r="G14" s="1627"/>
      <c r="H14" s="1627"/>
      <c r="I14" s="1281"/>
    </row>
    <row r="15" spans="1:12" ht="13.2">
      <c r="A15" s="3292"/>
      <c r="B15" s="3347"/>
      <c r="C15" s="3352"/>
      <c r="D15" s="3338"/>
      <c r="E15" s="123" t="s">
        <v>1283</v>
      </c>
      <c r="F15" s="1627"/>
      <c r="G15" s="1627"/>
      <c r="H15" s="1627"/>
      <c r="I15" s="1281"/>
    </row>
    <row r="16" spans="1:12" ht="13.2">
      <c r="A16" s="3292"/>
      <c r="B16" s="3347"/>
      <c r="C16" s="3351"/>
      <c r="D16" s="3338"/>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69" t="s">
        <v>2129</v>
      </c>
      <c r="F18" s="3370"/>
      <c r="G18" s="3370"/>
      <c r="H18" s="3370"/>
      <c r="I18" s="3370"/>
      <c r="K18" s="294" t="s">
        <v>1289</v>
      </c>
      <c r="L18" s="294">
        <f>IF(C1="",'数据-汇总表'!E3,SUMIF(项目类型,C1,'数据-汇总表'!E17:E26)+SUMIF(项目类型,C1,'数据-汇总表'!I17:I26))</f>
        <v>94.78</v>
      </c>
      <c r="M18" s="294">
        <f>IF(C1="",'数据-汇总表'!E3,SUMIF(项目类型,C1,'数据-汇总表'!E17:E26))</f>
        <v>94.78</v>
      </c>
    </row>
    <row r="19" spans="1:36" ht="14.4">
      <c r="A19" s="1630" t="s">
        <v>1290</v>
      </c>
      <c r="B19" s="1631" t="s">
        <v>1291</v>
      </c>
      <c r="C19" s="126">
        <f ca="1">SUMIF(INDIRECT("'"&amp;C4&amp;"'"&amp;"!A:A"),结果表1012!B19,INDIRECT("'"&amp;C4&amp;"'"&amp;"!B:B"))</f>
        <v>111.84990000000001</v>
      </c>
      <c r="D19" s="127">
        <f ca="1">SUMIF(INDIRECT("'"&amp;D4&amp;"'"&amp;"!A:A"),结果表1012!B19,INDIRECT("'"&amp;D4&amp;"'"&amp;"!B:B"))</f>
        <v>71.690899999999999</v>
      </c>
      <c r="E19" s="1630" t="s">
        <v>1292</v>
      </c>
      <c r="F19" s="1631" t="s">
        <v>1291</v>
      </c>
      <c r="G19" s="128">
        <f ca="1">ROUND(C19*$C$18+D19*$D$18,0)</f>
        <v>96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SUMIF(INDIRECT("'"&amp;C4&amp;"'"&amp;"!A:A"),结果表1012!B20,INDIRECT("'"&amp;C4&amp;"'"&amp;"!B:B"))</f>
        <v>11801</v>
      </c>
      <c r="D20" s="130">
        <f ca="1">SUMIF(INDIRECT("'"&amp;D4&amp;"'"&amp;"!A:A"),结果表1012!B20,INDIRECT("'"&amp;D4&amp;"'"&amp;"!B:B"))</f>
        <v>7564</v>
      </c>
      <c r="E20" s="1633"/>
      <c r="F20" s="43" t="s">
        <v>1295</v>
      </c>
      <c r="G20" s="131">
        <f ca="1">ROUND(C20*$C$18+D20*$D$18,0)</f>
        <v>10106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0.56016872434297804</v>
      </c>
      <c r="E22" s="121"/>
      <c r="F22" s="121"/>
      <c r="G22" s="121"/>
      <c r="H22" s="121"/>
      <c r="I22" s="121"/>
    </row>
    <row r="23" spans="1:36" ht="13.8" thickBot="1">
      <c r="A23" s="646"/>
      <c r="B23" s="646"/>
      <c r="C23" s="646"/>
      <c r="D23" s="646"/>
      <c r="E23" s="121"/>
      <c r="F23" s="121"/>
      <c r="G23" s="121"/>
      <c r="H23" s="121"/>
      <c r="I23" s="121"/>
    </row>
    <row r="24" spans="1:36" ht="14.4">
      <c r="A24" s="3362" t="s">
        <v>1299</v>
      </c>
      <c r="B24" s="1631" t="s">
        <v>1291</v>
      </c>
      <c r="C24" s="128">
        <f>IF(B30=0,0,D30)</f>
        <v>0</v>
      </c>
      <c r="D24" s="1637"/>
      <c r="E24" s="121"/>
      <c r="F24" s="121"/>
      <c r="G24" s="121"/>
      <c r="H24" s="121"/>
      <c r="I24" s="121"/>
    </row>
    <row r="25" spans="1:36" ht="14.4">
      <c r="A25" s="33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10106</v>
      </c>
      <c r="D32" s="1641" t="s">
        <v>3517</v>
      </c>
      <c r="E32" s="121"/>
      <c r="F32" s="121"/>
      <c r="G32" s="121"/>
      <c r="H32" s="121"/>
      <c r="I32" s="121"/>
    </row>
    <row r="33" spans="1:15" ht="14.4">
      <c r="A33" s="740" t="s">
        <v>1306</v>
      </c>
      <c r="B33" s="123"/>
      <c r="C33" s="1642" t="s">
        <v>3518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39" t="s">
        <v>1312</v>
      </c>
      <c r="B36" s="1652" t="s">
        <v>1313</v>
      </c>
      <c r="C36" s="137"/>
      <c r="D36" s="1653"/>
      <c r="E36" s="1567"/>
      <c r="F36" s="1654"/>
      <c r="G36" s="121"/>
      <c r="H36" s="121"/>
      <c r="I36" s="121"/>
    </row>
    <row r="37" spans="1:15" ht="15" thickBot="1">
      <c r="A37" s="3340"/>
      <c r="B37" s="1555" t="s">
        <v>1314</v>
      </c>
      <c r="C37" s="139"/>
      <c r="D37" s="1071"/>
      <c r="E37" s="1071"/>
      <c r="F37" s="1654"/>
      <c r="G37" s="121"/>
      <c r="H37" s="121"/>
      <c r="I37" s="121"/>
    </row>
    <row r="38" spans="1:15" ht="15" thickBot="1">
      <c r="A38" s="3341"/>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9" t="s">
        <v>1326</v>
      </c>
      <c r="B45" s="3360"/>
      <c r="C45" s="3361"/>
      <c r="D45" s="3179">
        <f ca="1">典型户型修正!S32</f>
        <v>134.3492</v>
      </c>
      <c r="E45" s="148" t="s">
        <v>1327</v>
      </c>
      <c r="F45" s="149">
        <v>1</v>
      </c>
      <c r="G45" s="150" t="s">
        <v>1328</v>
      </c>
      <c r="H45" s="121"/>
      <c r="I45" s="121"/>
      <c r="J45" s="3279" t="s">
        <v>1329</v>
      </c>
      <c r="K45" s="3279"/>
      <c r="L45" s="3279"/>
      <c r="M45" s="3279"/>
      <c r="N45" s="3279"/>
      <c r="O45" s="3279"/>
    </row>
    <row r="46" spans="1:15" ht="14.25" customHeight="1">
      <c r="A46" s="3356" t="s">
        <v>1330</v>
      </c>
      <c r="B46" s="3357"/>
      <c r="C46" s="3357"/>
      <c r="D46" s="3357"/>
      <c r="E46" s="3357"/>
      <c r="F46" s="3357"/>
      <c r="G46" s="3358"/>
      <c r="H46" s="1668"/>
      <c r="I46" s="151"/>
      <c r="J46" s="2309">
        <v>1</v>
      </c>
      <c r="K46" s="3280" t="s">
        <v>1331</v>
      </c>
      <c r="L46" s="3280"/>
      <c r="M46" s="3281"/>
      <c r="N46" s="3281"/>
      <c r="O46" s="3281"/>
    </row>
    <row r="47" spans="1:15" ht="12" customHeight="1">
      <c r="A47" s="152" t="s">
        <v>1332</v>
      </c>
      <c r="B47" s="153"/>
      <c r="C47" s="154"/>
      <c r="D47" s="1024" t="s">
        <v>1333</v>
      </c>
      <c r="E47" s="294" t="s">
        <v>1334</v>
      </c>
      <c r="F47" s="155" t="s">
        <v>1335</v>
      </c>
      <c r="G47" s="2332" t="s">
        <v>1336</v>
      </c>
      <c r="H47" s="2333"/>
      <c r="I47" s="151"/>
      <c r="J47" s="2309">
        <v>2</v>
      </c>
      <c r="K47" s="3280" t="s">
        <v>1337</v>
      </c>
      <c r="L47" s="3280"/>
      <c r="M47" s="3282">
        <f>'数据-取费表'!B2</f>
        <v>45828</v>
      </c>
      <c r="N47" s="3282"/>
      <c r="O47" s="3282"/>
    </row>
    <row r="48" spans="1:15" ht="39.6">
      <c r="A48" s="3342" t="s">
        <v>1338</v>
      </c>
      <c r="B48" s="3343"/>
      <c r="C48" s="3343"/>
      <c r="D48" s="12">
        <f ca="1">IF(H48="情况1",0,IF(H48="情况2",D52,IF(H48="情况3",D53,IF(H48="情况4",D54))))</f>
        <v>0</v>
      </c>
      <c r="E48" s="1256" t="str">
        <f>IF(H48="情况4","(销售额-原购置价)×税（费）率","销售额×税（费）率")</f>
        <v>(销售额-原购置价)×税（费）率</v>
      </c>
      <c r="F48" s="2334">
        <f>IF(H48="情况1","免征",'数据-取费表'!B41)</f>
        <v>5.6000000000000001E-2</v>
      </c>
      <c r="G48" s="2335" t="s">
        <v>1339</v>
      </c>
      <c r="H48" s="2336" t="s">
        <v>3538</v>
      </c>
      <c r="I48" s="1668"/>
      <c r="J48" s="2309">
        <v>3</v>
      </c>
      <c r="K48" s="3280" t="s">
        <v>1340</v>
      </c>
      <c r="L48" s="3280"/>
      <c r="M48" s="3283">
        <f ca="1">D45</f>
        <v>134.3492</v>
      </c>
      <c r="N48" s="3283"/>
      <c r="O48" s="3283"/>
    </row>
    <row r="49" spans="1:35" ht="25.5" customHeight="1">
      <c r="A49" s="2152" t="s">
        <v>1341</v>
      </c>
      <c r="B49" s="3328" t="s">
        <v>1342</v>
      </c>
      <c r="C49" s="3328"/>
      <c r="D49" s="1478">
        <v>0</v>
      </c>
      <c r="E49" s="316" t="s">
        <v>1343</v>
      </c>
      <c r="F49" s="2232" t="s">
        <v>28</v>
      </c>
      <c r="G49" s="3311"/>
      <c r="H49" s="2134" t="s">
        <v>2132</v>
      </c>
      <c r="I49" s="2135"/>
      <c r="J49" s="2309">
        <v>4</v>
      </c>
      <c r="K49" s="3280" t="str">
        <f>IF(项目基本情况!E8="房地产抵押价值","房地产抵押价值","抵押担保权已注销时的房地产抵押价值")</f>
        <v>房地产抵押价值</v>
      </c>
      <c r="L49" s="3280"/>
      <c r="M49" s="3283">
        <f ca="1">M48</f>
        <v>134.3492</v>
      </c>
      <c r="N49" s="3283"/>
      <c r="O49" s="3283"/>
    </row>
    <row r="50" spans="1:35" ht="25.5" customHeight="1">
      <c r="A50" s="2337"/>
      <c r="B50" s="3328" t="s">
        <v>1344</v>
      </c>
      <c r="C50" s="3328"/>
      <c r="D50" s="2189"/>
      <c r="E50" s="323"/>
      <c r="F50" s="2232"/>
      <c r="G50" s="3312"/>
      <c r="H50" s="2136" t="s">
        <v>2133</v>
      </c>
      <c r="I50" s="2135"/>
      <c r="J50" s="3279" t="s">
        <v>1345</v>
      </c>
      <c r="K50" s="3279"/>
      <c r="L50" s="3279"/>
      <c r="M50" s="3279"/>
      <c r="N50" s="3279"/>
      <c r="O50" s="3279"/>
    </row>
    <row r="51" spans="1:35" ht="20.399999999999999" customHeight="1">
      <c r="A51" s="2338"/>
      <c r="B51" s="3328" t="s">
        <v>1346</v>
      </c>
      <c r="C51" s="3328"/>
      <c r="D51" s="1024"/>
      <c r="E51" s="319"/>
      <c r="F51" s="2232"/>
      <c r="G51" s="3313"/>
      <c r="H51" s="2136" t="s">
        <v>2134</v>
      </c>
      <c r="I51" s="2135"/>
      <c r="J51" s="2310" t="s">
        <v>1347</v>
      </c>
      <c r="K51" s="3280" t="s">
        <v>1348</v>
      </c>
      <c r="L51" s="3280"/>
      <c r="M51" s="2310" t="s">
        <v>1349</v>
      </c>
      <c r="N51" s="2310" t="s">
        <v>1350</v>
      </c>
      <c r="O51" s="2310" t="s">
        <v>1351</v>
      </c>
    </row>
    <row r="52" spans="1:35" ht="24" customHeight="1">
      <c r="A52" s="2153" t="s">
        <v>1352</v>
      </c>
      <c r="B52" s="3328" t="s">
        <v>1353</v>
      </c>
      <c r="C52" s="3328"/>
      <c r="D52" s="1024">
        <f ca="1">ROUND(D45*'数据-取费表'!B41/(1+'数据-取费表'!C42),0)</f>
        <v>7</v>
      </c>
      <c r="E52" s="1256" t="s">
        <v>1354</v>
      </c>
      <c r="F52" s="2339">
        <f>'数据-取费表'!B41</f>
        <v>5.6000000000000001E-2</v>
      </c>
      <c r="G52" s="2340"/>
      <c r="H52" s="2330"/>
      <c r="I52" s="1669"/>
      <c r="J52" s="2309">
        <v>1</v>
      </c>
      <c r="K52" s="3305" t="s">
        <v>1355</v>
      </c>
      <c r="L52" s="3305"/>
      <c r="M52" s="2311">
        <f ca="1">D48</f>
        <v>0</v>
      </c>
      <c r="N52" s="2309" t="str">
        <f>E48</f>
        <v>(销售额-原购置价)×税（费）率</v>
      </c>
      <c r="O52" s="2312">
        <f>F48</f>
        <v>5.6000000000000001E-2</v>
      </c>
    </row>
    <row r="53" spans="1:35" ht="12" customHeight="1">
      <c r="A53" s="2153" t="s">
        <v>1356</v>
      </c>
      <c r="B53" s="3329" t="s">
        <v>2289</v>
      </c>
      <c r="C53" s="3330"/>
      <c r="D53" s="1024">
        <f ca="1">ROUND(D45*'数据-取费表'!B41/(1+'数据-取费表'!C42),0)</f>
        <v>7</v>
      </c>
      <c r="E53" s="1256" t="s">
        <v>1354</v>
      </c>
      <c r="F53" s="2339">
        <f>'数据-取费表'!B41</f>
        <v>5.6000000000000001E-2</v>
      </c>
      <c r="G53" s="2340"/>
      <c r="H53" s="2330"/>
      <c r="I53" s="1669"/>
      <c r="J53" s="2309">
        <v>2</v>
      </c>
      <c r="K53" s="3305" t="s">
        <v>1357</v>
      </c>
      <c r="L53" s="3305"/>
      <c r="M53" s="2311">
        <f t="shared" ref="M53:O54" ca="1" si="0">D55</f>
        <v>6.7199999999999996E-2</v>
      </c>
      <c r="N53" s="2309" t="str">
        <f t="shared" si="0"/>
        <v>销售额×税（费）率</v>
      </c>
      <c r="O53" s="2312">
        <f t="shared" si="0"/>
        <v>5.0000000000000001E-4</v>
      </c>
    </row>
    <row r="54" spans="1:35" ht="12" customHeight="1">
      <c r="A54" s="2153" t="s">
        <v>1358</v>
      </c>
      <c r="B54" s="3329" t="s">
        <v>2290</v>
      </c>
      <c r="C54" s="3330"/>
      <c r="D54" s="1024">
        <f ca="1">C68</f>
        <v>0</v>
      </c>
      <c r="E54" s="319" t="s">
        <v>1359</v>
      </c>
      <c r="F54" s="2339">
        <f>'数据-取费表'!B41</f>
        <v>5.6000000000000001E-2</v>
      </c>
      <c r="G54" s="2340"/>
      <c r="H54" s="2341"/>
      <c r="I54" s="1669"/>
      <c r="J54" s="2309">
        <v>3</v>
      </c>
      <c r="K54" s="3305" t="s">
        <v>1360</v>
      </c>
      <c r="L54" s="3305"/>
      <c r="M54" s="2311">
        <f t="shared" ca="1" si="0"/>
        <v>0</v>
      </c>
      <c r="N54" s="2309" t="str">
        <f t="shared" si="0"/>
        <v>增值额×税（费）率</v>
      </c>
      <c r="O54" s="2313" t="str">
        <f t="shared" si="0"/>
        <v>——</v>
      </c>
    </row>
    <row r="55" spans="1:35" ht="24" customHeight="1">
      <c r="A55" s="3365" t="s">
        <v>1361</v>
      </c>
      <c r="B55" s="3343"/>
      <c r="C55" s="3343"/>
      <c r="D55" s="1504">
        <f ca="1">IF(H55="个人住宅",0,ROUND(D45*I55,4))</f>
        <v>6.7199999999999996E-2</v>
      </c>
      <c r="E55" s="1256" t="s">
        <v>1362</v>
      </c>
      <c r="F55" s="2339">
        <f>IF(H55="正常",I55,"免征")</f>
        <v>5.0000000000000001E-4</v>
      </c>
      <c r="G55" s="2340"/>
      <c r="H55" s="2336" t="s">
        <v>3465</v>
      </c>
      <c r="I55" s="157">
        <f>'数据-取费表'!B49</f>
        <v>5.0000000000000001E-4</v>
      </c>
      <c r="J55" s="2309" t="str">
        <f>IF(H59="非个人房产","",4)</f>
        <v/>
      </c>
      <c r="K55" s="3305" t="str">
        <f>IF(H59="非个人房产","——","个人所得税")</f>
        <v>——</v>
      </c>
      <c r="L55" s="3305"/>
      <c r="M55" s="2314" t="str">
        <f>D59</f>
        <v>——</v>
      </c>
      <c r="N55" s="1883" t="str">
        <f>E59</f>
        <v>——</v>
      </c>
      <c r="O55" s="2315" t="str">
        <f>F59</f>
        <v>——</v>
      </c>
    </row>
    <row r="56" spans="1:35" ht="25.2">
      <c r="A56" s="3365" t="s">
        <v>1363</v>
      </c>
      <c r="B56" s="3343"/>
      <c r="C56" s="3343"/>
      <c r="D56" s="12">
        <f ca="1">IF(H56="个人住宅",D57,D58)</f>
        <v>0</v>
      </c>
      <c r="E56" s="1256" t="s">
        <v>1364</v>
      </c>
      <c r="F56" s="2339" t="str">
        <f>IF(H56="正常",F58,"免征")</f>
        <v>——</v>
      </c>
      <c r="G56" s="2342" t="s">
        <v>1365</v>
      </c>
      <c r="H56" s="2343" t="s">
        <v>3465</v>
      </c>
      <c r="I56" s="1670"/>
      <c r="J56" s="2309" t="str">
        <f>IF(项目基本情况!K6="上海银行",IF(J55="",4,J55+1),"")</f>
        <v/>
      </c>
      <c r="K56" s="3286" t="str">
        <f>IF(项目基本情况!K6="上海银行","其他处置费用","")</f>
        <v/>
      </c>
      <c r="L56" s="3287"/>
      <c r="M56" s="2311" t="str">
        <f>IF(项目基本情况!K6="上海银行",M69,"")</f>
        <v/>
      </c>
      <c r="N56" s="3286" t="str">
        <f>IF(项目基本情况!K6="上海银行","包含处置中涉及的律师、诉讼、拍卖、评估等费用","")</f>
        <v/>
      </c>
      <c r="O56" s="3289"/>
    </row>
    <row r="57" spans="1:35" ht="13.2">
      <c r="A57" s="2153" t="s">
        <v>1341</v>
      </c>
      <c r="B57" s="3329" t="s">
        <v>1366</v>
      </c>
      <c r="C57" s="3330"/>
      <c r="D57" s="1478">
        <v>0</v>
      </c>
      <c r="E57" s="316" t="s">
        <v>1343</v>
      </c>
      <c r="F57" s="294"/>
      <c r="G57" s="2340"/>
      <c r="H57" s="2344"/>
      <c r="I57" s="1670"/>
      <c r="J57" s="3305">
        <f>IF(AND(J55="",J56=""),4,IF(项目基本情况!K6="上海银行",结果表1012!J56+1,结果表1012!J55+1))</f>
        <v>4</v>
      </c>
      <c r="K57" s="3305" t="s">
        <v>1367</v>
      </c>
      <c r="L57" s="2316" t="s">
        <v>1368</v>
      </c>
      <c r="M57" s="2317"/>
      <c r="N57" s="2318">
        <f ca="1">SUMIF(M52:M56,"&lt;9e307")</f>
        <v>6.7199999999999996E-2</v>
      </c>
      <c r="O57" s="2319"/>
      <c r="P57" s="2460">
        <f ca="1">N57/M49</f>
        <v>5.001890595552486E-4</v>
      </c>
    </row>
    <row r="58" spans="1:35" ht="25.2">
      <c r="A58" s="2153" t="s">
        <v>1352</v>
      </c>
      <c r="B58" s="3329" t="s">
        <v>1369</v>
      </c>
      <c r="C58" s="3328"/>
      <c r="D58" s="12">
        <f ca="1">IF(H58="转让取得",C81,C97)</f>
        <v>0</v>
      </c>
      <c r="E58" s="1256" t="s">
        <v>1364</v>
      </c>
      <c r="F58" s="294" t="s">
        <v>28</v>
      </c>
      <c r="G58" s="2340"/>
      <c r="H58" s="2343" t="s">
        <v>3539</v>
      </c>
      <c r="I58" s="1670"/>
      <c r="J58" s="3305"/>
      <c r="K58" s="3305"/>
      <c r="L58" s="2316" t="s">
        <v>1370</v>
      </c>
      <c r="M58" s="2320"/>
      <c r="N58" s="2321" t="str">
        <f ca="1">NUMBERSTRING(INT(N57*10000),2)&amp;"元整"</f>
        <v>陆佰柒拾贰元整</v>
      </c>
      <c r="O58" s="2322"/>
    </row>
    <row r="59" spans="1:35" ht="24.6" thickBot="1">
      <c r="A59" s="3309" t="s">
        <v>1371</v>
      </c>
      <c r="B59" s="3310"/>
      <c r="C59" s="3310"/>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8" t="s">
        <v>3540</v>
      </c>
      <c r="I59" s="2137" t="s">
        <v>2135</v>
      </c>
      <c r="J59" s="3307">
        <f>J57+1</f>
        <v>5</v>
      </c>
      <c r="K59" s="3305" t="s">
        <v>1372</v>
      </c>
      <c r="L59" s="2309" t="s">
        <v>1368</v>
      </c>
      <c r="M59" s="2323"/>
      <c r="N59" s="2324">
        <f ca="1">M49-N57</f>
        <v>134.28199999999998</v>
      </c>
      <c r="O59" s="2325"/>
    </row>
    <row r="60" spans="1:35" ht="12" customHeight="1">
      <c r="A60" s="1671"/>
      <c r="B60" s="646"/>
      <c r="C60" s="646"/>
      <c r="D60" s="646"/>
      <c r="E60" s="1466"/>
      <c r="F60" s="1670"/>
      <c r="G60" s="1670"/>
      <c r="H60" s="151"/>
      <c r="I60" s="121"/>
      <c r="J60" s="3308"/>
      <c r="K60" s="3305"/>
      <c r="L60" s="2316" t="s">
        <v>1370</v>
      </c>
      <c r="M60" s="2320"/>
      <c r="N60" s="2321" t="str">
        <f ca="1">NUMBERSTRING(INT(N59*10000),2)&amp;"元整"</f>
        <v>壹佰叁拾肆万贰仟捌佰贰拾元整</v>
      </c>
      <c r="O60" s="2322"/>
    </row>
    <row r="61" spans="1:35" ht="13.8" thickBot="1">
      <c r="A61" s="3364" t="s">
        <v>1373</v>
      </c>
      <c r="B61" s="3364"/>
      <c r="C61" s="3364"/>
      <c r="D61" s="3364"/>
      <c r="E61" s="3364"/>
      <c r="F61" s="1670"/>
      <c r="G61" s="1670"/>
      <c r="H61" s="151"/>
      <c r="I61" s="121"/>
      <c r="J61" s="2309">
        <f>J59+1</f>
        <v>6</v>
      </c>
      <c r="K61" s="3305" t="s">
        <v>1374</v>
      </c>
      <c r="L61" s="3305"/>
      <c r="M61" s="2326"/>
      <c r="N61" s="3188">
        <f ca="1">ROUND(N59*10000/'数据-基础表'!G21,0)</f>
        <v>10101</v>
      </c>
      <c r="O61" s="2328"/>
    </row>
    <row r="62" spans="1:35" ht="13.2">
      <c r="A62" s="3324" t="s">
        <v>1375</v>
      </c>
      <c r="B62" s="3325"/>
      <c r="C62" s="1865"/>
      <c r="D62" s="1865" t="s">
        <v>1376</v>
      </c>
      <c r="E62" s="158" t="s">
        <v>1377</v>
      </c>
      <c r="F62" s="1670"/>
      <c r="G62" s="1670"/>
      <c r="H62" s="151"/>
      <c r="I62" s="121"/>
    </row>
    <row r="63" spans="1:35" ht="13.2">
      <c r="A63" s="165" t="s">
        <v>330</v>
      </c>
      <c r="B63" s="159" t="s">
        <v>1378</v>
      </c>
      <c r="C63" s="3181">
        <f ca="1">ROUND((C64+C65)/(1+'数据-取费表'!C42),4)</f>
        <v>127.9516</v>
      </c>
      <c r="D63" s="159"/>
      <c r="E63" s="160"/>
      <c r="F63" s="1670"/>
      <c r="G63" s="1670"/>
      <c r="H63" s="151"/>
      <c r="I63" s="121"/>
      <c r="J63" s="3288" t="s">
        <v>1379</v>
      </c>
      <c r="K63" s="1245" t="s">
        <v>1380</v>
      </c>
      <c r="L63" s="1245">
        <f ca="1">IF(M49&gt;10000,M49*0.5%,IF(AND(M49&gt;1000,M49&lt;=10000),M49*1%,IF(AND(M49&gt;100,M49&lt;=1000),M49*3%,IF(AND(M49&gt;10,M49&lt;=100),M49*5%,M49*8%))))</f>
        <v>4.0304760000000002</v>
      </c>
      <c r="M63" s="294">
        <f ca="1">ROUND(L63,1)</f>
        <v>4</v>
      </c>
      <c r="N63" s="2329"/>
      <c r="Z63" s="1623"/>
      <c r="AI63" s="1561"/>
    </row>
    <row r="64" spans="1:35" ht="14.25" customHeight="1">
      <c r="A64" s="161" t="s">
        <v>325</v>
      </c>
      <c r="B64" s="162" t="s">
        <v>1381</v>
      </c>
      <c r="C64" s="3182">
        <f ca="1">D45</f>
        <v>134.3492</v>
      </c>
      <c r="D64" s="162" t="s">
        <v>26</v>
      </c>
      <c r="E64" s="164"/>
      <c r="F64" s="1670"/>
      <c r="G64" s="1670"/>
      <c r="H64" s="151"/>
      <c r="I64" s="121"/>
      <c r="J64" s="3288"/>
      <c r="K64" s="1245" t="s">
        <v>1382</v>
      </c>
      <c r="L64" s="1245">
        <f ca="1">IF(M49&gt;2000,M49*0.5%,IF(AND(M49&gt;1000,M49&lt;=2000),M49*0.6%,IF(AND(M49&gt;500,M49&lt;=1000),M49*0.7%,IF(AND(M49&gt;200,M49&lt;=500),M49*0.8%,IF(AND(M49&gt;100,M49&lt;=200),M49*0.9%,IF(AND(M49&gt;50,M49&lt;=100),M49*1%,IF(AND(M49&gt;20,M49&lt;=50),M49*1.5%,IF(AND(M49&gt;10,M49&lt;=20),M49*2%,IF(AND(M49&gt;1,M49&lt;=10),M49*2.5%)))))))))</f>
        <v>1.2091428000000002</v>
      </c>
      <c r="M64" s="294">
        <f t="shared" ref="M64:M65" ca="1" si="1">ROUND(L64,1)</f>
        <v>1.2</v>
      </c>
      <c r="N64" s="2330" t="s">
        <v>1383</v>
      </c>
      <c r="Z64" s="1623"/>
      <c r="AI64" s="1561"/>
    </row>
    <row r="65" spans="1:35" ht="14.25" customHeight="1">
      <c r="A65" s="161" t="s">
        <v>326</v>
      </c>
      <c r="B65" s="162" t="s">
        <v>1384</v>
      </c>
      <c r="C65" s="2349"/>
      <c r="D65" s="162"/>
      <c r="E65" s="164"/>
      <c r="F65" s="1670"/>
      <c r="G65" s="1670"/>
      <c r="H65" s="151"/>
      <c r="I65" s="121"/>
      <c r="J65" s="3288"/>
      <c r="K65" s="1245" t="s">
        <v>1385</v>
      </c>
      <c r="L65" s="1245">
        <f ca="1">IF(M49&gt;1000,M49*0.1%,IF(AND(M49&gt;500,M49&lt;=1000),M49*0.5%,IF(AND(M49&gt;50,M49&lt;=500),M49*1%,IF(AND(M49&gt;1,M49&lt;=50),M49*1.5%))))</f>
        <v>1.3434919999999999</v>
      </c>
      <c r="M65" s="294">
        <f t="shared" ca="1" si="1"/>
        <v>1.3</v>
      </c>
      <c r="N65" s="2330" t="s">
        <v>1383</v>
      </c>
      <c r="Z65" s="1623"/>
      <c r="AI65" s="1561"/>
    </row>
    <row r="66" spans="1:35" ht="14.25" customHeight="1">
      <c r="A66" s="165" t="s">
        <v>327</v>
      </c>
      <c r="B66" s="166" t="s">
        <v>1386</v>
      </c>
      <c r="C66" s="2350">
        <f>C75/1.05</f>
        <v>139.27047619047619</v>
      </c>
      <c r="D66" s="166" t="s">
        <v>26</v>
      </c>
      <c r="E66" s="1251" t="s">
        <v>671</v>
      </c>
      <c r="F66" s="1670"/>
      <c r="G66" s="1670"/>
      <c r="H66" s="151"/>
      <c r="I66" s="121"/>
      <c r="J66" s="3288"/>
      <c r="K66" s="1245" t="s">
        <v>1387</v>
      </c>
      <c r="L66" s="1245">
        <f ca="1">M49*0.5%</f>
        <v>0.67174599999999995</v>
      </c>
      <c r="M66" s="294">
        <f ca="1">IF(L66&gt;0.5,0.5,ROUND(L66,0))</f>
        <v>0.5</v>
      </c>
      <c r="N66" s="2330" t="s">
        <v>1388</v>
      </c>
      <c r="Z66" s="1623"/>
      <c r="AI66" s="1561"/>
    </row>
    <row r="67" spans="1:35" ht="14.25" customHeight="1">
      <c r="A67" s="165" t="s">
        <v>328</v>
      </c>
      <c r="B67" s="166" t="s">
        <v>1389</v>
      </c>
      <c r="C67" s="2351">
        <f ca="1">C63-C66</f>
        <v>-11.318876190476189</v>
      </c>
      <c r="D67" s="162" t="s">
        <v>26</v>
      </c>
      <c r="E67" s="164"/>
      <c r="F67" s="1670"/>
      <c r="G67" s="1670"/>
      <c r="H67" s="151"/>
      <c r="I67" s="121"/>
      <c r="J67" s="3288"/>
      <c r="K67" s="1245" t="s">
        <v>1390</v>
      </c>
      <c r="L67" s="1245">
        <f ca="1">IF(M49&gt;=10000,(8.25+(M49-10000)*0.01%),IF(AND(M49&gt;=8000,M49&lt;10000),(7.85+(M49-8000)*0.02%),IF(AND(M49&gt;=5000,M49&lt;8000),(6.65+(M49-5000)*0.04%),IF(AND(M49&gt;=2000,M49&lt;5000),(4.25+(PM49-2000)*0.08%),IF(AND(M49&gt;=1000,M49&lt;2000),(2.75+(M49-1000)*0.15%),IF(AND(M49&gt;=100,M49&lt;1000),(0.5+(M49-100)*0.25%),IF(AND(M49&gt;0,M49&lt;100),M49*0.5%)))))))</f>
        <v>0.58587299999999998</v>
      </c>
      <c r="M67" s="294">
        <f ca="1">ROUND(L67*0.9,1)</f>
        <v>0.5</v>
      </c>
      <c r="N67" s="2329"/>
      <c r="Z67" s="1623"/>
      <c r="AI67" s="1561"/>
    </row>
    <row r="68" spans="1:35" ht="14.25" customHeight="1" thickBot="1">
      <c r="A68" s="168" t="s">
        <v>329</v>
      </c>
      <c r="B68" s="169" t="s">
        <v>1391</v>
      </c>
      <c r="C68" s="3180">
        <f ca="1">IF(C67&lt;=0,0,ROUND(C67*D68,4))</f>
        <v>0</v>
      </c>
      <c r="D68" s="2352">
        <f>'数据-取费表'!B41</f>
        <v>5.6000000000000001E-2</v>
      </c>
      <c r="E68" s="170"/>
      <c r="F68" s="1670"/>
      <c r="G68" s="1670"/>
      <c r="H68" s="151"/>
      <c r="I68" s="121"/>
      <c r="J68" s="3288"/>
      <c r="K68" s="1245" t="s">
        <v>1392</v>
      </c>
      <c r="L68" s="1245">
        <f ca="1">IF(M49&gt;10000,M49*0.5%,IF(AND(M49&gt;5000,M49&lt;=10000),M49*1%,IF(AND(M49&gt;1000,M49&lt;=5000),M49*2%,IF(AND(M49&gt;200,M49&lt;=1000),M49*3%,M49*5%))))</f>
        <v>6.71746</v>
      </c>
      <c r="M68" s="294">
        <f ca="1">ROUND(L68,1)</f>
        <v>6.7</v>
      </c>
      <c r="N68" s="2329"/>
      <c r="Z68" s="1623"/>
      <c r="AI68" s="1561"/>
    </row>
    <row r="69" spans="1:35" ht="16.5" customHeight="1">
      <c r="A69" s="1672"/>
      <c r="B69" s="1673"/>
      <c r="C69" s="1674"/>
      <c r="D69" s="1675"/>
      <c r="E69" s="1676"/>
      <c r="F69" s="1466"/>
      <c r="G69" s="1466"/>
      <c r="H69" s="1467"/>
      <c r="I69" s="646"/>
      <c r="J69" s="3288"/>
      <c r="K69" s="1245" t="s">
        <v>1393</v>
      </c>
      <c r="L69" s="1245"/>
      <c r="M69" s="294">
        <f ca="1">ROUND(SUM(M63:M68),0)</f>
        <v>14</v>
      </c>
      <c r="N69" s="2331">
        <f ca="1">M69/M49</f>
        <v>0.10420605407401012</v>
      </c>
      <c r="Z69" s="1623"/>
      <c r="AI69" s="1561"/>
    </row>
    <row r="70" spans="1:35" s="642" customFormat="1" ht="14.4" thickBot="1">
      <c r="A70" s="3332" t="s">
        <v>1394</v>
      </c>
      <c r="B70" s="3333"/>
      <c r="C70" s="3333"/>
      <c r="D70" s="3333"/>
      <c r="E70" s="3333"/>
      <c r="F70" s="3333"/>
      <c r="G70" s="3333"/>
      <c r="H70" s="333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4" t="s">
        <v>1375</v>
      </c>
      <c r="B71" s="332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3183">
        <f ca="1">ROUND(D45/(1+'数据-取费表'!C42),4)</f>
        <v>127.9516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3183">
        <f ca="1">C74+C78</f>
        <v>166.221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3085">
        <f>ROUND(IF(G77="2016年5月1日后购买",C75/(1+'数据-取费表'!C42)+C76+C77,C75+C76+C77),4)</f>
        <v>165.45330000000001</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3184">
        <f>面积信息!K10</f>
        <v>146.23400000000001</v>
      </c>
      <c r="D75" s="162" t="s">
        <v>26</v>
      </c>
      <c r="E75" s="176" t="s">
        <v>1399</v>
      </c>
      <c r="F75" s="2354" t="s">
        <v>3541</v>
      </c>
      <c r="G75" s="176" t="s">
        <v>1400</v>
      </c>
      <c r="H75" s="2355">
        <f>2025-2022</f>
        <v>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085">
        <f>IF(F75="购房发票",ROUND(C75*H75*D76,4),0)</f>
        <v>21.935099999999998</v>
      </c>
      <c r="D76" s="2356">
        <v>0.05</v>
      </c>
      <c r="E76" s="3329" t="s">
        <v>1402</v>
      </c>
      <c r="F76" s="3328"/>
      <c r="G76" s="3328"/>
      <c r="H76" s="333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085">
        <f>ROUND(IF(G77="个人住宅",0,IF(G77="2016年5月1日前购买",C75*D77,C75*D77/(1+'数据-取费表'!C42))),4)</f>
        <v>4.2477</v>
      </c>
      <c r="D77" s="2357">
        <f>'数据-取费表'!B48+'数据-取费表'!B49</f>
        <v>3.0499999999999999E-2</v>
      </c>
      <c r="E77" s="12" t="s">
        <v>1404</v>
      </c>
      <c r="F77" s="178"/>
      <c r="G77" s="1682" t="s">
        <v>3542</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185">
        <f ca="1">ROUND(D45*D78/(1+'数据-取费表'!C42),4)</f>
        <v>0.76770000000000005</v>
      </c>
      <c r="D78" s="2359">
        <f>'数据-取费表'!B43</f>
        <v>6.000000000000001E-3</v>
      </c>
      <c r="E78" s="3321" t="s">
        <v>1406</v>
      </c>
      <c r="F78" s="3322"/>
      <c r="G78" s="3322"/>
      <c r="H78" s="332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1">
        <f ca="1">C72-C73</f>
        <v>-38.269400000000005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3186">
        <f ca="1">ROUND(IF(C79&lt;=0,0,IF(C80&gt;=200%,C79*60%-C73*35%,IF(C80&gt;=100%,C79*50%-C73*15%,IF(C80&gt;=50%,C79*40%-C73*5%,IF(C80&lt;50%,C79*30%,0))))),4)</f>
        <v>0</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2" t="s">
        <v>1410</v>
      </c>
      <c r="B83" s="3333"/>
      <c r="C83" s="3333"/>
      <c r="D83" s="3333"/>
      <c r="E83" s="3333"/>
      <c r="F83" s="3333"/>
      <c r="G83" s="3333"/>
      <c r="H83" s="333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4" t="s">
        <v>1375</v>
      </c>
      <c r="B84" s="332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128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1</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8">
        <f>C88+C89</f>
        <v>0</v>
      </c>
      <c r="D87" s="2359"/>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4"/>
      <c r="D88" s="2359"/>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8">
        <f>ROUND(C88*D89,0)</f>
        <v>0</v>
      </c>
      <c r="D89" s="2359">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4"/>
      <c r="D90" s="2359"/>
      <c r="E90" s="185" t="str">
        <f>IF(H88="-","土地取得成本中已包含该笔费用"," ")</f>
        <v xml:space="preserve"> </v>
      </c>
      <c r="F90" s="2148"/>
      <c r="G90" s="3290" t="s">
        <v>2127</v>
      </c>
      <c r="H90" s="3291"/>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321" t="s">
        <v>1419</v>
      </c>
      <c r="F91" s="3322"/>
      <c r="G91" s="332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321" t="s">
        <v>1422</v>
      </c>
      <c r="F92" s="3322"/>
      <c r="G92" s="3322"/>
      <c r="H92" s="3323"/>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1</v>
      </c>
      <c r="D93" s="2359">
        <f>'数据-取费表'!B43</f>
        <v>6.000000000000001E-3</v>
      </c>
      <c r="E93" s="3321" t="s">
        <v>1406</v>
      </c>
      <c r="F93" s="3322"/>
      <c r="G93" s="3322"/>
      <c r="H93" s="332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366" t="s">
        <v>1426</v>
      </c>
      <c r="F94" s="3367"/>
      <c r="G94" s="3367"/>
      <c r="H94" s="336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1">
        <f ca="1">ROUND(C85-C86,0)</f>
        <v>127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f ca="1">IF(C95&lt;=0,0,C95/C86)</f>
        <v>127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1">
        <f ca="1">ROUND(IF(C95&lt;=0,0,IF(C96&gt;=200%,C95*60%-C86*35%,IF(C96&gt;=100%,C95*50%-C86*15%,IF(C96&gt;=50%,C95*40%-C86*5%,IF(C96&lt;50%,C95*30%,0))))),0)</f>
        <v>76</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1" t="s">
        <v>1428</v>
      </c>
      <c r="B100" s="3272"/>
      <c r="C100" s="3272"/>
      <c r="D100" s="3306"/>
      <c r="E100" s="3272" t="s">
        <v>1429</v>
      </c>
      <c r="F100" s="3272"/>
      <c r="G100" s="3272"/>
      <c r="H100" s="3306"/>
      <c r="I100" s="121"/>
    </row>
    <row r="101" spans="1:35" ht="18.75" customHeight="1">
      <c r="A101" s="3314" t="s">
        <v>1430</v>
      </c>
      <c r="B101" s="3315"/>
      <c r="C101" s="2367" t="str">
        <f>C4</f>
        <v>比较法-办公</v>
      </c>
      <c r="D101" s="2368" t="str">
        <f>D4</f>
        <v>收益法 (元)</v>
      </c>
      <c r="E101" s="3284" t="s">
        <v>1431</v>
      </c>
      <c r="F101" s="3285"/>
      <c r="G101" s="1687" t="s">
        <v>1432</v>
      </c>
      <c r="H101" s="2377">
        <f ca="1">H118</f>
        <v>95.784700000000001</v>
      </c>
      <c r="I101" s="121"/>
    </row>
    <row r="102" spans="1:35" ht="18.75" customHeight="1">
      <c r="A102" s="3316" t="s">
        <v>1433</v>
      </c>
      <c r="B102" s="2366" t="s">
        <v>1432</v>
      </c>
      <c r="C102" s="2367">
        <f ca="1">IF(D32="楼面单价",ROUND(C19,0),C19)</f>
        <v>112</v>
      </c>
      <c r="D102" s="2368">
        <f ca="1">IF(D32="楼面单价",ROUND(D19,0),D19)</f>
        <v>72</v>
      </c>
      <c r="E102" s="3284"/>
      <c r="F102" s="3285"/>
      <c r="G102" s="1687" t="s">
        <v>1434</v>
      </c>
      <c r="H102" s="2340">
        <f ca="1">I118</f>
        <v>10106</v>
      </c>
      <c r="I102" s="121"/>
    </row>
    <row r="103" spans="1:35" ht="42.75" customHeight="1">
      <c r="A103" s="3316"/>
      <c r="B103" s="2366" t="s">
        <v>1434</v>
      </c>
      <c r="C103" s="2369">
        <f ca="1">C20</f>
        <v>11801</v>
      </c>
      <c r="D103" s="2370">
        <f ca="1">D20</f>
        <v>7564</v>
      </c>
      <c r="E103" s="3277" t="s">
        <v>1435</v>
      </c>
      <c r="F103" s="3278"/>
      <c r="G103" s="1688" t="s">
        <v>1436</v>
      </c>
      <c r="H103" s="2377">
        <f>IF(D36="正常操作",H104+H105+H106,H105+H106)</f>
        <v>0</v>
      </c>
      <c r="I103" s="121"/>
    </row>
    <row r="104" spans="1:35" ht="18.75" customHeight="1">
      <c r="A104" s="3316" t="s">
        <v>1437</v>
      </c>
      <c r="B104" s="2371" t="s">
        <v>1432</v>
      </c>
      <c r="C104" s="2372">
        <f ca="1">H118</f>
        <v>95.784700000000001</v>
      </c>
      <c r="D104" s="2373"/>
      <c r="E104" s="1555" t="s">
        <v>1438</v>
      </c>
      <c r="F104" s="1548"/>
      <c r="G104" s="1688" t="s">
        <v>1436</v>
      </c>
      <c r="H104" s="2378">
        <f>IF(D36="同一抵押权人同一抵押物续贷",C36&amp;"（续贷，未扣减，详见特别提示）",C36)</f>
        <v>0</v>
      </c>
      <c r="I104" s="121"/>
    </row>
    <row r="105" spans="1:35" ht="18.75" customHeight="1" thickBot="1">
      <c r="A105" s="3326"/>
      <c r="B105" s="2374" t="s">
        <v>1434</v>
      </c>
      <c r="C105" s="2375">
        <f ca="1">I118</f>
        <v>10106</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317" t="str">
        <f>IF(项目基本情况!E8="已注销","——","3.房地产抵押价值")</f>
        <v>3.房地产抵押价值</v>
      </c>
      <c r="F107" s="3285"/>
      <c r="G107" s="1687" t="s">
        <v>1432</v>
      </c>
      <c r="H107" s="2377">
        <f ca="1">IF(E107="——","——",H101-H103)</f>
        <v>95.784700000000001</v>
      </c>
      <c r="I107" s="121"/>
    </row>
    <row r="108" spans="1:35" ht="18.75" customHeight="1">
      <c r="A108" s="121"/>
      <c r="B108" s="121"/>
      <c r="C108" s="121"/>
      <c r="D108" s="121"/>
      <c r="E108" s="3317"/>
      <c r="F108" s="3285"/>
      <c r="G108" s="1687" t="s">
        <v>1434</v>
      </c>
      <c r="H108" s="2340">
        <f ca="1">IF(H107=H101,H102,ROUND(H107*10000/'数据-汇总表'!E3,0))</f>
        <v>10106</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285"/>
      <c r="G109" s="1687" t="s">
        <v>1432</v>
      </c>
      <c r="H109" s="2380" t="str">
        <f>IF(E109="——","——",H101-H105-H106)</f>
        <v>——</v>
      </c>
      <c r="I109" s="121"/>
    </row>
    <row r="110" spans="1:35" ht="18.75" customHeight="1">
      <c r="A110" s="121"/>
      <c r="B110" s="121"/>
      <c r="C110" s="121"/>
      <c r="D110" s="121"/>
      <c r="E110" s="3317"/>
      <c r="F110" s="3285"/>
      <c r="G110" s="1687" t="s">
        <v>1434</v>
      </c>
      <c r="H110" s="2340" t="str">
        <f>IF(H109="——","——",ROUND(H109*10000/'数据-汇总表'!E3,0))</f>
        <v>——</v>
      </c>
      <c r="I110" s="121"/>
    </row>
    <row r="111" spans="1:35" ht="18.75" customHeight="1">
      <c r="A111" s="121"/>
      <c r="B111" s="121"/>
      <c r="C111" s="121"/>
      <c r="D111" s="121"/>
      <c r="E111" s="3318" t="str">
        <f>IF(项目基本情况!E9="抵押净值",IF(OR(项目基本情况!E8="已注销",项目基本情况!E8="房地产抵押价值"),"4.抵押净值","5.抵押净值"),"——")</f>
        <v>4.抵押净值</v>
      </c>
      <c r="F111" s="3304"/>
      <c r="G111" s="1687" t="s">
        <v>1432</v>
      </c>
      <c r="H111" s="2377">
        <f ca="1">IF(E111="——","——",N59)</f>
        <v>134.28199999999998</v>
      </c>
      <c r="I111" s="121"/>
    </row>
    <row r="112" spans="1:35" ht="18.75" customHeight="1" thickBot="1">
      <c r="A112" s="121"/>
      <c r="B112" s="121"/>
      <c r="C112" s="121"/>
      <c r="D112" s="121"/>
      <c r="E112" s="3319"/>
      <c r="F112" s="3320"/>
      <c r="G112" s="1690" t="s">
        <v>1434</v>
      </c>
      <c r="H112" s="2381">
        <f ca="1">IF(E111="——","——",N61)</f>
        <v>10101</v>
      </c>
      <c r="I112" s="121"/>
    </row>
    <row r="113" spans="1:27" ht="18.75" customHeight="1">
      <c r="A113" s="121"/>
      <c r="B113" s="121"/>
      <c r="C113" s="121"/>
      <c r="D113" s="121"/>
      <c r="E113" s="3327" t="s">
        <v>1440</v>
      </c>
      <c r="F113" s="3327"/>
      <c r="G113" s="3327"/>
      <c r="H113" s="3327"/>
      <c r="I113" s="121"/>
    </row>
    <row r="114" spans="1:27" ht="3.75" customHeight="1">
      <c r="A114" s="646"/>
      <c r="B114" s="646"/>
      <c r="C114" s="646"/>
      <c r="D114" s="646"/>
      <c r="E114" s="1671"/>
      <c r="F114" s="1671"/>
      <c r="G114" s="1671"/>
      <c r="H114" s="1671"/>
      <c r="I114" s="646"/>
    </row>
    <row r="115" spans="1:27" ht="18.75" customHeight="1">
      <c r="A115" s="3335" t="s">
        <v>1442</v>
      </c>
      <c r="B115" s="3336"/>
      <c r="C115" s="3336"/>
      <c r="D115" s="3336"/>
      <c r="E115" s="3336"/>
      <c r="F115" s="3336"/>
      <c r="G115" s="3336"/>
      <c r="H115" s="3336"/>
      <c r="I115" s="3337"/>
    </row>
    <row r="116" spans="1:27" ht="27" customHeight="1">
      <c r="A116" s="3292" t="s">
        <v>1443</v>
      </c>
      <c r="B116" s="3296" t="s">
        <v>1444</v>
      </c>
      <c r="C116" s="3296" t="s">
        <v>1445</v>
      </c>
      <c r="D116" s="3302" t="s">
        <v>1446</v>
      </c>
      <c r="E116" s="3303"/>
      <c r="F116" s="3334" t="s">
        <v>1447</v>
      </c>
      <c r="G116" s="3334"/>
      <c r="H116" s="3292" t="s">
        <v>1448</v>
      </c>
      <c r="I116" s="3292"/>
    </row>
    <row r="117" spans="1:27" ht="18.75" customHeight="1">
      <c r="A117" s="3292"/>
      <c r="B117" s="3297"/>
      <c r="C117" s="3297"/>
      <c r="D117" s="2150" t="s">
        <v>1449</v>
      </c>
      <c r="E117" s="2150" t="s">
        <v>1450</v>
      </c>
      <c r="F117" s="2150" t="s">
        <v>1449</v>
      </c>
      <c r="G117" s="2150" t="s">
        <v>1451</v>
      </c>
      <c r="H117" s="2150" t="s">
        <v>1449</v>
      </c>
      <c r="I117" s="2150" t="s">
        <v>1451</v>
      </c>
    </row>
    <row r="118" spans="1:27" ht="24.75" customHeight="1">
      <c r="A118" s="2382" t="str">
        <f>项目基本情况!S2</f>
        <v>北京市房山区辰光东路16号院5号楼10层1001等共计9套房地产</v>
      </c>
      <c r="B118" s="2150">
        <f>M18</f>
        <v>94.78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78">
        <f ca="1">ROUND(IF(D32="总价",C32,I118*B118/10000),4)</f>
        <v>95.784700000000001</v>
      </c>
      <c r="I118" s="2150">
        <f ca="1">ROUND(IF(D32="楼面单价",C32,H118*10000/B118),0)</f>
        <v>10106</v>
      </c>
    </row>
    <row r="119" spans="1:27" ht="18.75" customHeight="1">
      <c r="A119" s="3292" t="s">
        <v>1452</v>
      </c>
      <c r="B119" s="3292"/>
      <c r="C119" s="3292"/>
      <c r="D119" s="3298" t="str">
        <f>NUMBERSTRING(INT(D118*10000),2)&amp;"元整"</f>
        <v>零元整</v>
      </c>
      <c r="E119" s="3299"/>
      <c r="F119" s="3298" t="str">
        <f>NUMBERSTRING(INT(F118*10000),2)&amp;"元整"</f>
        <v>零元整</v>
      </c>
      <c r="G119" s="3299"/>
      <c r="H119" s="3298" t="str">
        <f ca="1">NUMBERSTRING(INT(H118*10000),2)&amp;"元整"</f>
        <v>玖拾伍万柒仟捌佰肆拾柒元整</v>
      </c>
      <c r="I119" s="3299"/>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8" t="s">
        <v>1452</v>
      </c>
      <c r="B121" s="3300"/>
      <c r="C121" s="3299"/>
      <c r="D121" s="3298" t="str">
        <f>IF(D120=0,"零元整",NUMBERSTRING(INT(D120*10000),2)&amp;"元整")</f>
        <v>零元整</v>
      </c>
      <c r="E121" s="3300"/>
      <c r="F121" s="3300"/>
      <c r="G121" s="3300"/>
      <c r="H121" s="3300"/>
      <c r="I121" s="3299"/>
      <c r="AA121" s="684"/>
    </row>
    <row r="122" spans="1:27" ht="18.75" customHeight="1">
      <c r="A122" s="3304" t="str">
        <f>IF(项目基本情况!B9="房地产市场价值","",MID(E107,3,LEN(E107)-2))</f>
        <v>房地产抵押价值</v>
      </c>
      <c r="B122" s="3304"/>
      <c r="C122" s="3304"/>
      <c r="D122" s="3293">
        <f ca="1">H107</f>
        <v>95.784700000000001</v>
      </c>
      <c r="E122" s="3294"/>
      <c r="F122" s="3294"/>
      <c r="G122" s="3294"/>
      <c r="H122" s="3294"/>
      <c r="I122" s="3295"/>
      <c r="AA122" s="684"/>
    </row>
    <row r="123" spans="1:27" ht="18.75" customHeight="1">
      <c r="A123" s="3292" t="s">
        <v>1452</v>
      </c>
      <c r="B123" s="3292"/>
      <c r="C123" s="3292"/>
      <c r="D123" s="3298" t="str">
        <f ca="1">NUMBERSTRING(INT(D122*10000),2)&amp;"元整"</f>
        <v>玖拾伍万柒仟捌佰肆拾柒元整</v>
      </c>
      <c r="E123" s="3300"/>
      <c r="F123" s="3300"/>
      <c r="G123" s="3300"/>
      <c r="H123" s="3300"/>
      <c r="I123" s="3299"/>
      <c r="AA123" s="684"/>
    </row>
    <row r="124" spans="1:27" ht="18.75" customHeight="1">
      <c r="A124" s="3304" t="str">
        <f>IF(项目基本情况!B9="房地产市场价值","",MID(E109,3,LEN(E109)-2))</f>
        <v/>
      </c>
      <c r="B124" s="3304"/>
      <c r="C124" s="3304"/>
      <c r="D124" s="3293" t="str">
        <f>H109</f>
        <v>——</v>
      </c>
      <c r="E124" s="3294"/>
      <c r="F124" s="3294"/>
      <c r="G124" s="3294"/>
      <c r="H124" s="3294"/>
      <c r="I124" s="3295"/>
      <c r="AA124" s="684"/>
    </row>
    <row r="125" spans="1:27" ht="18.75" customHeight="1">
      <c r="A125" s="3292" t="s">
        <v>1452</v>
      </c>
      <c r="B125" s="3292"/>
      <c r="C125" s="3292"/>
      <c r="D125" s="3298" t="e">
        <f>NUMBERSTRING(INT(D124*10000),2)&amp;"元整"</f>
        <v>#VALUE!</v>
      </c>
      <c r="E125" s="3300"/>
      <c r="F125" s="3300"/>
      <c r="G125" s="3300"/>
      <c r="H125" s="3300"/>
      <c r="I125" s="3299"/>
      <c r="AA125" s="684"/>
    </row>
    <row r="126" spans="1:27" ht="18.75" customHeight="1">
      <c r="A126" s="3304" t="str">
        <f>IF(项目基本情况!B9="房地产市场价值","",MID(E111,3,LEN(E111)-2))</f>
        <v>抵押净值</v>
      </c>
      <c r="B126" s="3304"/>
      <c r="C126" s="3304"/>
      <c r="D126" s="3293">
        <f ca="1">H111</f>
        <v>134.28199999999998</v>
      </c>
      <c r="E126" s="3294"/>
      <c r="F126" s="3294"/>
      <c r="G126" s="3294"/>
      <c r="H126" s="3294"/>
      <c r="I126" s="3295"/>
      <c r="AA126" s="684"/>
    </row>
    <row r="127" spans="1:27" ht="18.75" customHeight="1">
      <c r="A127" s="3292" t="s">
        <v>1452</v>
      </c>
      <c r="B127" s="3292"/>
      <c r="C127" s="3292"/>
      <c r="D127" s="3298" t="str">
        <f ca="1">NUMBERSTRING(INT(D126*10000),2)&amp;"元整"</f>
        <v>壹佰叁拾肆万贰仟捌佰贰拾元整</v>
      </c>
      <c r="E127" s="3300"/>
      <c r="F127" s="3300"/>
      <c r="G127" s="3300"/>
      <c r="H127" s="3300"/>
      <c r="I127" s="3299"/>
      <c r="AA127" s="684"/>
    </row>
    <row r="128" spans="1:27" ht="21.75" customHeight="1">
      <c r="A128" s="3301" t="s">
        <v>1453</v>
      </c>
      <c r="B128" s="3301"/>
      <c r="C128" s="3301"/>
      <c r="D128" s="3301"/>
      <c r="E128" s="3301"/>
      <c r="F128" s="3301"/>
      <c r="G128" s="3301"/>
      <c r="H128" s="3301"/>
      <c r="I128" s="330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4:D4 D33" xr:uid="{8512D08A-4C13-404B-93B6-E4F008FDC74B}">
      <formula1>估价方法</formula1>
    </dataValidation>
    <dataValidation type="list" allowBlank="1" showInputMessage="1" showErrorMessage="1" sqref="H55:H56" xr:uid="{B4CBC0B0-8838-4F05-82C4-7AEB98864F0E}">
      <formula1>"个人住宅,正常"</formula1>
    </dataValidation>
    <dataValidation type="list" allowBlank="1" showInputMessage="1" showErrorMessage="1" sqref="H48" xr:uid="{FBDC58D1-CACD-4943-A328-E53BB5931EB8}">
      <formula1>"情况1,情况2,情况3,情况4"</formula1>
    </dataValidation>
    <dataValidation type="list" allowBlank="1" showInputMessage="1" showErrorMessage="1" sqref="H58" xr:uid="{312F7928-5D39-4150-B568-C05D6EB6D42D}">
      <formula1>"转让取得,自行开发建设"</formula1>
    </dataValidation>
    <dataValidation type="list" allowBlank="1" showInputMessage="1" showErrorMessage="1" sqref="D32" xr:uid="{48841C8E-D280-44A2-9AAB-CA7923D8CB58}">
      <formula1>"总价,楼面单价"</formula1>
    </dataValidation>
    <dataValidation type="list" allowBlank="1" showInputMessage="1" showErrorMessage="1" sqref="F45" xr:uid="{2D54EEB9-F531-4612-BD82-7E313B3301AF}">
      <formula1>"100%,70%,56%"</formula1>
    </dataValidation>
    <dataValidation type="list" allowBlank="1" showInputMessage="1" showErrorMessage="1" sqref="C33" xr:uid="{25D4FDDB-4A64-46C0-9771-6ED6A0B79524}">
      <formula1>"成本比率,收益比率,自定义"</formula1>
    </dataValidation>
    <dataValidation type="list" allowBlank="1" showInputMessage="1" showErrorMessage="1" sqref="H91" xr:uid="{E4698B31-9A8C-4EE7-95C4-9A4A585BCC67}">
      <formula1>"企业提供（在右侧录入）,——"</formula1>
    </dataValidation>
    <dataValidation type="list" allowBlank="1" showInputMessage="1" showErrorMessage="1" sqref="H88" xr:uid="{95472AD7-2540-42D9-A02B-44A0885E818E}">
      <formula1>"仅含出让金,出让金+开发费"</formula1>
    </dataValidation>
    <dataValidation type="list" allowBlank="1" showInputMessage="1" showErrorMessage="1" sqref="F75" xr:uid="{54832EC1-5156-4F2F-8C5E-14D993814739}">
      <formula1>"买卖合同,购房发票"</formula1>
    </dataValidation>
    <dataValidation type="list" allowBlank="1" showInputMessage="1" showErrorMessage="1" sqref="D36" xr:uid="{5C9AFACF-A969-46D8-AC9B-7F920AADA688}">
      <formula1>"同一抵押权人同一抵押物续贷,注销后放款,正常操作"</formula1>
    </dataValidation>
    <dataValidation type="list" allowBlank="1" showInputMessage="1" showErrorMessage="1" sqref="B116:B117" xr:uid="{7B0598C2-533A-40C5-B9CA-691DC6AD42FA}">
      <formula1>"建筑面积,规划建筑面积,（规划）建筑面积"</formula1>
    </dataValidation>
    <dataValidation type="list" allowBlank="1" showInputMessage="1" showErrorMessage="1" sqref="C116:C117" xr:uid="{CE3C73DE-408C-4F79-BEFC-64EA1D543F5B}">
      <formula1>"土地面积,分摊土地面积,（分摊）土地面积"</formula1>
    </dataValidation>
    <dataValidation type="list" allowBlank="1" showInputMessage="1" showErrorMessage="1" sqref="D116:E116" xr:uid="{FAC4FC73-AFC8-4614-933D-35168999328E}">
      <formula1>"出让国有建设用地使用权价值,划拨国有建设用地使用权价值"</formula1>
    </dataValidation>
    <dataValidation type="list" allowBlank="1" showInputMessage="1" showErrorMessage="1" sqref="F116:G116" xr:uid="{272C7862-CE9A-41FE-9429-BB8D7460CE39}">
      <formula1>"建筑物价值,在建建筑物价值,建筑物/在建建筑物价值"</formula1>
    </dataValidation>
    <dataValidation type="list" allowBlank="1" showInputMessage="1" showErrorMessage="1" sqref="C129" xr:uid="{2A9DA8D8-5E73-4BAD-8BDC-D41AD956FA6D}">
      <formula1>"无,有"</formula1>
    </dataValidation>
    <dataValidation type="list" showInputMessage="1" showErrorMessage="1" sqref="G1" xr:uid="{5F49E188-914F-4B16-85DD-6571F4B401BC}">
      <formula1>"现房,在建,土地,-"</formula1>
    </dataValidation>
    <dataValidation type="list" allowBlank="1" showInputMessage="1" showErrorMessage="1" sqref="I1" xr:uid="{5831F138-1F92-4255-9B4F-6DA10AFBCA54}">
      <formula1>"项目局部,项目全部,——"</formula1>
    </dataValidation>
    <dataValidation type="list" allowBlank="1" showInputMessage="1" showErrorMessage="1" sqref="C1" xr:uid="{B7433AE6-94C6-4557-AB0F-9D65C6B63221}">
      <formula1>项目类型</formula1>
    </dataValidation>
    <dataValidation type="list" allowBlank="1" showInputMessage="1" showErrorMessage="1" sqref="G77" xr:uid="{814230EC-1EEF-4BA1-8C18-526D2E0B0C07}">
      <formula1>"个人住宅,2016年5月1日前购买,2016年5月1日后购买"</formula1>
    </dataValidation>
    <dataValidation type="list" allowBlank="1" showInputMessage="1" showErrorMessage="1" sqref="E103" xr:uid="{DB257516-13E6-4C31-B615-D7EF6BD92B64}">
      <formula1>"2.估价师知悉的法定优先受偿款,2.估价师知悉的除抵押担保权以外的法定优先受偿款"</formula1>
    </dataValidation>
    <dataValidation type="list" allowBlank="1" showInputMessage="1" showErrorMessage="1" sqref="H59" xr:uid="{6609312F-6238-49C1-B12A-CC102462A95B}">
      <formula1>"非个人房产,个人住宅（满五唯一有凭证）,个人其他（有凭证）,个人其他（无凭证）"</formula1>
    </dataValidation>
    <dataValidation type="list" allowBlank="1" showInputMessage="1" showErrorMessage="1" sqref="D92" xr:uid="{7EFBC5B3-F376-4FDF-9EB3-213986B14F59}">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受贵公司委托，我公司对北京市房山区辰光东路16号院5号楼10层1001等共计9套房地产抵押价值进行了预评估。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辰光东路16号院5号楼10层1001等共计9套房地产，为北京同创世纪管理顾问有限公司所有。根据《国有土地使用证》[]，估价对象（分摊）出让国有建设用地使用权面积为0平方米，建筑面积为94.78平方米。</v>
      </c>
    </row>
    <row r="8" spans="1:1" ht="54.6">
      <c r="A8" s="1385" t="s">
        <v>901</v>
      </c>
    </row>
    <row r="9" spans="1:1" ht="17.399999999999999">
      <c r="A9" s="1384" t="s">
        <v>902</v>
      </c>
    </row>
    <row r="10" spans="1:1" ht="69.599999999999994">
      <c r="A10" s="1382" t="str">
        <f>"估价对象为"&amp;项目基本情况!S2&amp;IF(结果表1001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辰光东路16号院5号楼10层1001等共计9套房地产,属北京同创世纪管理顾问有限公司开发建设的办公项目，该项目尚在开发建设中。根据《国有土地使用证》[]，估价对象（分摊）出让国有建设用地使用权面积为0平方米，规划建筑面积为94.78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山区辰光东路16号院5号楼10层1001等共计9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2025年6月20日（评估专业人员实地查勘之日）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商务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1001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1001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"本次评估采用的主估价方法为"&amp;结果表1001!K4&amp;"和"&amp;结果表1001!L4&amp;"。"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26B43-BC2F-460F-98D8-D3E320D6F35E}">
  <sheetPr>
    <tabColor rgb="FF7030A0"/>
  </sheetPr>
  <dimension ref="A1:N13"/>
  <sheetViews>
    <sheetView topLeftCell="B1" workbookViewId="0">
      <selection activeCell="M3" sqref="M3"/>
    </sheetView>
  </sheetViews>
  <sheetFormatPr defaultRowHeight="14.4"/>
  <cols>
    <col min="2" max="3" width="25" customWidth="1"/>
    <col min="5" max="5" width="5.109375" customWidth="1"/>
  </cols>
  <sheetData>
    <row r="1" spans="1:14">
      <c r="A1" s="3159" t="s">
        <v>3436</v>
      </c>
      <c r="B1" s="3159" t="s">
        <v>3410</v>
      </c>
      <c r="C1" s="3159" t="s">
        <v>3411</v>
      </c>
      <c r="D1" s="3159" t="s">
        <v>2541</v>
      </c>
      <c r="E1" s="3159" t="s">
        <v>3412</v>
      </c>
      <c r="F1" s="3159" t="s">
        <v>3413</v>
      </c>
      <c r="G1" s="3159" t="s">
        <v>3415</v>
      </c>
      <c r="H1" s="3159" t="s">
        <v>3414</v>
      </c>
      <c r="I1" s="3159" t="s">
        <v>3416</v>
      </c>
      <c r="J1" s="3187" t="s">
        <v>3543</v>
      </c>
      <c r="K1" s="3187" t="s">
        <v>3544</v>
      </c>
      <c r="L1" s="3187" t="s">
        <v>3545</v>
      </c>
      <c r="M1" s="3187" t="s">
        <v>3546</v>
      </c>
      <c r="N1" s="3187" t="s">
        <v>3547</v>
      </c>
    </row>
    <row r="2" spans="1:14" s="3158" customFormat="1" ht="28.8">
      <c r="A2" s="3160">
        <v>1</v>
      </c>
      <c r="B2" s="3161" t="s">
        <v>3409</v>
      </c>
      <c r="C2" s="3161" t="s">
        <v>3417</v>
      </c>
      <c r="D2" s="3161" t="s">
        <v>3418</v>
      </c>
      <c r="E2" s="3160">
        <v>12</v>
      </c>
      <c r="F2" s="3160">
        <v>10</v>
      </c>
      <c r="G2" s="3160">
        <v>1001</v>
      </c>
      <c r="H2" s="3160">
        <v>94.78</v>
      </c>
      <c r="I2" s="3161" t="s">
        <v>3419</v>
      </c>
      <c r="J2" s="3158">
        <v>1042580</v>
      </c>
      <c r="K2" s="3158">
        <f>J2/10000</f>
        <v>104.258</v>
      </c>
      <c r="L2" s="3158">
        <f>ROUND(J2/H2,0)</f>
        <v>11000</v>
      </c>
      <c r="M2" s="3158">
        <f ca="1">典型户型修正!T24</f>
        <v>95.736800000000002</v>
      </c>
      <c r="N2" s="3158">
        <f ca="1">典型户型修正!U24</f>
        <v>10101</v>
      </c>
    </row>
    <row r="3" spans="1:14" s="3158" customFormat="1" ht="28.8">
      <c r="A3" s="3160">
        <v>2</v>
      </c>
      <c r="B3" s="3161" t="s">
        <v>3420</v>
      </c>
      <c r="C3" s="3161" t="s">
        <v>3421</v>
      </c>
      <c r="D3" s="3161" t="s">
        <v>3418</v>
      </c>
      <c r="E3" s="3160">
        <v>12</v>
      </c>
      <c r="F3" s="3160">
        <v>10</v>
      </c>
      <c r="G3" s="3160">
        <v>1002</v>
      </c>
      <c r="H3" s="3160">
        <v>88.79</v>
      </c>
      <c r="I3" s="3161" t="s">
        <v>3419</v>
      </c>
      <c r="J3" s="3158">
        <v>976690</v>
      </c>
      <c r="K3" s="3158">
        <f t="shared" ref="K3:K10" si="0">J3/10000</f>
        <v>97.668999999999997</v>
      </c>
      <c r="L3" s="3158">
        <f t="shared" ref="L3:L10" si="1">ROUND(J3/H3,0)</f>
        <v>11000</v>
      </c>
      <c r="M3" s="3158">
        <f ca="1">典型户型修正!T25</f>
        <v>89.686300000000003</v>
      </c>
      <c r="N3" s="3158">
        <f ca="1">典型户型修正!U25</f>
        <v>10101</v>
      </c>
    </row>
    <row r="4" spans="1:14" s="3158" customFormat="1" ht="28.8">
      <c r="A4" s="3160">
        <v>3</v>
      </c>
      <c r="B4" s="3161" t="s">
        <v>3422</v>
      </c>
      <c r="C4" s="3161" t="s">
        <v>3423</v>
      </c>
      <c r="D4" s="3161" t="s">
        <v>3418</v>
      </c>
      <c r="E4" s="3160">
        <v>12</v>
      </c>
      <c r="F4" s="3160">
        <v>10</v>
      </c>
      <c r="G4" s="3160">
        <v>1004</v>
      </c>
      <c r="H4" s="3160">
        <v>89.13</v>
      </c>
      <c r="I4" s="3161" t="s">
        <v>3419</v>
      </c>
      <c r="J4" s="3158">
        <v>980430</v>
      </c>
      <c r="K4" s="3158">
        <f t="shared" si="0"/>
        <v>98.043000000000006</v>
      </c>
      <c r="L4" s="3158">
        <f t="shared" si="1"/>
        <v>11000</v>
      </c>
      <c r="M4" s="3158">
        <f ca="1">典型户型修正!T26</f>
        <v>90.029799999999994</v>
      </c>
      <c r="N4" s="3158">
        <f ca="1">典型户型修正!U26</f>
        <v>10101</v>
      </c>
    </row>
    <row r="5" spans="1:14" s="3158" customFormat="1" ht="28.8">
      <c r="A5" s="3160">
        <v>4</v>
      </c>
      <c r="B5" s="3161" t="s">
        <v>3424</v>
      </c>
      <c r="C5" s="3161" t="s">
        <v>3425</v>
      </c>
      <c r="D5" s="3161" t="s">
        <v>3418</v>
      </c>
      <c r="E5" s="3160">
        <v>12</v>
      </c>
      <c r="F5" s="3160">
        <v>10</v>
      </c>
      <c r="G5" s="3160">
        <v>1005</v>
      </c>
      <c r="H5" s="3160">
        <v>94.45</v>
      </c>
      <c r="I5" s="3161" t="s">
        <v>3419</v>
      </c>
      <c r="J5" s="3158">
        <v>1038950</v>
      </c>
      <c r="K5" s="3158">
        <f t="shared" si="0"/>
        <v>103.895</v>
      </c>
      <c r="L5" s="3158">
        <f t="shared" si="1"/>
        <v>11000</v>
      </c>
      <c r="M5" s="3158">
        <f ca="1">典型户型修正!T27</f>
        <v>95.403499999999994</v>
      </c>
      <c r="N5" s="3158">
        <f ca="1">典型户型修正!U27</f>
        <v>10101</v>
      </c>
    </row>
    <row r="6" spans="1:14" s="3158" customFormat="1" ht="28.8">
      <c r="A6" s="3160">
        <v>5</v>
      </c>
      <c r="B6" s="3161" t="s">
        <v>3426</v>
      </c>
      <c r="C6" s="3161" t="s">
        <v>3427</v>
      </c>
      <c r="D6" s="3161" t="s">
        <v>3418</v>
      </c>
      <c r="E6" s="3160">
        <v>12</v>
      </c>
      <c r="F6" s="3160">
        <v>10</v>
      </c>
      <c r="G6" s="3160">
        <v>1006</v>
      </c>
      <c r="H6" s="3160">
        <v>132.94</v>
      </c>
      <c r="I6" s="3161" t="s">
        <v>3419</v>
      </c>
      <c r="J6" s="3158">
        <v>1462340</v>
      </c>
      <c r="K6" s="3158">
        <f t="shared" si="0"/>
        <v>146.23400000000001</v>
      </c>
      <c r="L6" s="3158">
        <f t="shared" si="1"/>
        <v>11000</v>
      </c>
      <c r="M6" s="3158">
        <f ca="1">典型户型修正!T28</f>
        <v>134.28199999999998</v>
      </c>
      <c r="N6" s="3158">
        <f ca="1">典型户型修正!U28</f>
        <v>10101</v>
      </c>
    </row>
    <row r="7" spans="1:14" s="3158" customFormat="1" ht="28.8">
      <c r="A7" s="3160">
        <v>6</v>
      </c>
      <c r="B7" s="3161" t="s">
        <v>3429</v>
      </c>
      <c r="C7" s="3161" t="s">
        <v>3428</v>
      </c>
      <c r="D7" s="3161" t="s">
        <v>3418</v>
      </c>
      <c r="E7" s="3160">
        <v>12</v>
      </c>
      <c r="F7" s="3160">
        <v>10</v>
      </c>
      <c r="G7" s="3160">
        <v>1007</v>
      </c>
      <c r="H7" s="3160">
        <v>94.78</v>
      </c>
      <c r="I7" s="3161" t="s">
        <v>3419</v>
      </c>
      <c r="J7" s="3158">
        <v>1042580</v>
      </c>
      <c r="K7" s="3158">
        <f t="shared" si="0"/>
        <v>104.258</v>
      </c>
      <c r="L7" s="3158">
        <f t="shared" si="1"/>
        <v>11000</v>
      </c>
      <c r="M7" s="3158">
        <f ca="1">典型户型修正!T29</f>
        <v>95.736800000000002</v>
      </c>
      <c r="N7" s="3158">
        <f ca="1">典型户型修正!U29</f>
        <v>10101</v>
      </c>
    </row>
    <row r="8" spans="1:14" s="3158" customFormat="1" ht="28.8">
      <c r="A8" s="3160">
        <v>7</v>
      </c>
      <c r="B8" s="3161" t="s">
        <v>3430</v>
      </c>
      <c r="C8" s="3161" t="s">
        <v>3431</v>
      </c>
      <c r="D8" s="3161" t="s">
        <v>3418</v>
      </c>
      <c r="E8" s="3160">
        <v>12</v>
      </c>
      <c r="F8" s="3160">
        <v>10</v>
      </c>
      <c r="G8" s="3160">
        <v>1010</v>
      </c>
      <c r="H8" s="3160">
        <v>89.13</v>
      </c>
      <c r="I8" s="3161" t="s">
        <v>3419</v>
      </c>
      <c r="J8" s="3158">
        <v>980430</v>
      </c>
      <c r="K8" s="3158">
        <f t="shared" si="0"/>
        <v>98.043000000000006</v>
      </c>
      <c r="L8" s="3158">
        <f t="shared" si="1"/>
        <v>11000</v>
      </c>
      <c r="M8" s="3158">
        <f ca="1">典型户型修正!T30</f>
        <v>90.029799999999994</v>
      </c>
      <c r="N8" s="3158">
        <f ca="1">典型户型修正!U30</f>
        <v>10101</v>
      </c>
    </row>
    <row r="9" spans="1:14" s="3158" customFormat="1" ht="28.8">
      <c r="A9" s="3160">
        <v>8</v>
      </c>
      <c r="B9" s="3161" t="s">
        <v>3432</v>
      </c>
      <c r="C9" s="3161" t="s">
        <v>3433</v>
      </c>
      <c r="D9" s="3161" t="s">
        <v>3418</v>
      </c>
      <c r="E9" s="3160">
        <v>12</v>
      </c>
      <c r="F9" s="3160">
        <v>10</v>
      </c>
      <c r="G9" s="3160">
        <v>1011</v>
      </c>
      <c r="H9" s="3160">
        <v>94.78</v>
      </c>
      <c r="I9" s="3161" t="s">
        <v>3419</v>
      </c>
      <c r="J9" s="3158">
        <v>1042580</v>
      </c>
      <c r="K9" s="3158">
        <f t="shared" si="0"/>
        <v>104.258</v>
      </c>
      <c r="L9" s="3158">
        <f t="shared" si="1"/>
        <v>11000</v>
      </c>
      <c r="M9" s="3158">
        <f ca="1">典型户型修正!T31</f>
        <v>95.736800000000002</v>
      </c>
      <c r="N9" s="3158">
        <f ca="1">典型户型修正!U31</f>
        <v>10101</v>
      </c>
    </row>
    <row r="10" spans="1:14" s="3158" customFormat="1" ht="28.8">
      <c r="A10" s="3160">
        <v>9</v>
      </c>
      <c r="B10" s="3161" t="s">
        <v>3434</v>
      </c>
      <c r="C10" s="3161" t="s">
        <v>3435</v>
      </c>
      <c r="D10" s="3161" t="s">
        <v>3418</v>
      </c>
      <c r="E10" s="3160">
        <v>12</v>
      </c>
      <c r="F10" s="3160">
        <v>10</v>
      </c>
      <c r="G10" s="3160">
        <v>1012</v>
      </c>
      <c r="H10" s="3160">
        <v>132.94</v>
      </c>
      <c r="I10" s="3161" t="s">
        <v>3419</v>
      </c>
      <c r="J10" s="3158">
        <v>1462340</v>
      </c>
      <c r="K10" s="3158">
        <f t="shared" si="0"/>
        <v>146.23400000000001</v>
      </c>
      <c r="L10" s="3158">
        <f t="shared" si="1"/>
        <v>11000</v>
      </c>
      <c r="M10" s="3158">
        <f ca="1">典型户型修正!T32</f>
        <v>134.28199999999998</v>
      </c>
      <c r="N10" s="3158">
        <f ca="1">典型户型修正!U32</f>
        <v>10101</v>
      </c>
    </row>
    <row r="11" spans="1:14" s="3158" customFormat="1"/>
    <row r="13" spans="1:14" ht="57.6">
      <c r="C13" s="3158" t="s">
        <v>3548</v>
      </c>
    </row>
  </sheetData>
  <phoneticPr fontId="134" type="noConversion"/>
  <pageMargins left="0.7" right="0.7" top="0.75" bottom="0.75" header="0.3" footer="0.3"/>
  <pageSetup paperSize="9"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0B83E-E8DD-492D-B2C4-FA78B99FA3B6}">
  <sheetPr>
    <tabColor rgb="FF7030A0"/>
  </sheetPr>
  <dimension ref="N1:R4"/>
  <sheetViews>
    <sheetView topLeftCell="A22" workbookViewId="0">
      <selection activeCell="R4" sqref="R4"/>
    </sheetView>
  </sheetViews>
  <sheetFormatPr defaultRowHeight="14.4"/>
  <sheetData>
    <row r="1" spans="14:18">
      <c r="O1" s="1405" t="s">
        <v>3386</v>
      </c>
      <c r="P1" s="1405" t="s">
        <v>3514</v>
      </c>
      <c r="Q1" s="1405" t="s">
        <v>3387</v>
      </c>
      <c r="R1" s="1405" t="s">
        <v>3393</v>
      </c>
    </row>
    <row r="2" spans="14:18">
      <c r="N2" s="1405" t="s">
        <v>3511</v>
      </c>
      <c r="O2">
        <v>47.76</v>
      </c>
      <c r="P2" s="1405" t="s">
        <v>3515</v>
      </c>
      <c r="Q2">
        <v>12563</v>
      </c>
    </row>
    <row r="3" spans="14:18">
      <c r="N3" s="1405" t="s">
        <v>3513</v>
      </c>
      <c r="O3">
        <v>64.349999999999994</v>
      </c>
      <c r="P3" s="1405" t="s">
        <v>3515</v>
      </c>
      <c r="Q3">
        <v>10102</v>
      </c>
      <c r="R3" s="1405" t="s">
        <v>3519</v>
      </c>
    </row>
    <row r="4" spans="14:18">
      <c r="N4" s="1405" t="s">
        <v>3512</v>
      </c>
      <c r="O4">
        <v>46.08</v>
      </c>
      <c r="P4" s="1405" t="s">
        <v>3515</v>
      </c>
      <c r="Q4">
        <v>13021</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XFD132"/>
  <sheetViews>
    <sheetView view="pageBreakPreview" topLeftCell="A31" zoomScale="85" zoomScaleNormal="70" zoomScaleSheetLayoutView="85" workbookViewId="0">
      <selection activeCell="M49" sqref="M49"/>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6.33203125" style="347" customWidth="1"/>
    <col min="6" max="6" width="12.21875" style="347" customWidth="1"/>
    <col min="7" max="7" width="18.33203125" style="347" customWidth="1"/>
    <col min="8" max="8" width="12.21875" style="347" customWidth="1"/>
    <col min="9" max="9" width="17"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1001</v>
      </c>
      <c r="E1" s="3127" t="s">
        <v>3462</v>
      </c>
      <c r="F1" s="1735" t="s">
        <v>3463</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111.84990000000001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11801</v>
      </c>
      <c r="C3" s="344" t="s">
        <v>1768</v>
      </c>
      <c r="D3" s="343">
        <f>IF(D1="",'数据-汇总表'!E3,SUMIF('数据-汇总表'!$C19:$C33,D1,'数据-汇总表'!$E19:$E33))</f>
        <v>94.78</v>
      </c>
      <c r="E3" s="1805"/>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4.4">
      <c r="A4" s="345" t="s">
        <v>1769</v>
      </c>
      <c r="B4" s="346"/>
      <c r="C4" s="3399" t="s">
        <v>1770</v>
      </c>
      <c r="D4" s="3400"/>
      <c r="E4" s="3401" t="s">
        <v>1771</v>
      </c>
      <c r="F4" s="3402"/>
      <c r="G4" s="3399" t="s">
        <v>1772</v>
      </c>
      <c r="H4" s="3400"/>
      <c r="I4" s="3399" t="s">
        <v>1773</v>
      </c>
      <c r="J4" s="3400"/>
      <c r="K4" s="537" t="s">
        <v>1774</v>
      </c>
      <c r="L4" s="2482"/>
      <c r="M4" s="2483"/>
      <c r="N4" s="2483"/>
      <c r="O4" s="2483"/>
      <c r="P4" s="3403" t="s">
        <v>1775</v>
      </c>
      <c r="Q4" s="3404"/>
      <c r="R4" s="3384" t="s">
        <v>1771</v>
      </c>
      <c r="S4" s="3385"/>
      <c r="T4" s="3384" t="s">
        <v>1772</v>
      </c>
      <c r="U4" s="3385"/>
      <c r="V4" s="3411" t="s">
        <v>1773</v>
      </c>
      <c r="W4" s="3411"/>
      <c r="X4" s="1809"/>
      <c r="Y4" s="3384" t="s">
        <v>1775</v>
      </c>
      <c r="Z4" s="3385"/>
      <c r="AA4" s="3379" t="s">
        <v>1771</v>
      </c>
      <c r="AB4" s="3379" t="s">
        <v>1772</v>
      </c>
      <c r="AC4" s="3396" t="s">
        <v>1773</v>
      </c>
    </row>
    <row r="5" spans="1:29" ht="13.8" customHeight="1">
      <c r="A5" s="348"/>
      <c r="B5" s="349"/>
      <c r="C5" s="3388" t="s">
        <v>3464</v>
      </c>
      <c r="D5" s="3389"/>
      <c r="E5" s="3388" t="s">
        <v>3464</v>
      </c>
      <c r="F5" s="3389"/>
      <c r="G5" s="3388" t="s">
        <v>3464</v>
      </c>
      <c r="H5" s="3389"/>
      <c r="I5" s="3392" t="s">
        <v>1676</v>
      </c>
      <c r="J5" s="3389"/>
      <c r="K5" s="537"/>
      <c r="L5" s="2482"/>
      <c r="M5" s="2483"/>
      <c r="N5" s="2483"/>
      <c r="O5" s="2483"/>
      <c r="P5" s="3405"/>
      <c r="Q5" s="3406"/>
      <c r="R5" s="3386"/>
      <c r="S5" s="3387"/>
      <c r="T5" s="3386"/>
      <c r="U5" s="3387"/>
      <c r="V5" s="3412"/>
      <c r="W5" s="3412"/>
      <c r="X5" s="1265"/>
      <c r="Y5" s="3386"/>
      <c r="Z5" s="3387"/>
      <c r="AA5" s="3380"/>
      <c r="AB5" s="3380"/>
      <c r="AC5" s="3397"/>
    </row>
    <row r="6" spans="1:29" ht="15" thickBot="1">
      <c r="A6" s="350"/>
      <c r="B6" s="351"/>
      <c r="C6" s="3390" t="s">
        <v>1677</v>
      </c>
      <c r="D6" s="3391"/>
      <c r="E6" s="3393" t="s">
        <v>1677</v>
      </c>
      <c r="F6" s="3394"/>
      <c r="G6" s="3390" t="s">
        <v>1677</v>
      </c>
      <c r="H6" s="3391"/>
      <c r="I6" s="3390" t="s">
        <v>1677</v>
      </c>
      <c r="J6" s="3391"/>
      <c r="K6" s="537" t="s">
        <v>1678</v>
      </c>
      <c r="L6" s="2482"/>
      <c r="M6" s="2483"/>
      <c r="N6" s="2483"/>
      <c r="O6" s="2483"/>
      <c r="P6" s="3407"/>
      <c r="Q6" s="3408"/>
      <c r="R6" s="3386"/>
      <c r="S6" s="3387"/>
      <c r="T6" s="3409"/>
      <c r="U6" s="3410"/>
      <c r="V6" s="3412"/>
      <c r="W6" s="3412"/>
      <c r="X6" s="1265"/>
      <c r="Y6" s="3409"/>
      <c r="Z6" s="3410"/>
      <c r="AA6" s="3381"/>
      <c r="AB6" s="3381"/>
      <c r="AC6" s="3398"/>
    </row>
    <row r="7" spans="1:29" s="102" customFormat="1" ht="15" thickBot="1">
      <c r="A7" s="352" t="s">
        <v>1679</v>
      </c>
      <c r="B7" s="353"/>
      <c r="C7" s="354">
        <f>'数据-取费表'!B2</f>
        <v>45828</v>
      </c>
      <c r="D7" s="355">
        <v>100</v>
      </c>
      <c r="E7" s="356">
        <f>C7</f>
        <v>45828</v>
      </c>
      <c r="F7" s="357">
        <f>SUMIF(59:59,YEAR(E7)&amp;"-"&amp;MONTH(E7),60:60)</f>
        <v>100</v>
      </c>
      <c r="G7" s="356">
        <f>C7</f>
        <v>45828</v>
      </c>
      <c r="H7" s="355">
        <f>SUMIF(59:59,YEAR(G7)&amp;"-"&amp;MONTH(G7),60:60)</f>
        <v>100</v>
      </c>
      <c r="I7" s="356">
        <f>C7</f>
        <v>45828</v>
      </c>
      <c r="J7" s="355">
        <f>SUMIF(59:59,YEAR(I7)&amp;"-"&amp;MONTH(I7),60:60)</f>
        <v>100</v>
      </c>
      <c r="K7" s="38"/>
      <c r="L7" s="2484"/>
      <c r="M7" s="2436"/>
      <c r="N7" s="2436"/>
      <c r="O7" s="2436"/>
      <c r="P7" s="3413" t="s">
        <v>1680</v>
      </c>
      <c r="Q7" s="3414"/>
      <c r="R7" s="664" t="s">
        <v>14</v>
      </c>
      <c r="S7" s="665">
        <f t="shared" ref="S7:S15" si="0">F7</f>
        <v>100</v>
      </c>
      <c r="T7" s="664" t="s">
        <v>14</v>
      </c>
      <c r="U7" s="665">
        <f t="shared" ref="U7:U15" si="1">H7</f>
        <v>100</v>
      </c>
      <c r="V7" s="664" t="s">
        <v>14</v>
      </c>
      <c r="W7" s="665">
        <f t="shared" ref="W7:W15" si="2">J7</f>
        <v>100</v>
      </c>
      <c r="X7" s="666"/>
      <c r="Y7" s="3382" t="s">
        <v>1680</v>
      </c>
      <c r="Z7" s="3383"/>
      <c r="AA7" s="50">
        <f>D7/F7</f>
        <v>1</v>
      </c>
      <c r="AB7" s="50">
        <f>D7/H7</f>
        <v>1</v>
      </c>
      <c r="AC7" s="802">
        <f>D7/J7</f>
        <v>1</v>
      </c>
    </row>
    <row r="8" spans="1:29" s="102" customFormat="1" ht="15" thickBot="1">
      <c r="A8" s="352" t="s">
        <v>1681</v>
      </c>
      <c r="B8" s="353"/>
      <c r="C8" s="358" t="s">
        <v>3465</v>
      </c>
      <c r="D8" s="355">
        <v>100</v>
      </c>
      <c r="E8" s="358" t="s">
        <v>3467</v>
      </c>
      <c r="F8" s="357">
        <f>SUMIF(62:62,E8,63:63)-SUMIF(62:62,C8,63:63)+100</f>
        <v>102</v>
      </c>
      <c r="G8" s="358" t="s">
        <v>3467</v>
      </c>
      <c r="H8" s="355">
        <f>SUMIF(62:62,G8,63:63)-SUMIF(62:62,C8,63:63)+100</f>
        <v>102</v>
      </c>
      <c r="I8" s="358" t="s">
        <v>3467</v>
      </c>
      <c r="J8" s="355">
        <f>SUMIF(62:62,I8,63:63)-SUMIF(62:62,C8,63:63)+100</f>
        <v>102</v>
      </c>
      <c r="K8" s="38"/>
      <c r="L8" s="2484"/>
      <c r="M8" s="2436"/>
      <c r="N8" s="2436"/>
      <c r="O8" s="2436"/>
      <c r="P8" s="3413" t="s">
        <v>1683</v>
      </c>
      <c r="Q8" s="3383"/>
      <c r="R8" s="664" t="s">
        <v>14</v>
      </c>
      <c r="S8" s="665">
        <f t="shared" si="0"/>
        <v>102</v>
      </c>
      <c r="T8" s="664" t="s">
        <v>14</v>
      </c>
      <c r="U8" s="665">
        <f t="shared" si="1"/>
        <v>102</v>
      </c>
      <c r="V8" s="664" t="s">
        <v>14</v>
      </c>
      <c r="W8" s="665">
        <f t="shared" si="2"/>
        <v>102</v>
      </c>
      <c r="X8" s="666"/>
      <c r="Y8" s="3382" t="s">
        <v>1683</v>
      </c>
      <c r="Z8" s="3383"/>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69" t="s">
        <v>3466</v>
      </c>
      <c r="D9" s="59">
        <v>100</v>
      </c>
      <c r="E9" s="362" t="s">
        <v>3444</v>
      </c>
      <c r="F9" s="59">
        <f>SUMIF(64:64,E9,65:65)-SUMIF(64:64,C9,65:65)+100</f>
        <v>100</v>
      </c>
      <c r="G9" s="362" t="s">
        <v>3444</v>
      </c>
      <c r="H9" s="59">
        <f>SUMIF(64:64,G9,65:65)-SUMIF(64:64,C9,65:65)+100</f>
        <v>100</v>
      </c>
      <c r="I9" s="362" t="s">
        <v>3444</v>
      </c>
      <c r="J9" s="59">
        <f>SUMIF(64:64,I9,65:65)-SUMIF(64:64,C9,65:65)+100</f>
        <v>100</v>
      </c>
      <c r="K9" s="38"/>
      <c r="L9" s="2484"/>
      <c r="M9" s="2436"/>
      <c r="N9" s="2436"/>
      <c r="O9" s="2436"/>
      <c r="P9" s="3395" t="s">
        <v>1686</v>
      </c>
      <c r="Q9" s="530" t="str">
        <f t="shared" ref="Q9:Q15" si="6">B9</f>
        <v>用途</v>
      </c>
      <c r="R9" s="664" t="s">
        <v>14</v>
      </c>
      <c r="S9" s="665">
        <f t="shared" si="0"/>
        <v>100</v>
      </c>
      <c r="T9" s="664" t="s">
        <v>14</v>
      </c>
      <c r="U9" s="665">
        <f t="shared" si="1"/>
        <v>100</v>
      </c>
      <c r="V9" s="664" t="s">
        <v>14</v>
      </c>
      <c r="W9" s="665">
        <f t="shared" si="2"/>
        <v>100</v>
      </c>
      <c r="X9" s="666"/>
      <c r="Y9" s="3347" t="s">
        <v>1687</v>
      </c>
      <c r="Z9" s="50" t="str">
        <f t="shared" ref="Z9:Z15" si="7">Q9</f>
        <v>用途</v>
      </c>
      <c r="AA9" s="50">
        <f t="shared" si="3"/>
        <v>1</v>
      </c>
      <c r="AB9" s="50">
        <f t="shared" si="4"/>
        <v>1</v>
      </c>
      <c r="AC9" s="802">
        <f t="shared" si="5"/>
        <v>1</v>
      </c>
    </row>
    <row r="10" spans="1:29" s="366" customFormat="1" ht="28.8">
      <c r="A10" s="363"/>
      <c r="B10" s="364" t="s">
        <v>1688</v>
      </c>
      <c r="C10" s="3128" t="s">
        <v>3506</v>
      </c>
      <c r="D10" s="119">
        <v>100</v>
      </c>
      <c r="E10" s="3128" t="s">
        <v>3506</v>
      </c>
      <c r="F10" s="119">
        <f>SUMIF(66:66,E10,67:67)-SUMIF(66:66,C10,67:67)+100</f>
        <v>100</v>
      </c>
      <c r="G10" s="3128" t="s">
        <v>3506</v>
      </c>
      <c r="H10" s="119">
        <f>SUMIF(66:66,G10,67:67)-SUMIF(66:66,C10,67:67)+100</f>
        <v>100</v>
      </c>
      <c r="I10" s="3128" t="s">
        <v>3506</v>
      </c>
      <c r="J10" s="119">
        <f>SUMIF(66:66,I10,67:67)-SUMIF(66:66,C10,67:67)+100</f>
        <v>100</v>
      </c>
      <c r="K10" s="38"/>
      <c r="L10" s="2485"/>
      <c r="M10" s="2486"/>
      <c r="N10" s="2486"/>
      <c r="O10" s="2486"/>
      <c r="P10" s="3395"/>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95"/>
      <c r="Q11" s="530" t="str">
        <f t="shared" si="6"/>
        <v>容积率</v>
      </c>
      <c r="R11" s="664" t="s">
        <v>14</v>
      </c>
      <c r="S11" s="665">
        <f t="shared" si="0"/>
        <v>100</v>
      </c>
      <c r="T11" s="664" t="s">
        <v>14</v>
      </c>
      <c r="U11" s="665">
        <f t="shared" si="1"/>
        <v>100</v>
      </c>
      <c r="V11" s="664" t="s">
        <v>14</v>
      </c>
      <c r="W11" s="665">
        <f t="shared" si="2"/>
        <v>100</v>
      </c>
      <c r="X11" s="666"/>
      <c r="Y11" s="334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4"/>
      <c r="M12" s="2436"/>
      <c r="N12" s="2436"/>
      <c r="O12" s="2436"/>
      <c r="P12" s="3395"/>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8"/>
      <c r="M13" s="2483"/>
      <c r="N13" s="2483"/>
      <c r="O13" s="2483"/>
      <c r="P13" s="3395"/>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8"/>
      <c r="M14" s="2483"/>
      <c r="N14" s="2483"/>
      <c r="O14" s="2483"/>
      <c r="P14" s="3395"/>
      <c r="Q14" s="530">
        <f t="shared" si="6"/>
        <v>111</v>
      </c>
      <c r="R14" s="664" t="s">
        <v>14</v>
      </c>
      <c r="S14" s="665">
        <f t="shared" si="0"/>
        <v>100</v>
      </c>
      <c r="T14" s="664" t="s">
        <v>14</v>
      </c>
      <c r="U14" s="665">
        <f t="shared" si="1"/>
        <v>100</v>
      </c>
      <c r="V14" s="664" t="s">
        <v>14</v>
      </c>
      <c r="W14" s="665">
        <f t="shared" si="2"/>
        <v>100</v>
      </c>
      <c r="X14" s="666"/>
      <c r="Y14" s="3347"/>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88"/>
      <c r="M15" s="2483"/>
      <c r="N15" s="2483"/>
      <c r="O15" s="2483"/>
      <c r="P15" s="3415" t="s">
        <v>1691</v>
      </c>
      <c r="Q15" s="1263" t="str">
        <f t="shared" si="6"/>
        <v>办公集聚程度</v>
      </c>
      <c r="R15" s="667" t="s">
        <v>14</v>
      </c>
      <c r="S15" s="668">
        <f t="shared" si="0"/>
        <v>100</v>
      </c>
      <c r="T15" s="667" t="s">
        <v>14</v>
      </c>
      <c r="U15" s="668">
        <f t="shared" si="1"/>
        <v>100</v>
      </c>
      <c r="V15" s="667" t="s">
        <v>14</v>
      </c>
      <c r="W15" s="668">
        <f t="shared" si="2"/>
        <v>100</v>
      </c>
      <c r="X15" s="1265"/>
      <c r="Y15" s="3417" t="s">
        <v>1691</v>
      </c>
      <c r="Z15" s="1264" t="str">
        <f t="shared" si="7"/>
        <v>办公集聚程度</v>
      </c>
      <c r="AA15" s="1264">
        <f t="shared" si="3"/>
        <v>1</v>
      </c>
      <c r="AB15" s="1264">
        <f t="shared" si="4"/>
        <v>1</v>
      </c>
      <c r="AC15" s="1812">
        <f t="shared" si="5"/>
        <v>1</v>
      </c>
    </row>
    <row r="16" spans="1:29" ht="15">
      <c r="A16" s="367"/>
      <c r="B16" s="555"/>
      <c r="C16" s="1758" t="s">
        <v>3507</v>
      </c>
      <c r="D16" s="387"/>
      <c r="E16" s="1758" t="s">
        <v>3507</v>
      </c>
      <c r="F16" s="387"/>
      <c r="G16" s="1758" t="s">
        <v>3507</v>
      </c>
      <c r="H16" s="389"/>
      <c r="I16" s="1758" t="s">
        <v>3507</v>
      </c>
      <c r="J16" s="387"/>
      <c r="K16" s="541"/>
      <c r="L16" s="2488"/>
      <c r="M16" s="2483"/>
      <c r="N16" s="2483"/>
      <c r="O16" s="2483"/>
      <c r="P16" s="3416"/>
      <c r="Q16" s="1263"/>
      <c r="R16" s="667"/>
      <c r="S16" s="668"/>
      <c r="T16" s="667"/>
      <c r="U16" s="668"/>
      <c r="V16" s="667"/>
      <c r="W16" s="668"/>
      <c r="X16" s="1265"/>
      <c r="Y16" s="3418"/>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88"/>
      <c r="M17" s="2483"/>
      <c r="N17" s="2483"/>
      <c r="O17" s="2483"/>
      <c r="P17" s="3416"/>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812">
        <f t="shared" si="5"/>
        <v>1</v>
      </c>
    </row>
    <row r="18" spans="1:29" ht="15">
      <c r="A18" s="367"/>
      <c r="B18" s="401"/>
      <c r="C18" s="1758" t="s">
        <v>3507</v>
      </c>
      <c r="D18" s="389"/>
      <c r="E18" s="1758" t="s">
        <v>3507</v>
      </c>
      <c r="F18" s="389"/>
      <c r="G18" s="1758" t="s">
        <v>3507</v>
      </c>
      <c r="H18" s="387"/>
      <c r="I18" s="1758" t="s">
        <v>3507</v>
      </c>
      <c r="J18" s="387"/>
      <c r="K18" s="541"/>
      <c r="L18" s="2488"/>
      <c r="M18" s="2483"/>
      <c r="N18" s="2483"/>
      <c r="O18" s="2483"/>
      <c r="P18" s="3416"/>
      <c r="Q18" s="1263"/>
      <c r="R18" s="667"/>
      <c r="S18" s="668"/>
      <c r="T18" s="667"/>
      <c r="U18" s="668"/>
      <c r="V18" s="667"/>
      <c r="W18" s="668"/>
      <c r="X18" s="1265"/>
      <c r="Y18" s="3418"/>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88"/>
      <c r="M19" s="2483"/>
      <c r="N19" s="2483"/>
      <c r="O19" s="2483"/>
      <c r="P19" s="3416"/>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812">
        <f t="shared" si="5"/>
        <v>1</v>
      </c>
    </row>
    <row r="20" spans="1:29" ht="15">
      <c r="A20" s="367"/>
      <c r="B20" s="401"/>
      <c r="C20" s="1758" t="s">
        <v>3508</v>
      </c>
      <c r="D20" s="387"/>
      <c r="E20" s="1758" t="s">
        <v>3508</v>
      </c>
      <c r="F20" s="387"/>
      <c r="G20" s="1758" t="s">
        <v>3508</v>
      </c>
      <c r="H20" s="387"/>
      <c r="I20" s="1758" t="s">
        <v>3508</v>
      </c>
      <c r="J20" s="387"/>
      <c r="K20" s="541"/>
      <c r="L20" s="2488"/>
      <c r="M20" s="2483"/>
      <c r="N20" s="2483"/>
      <c r="O20" s="2483"/>
      <c r="P20" s="3416"/>
      <c r="Q20" s="1263"/>
      <c r="R20" s="667"/>
      <c r="S20" s="668"/>
      <c r="T20" s="667"/>
      <c r="U20" s="668"/>
      <c r="V20" s="667"/>
      <c r="W20" s="668"/>
      <c r="X20" s="1265"/>
      <c r="Y20" s="341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8"/>
      <c r="M21" s="2483"/>
      <c r="N21" s="2483"/>
      <c r="O21" s="2483"/>
      <c r="P21" s="3416"/>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812">
        <f t="shared" ref="AC21" si="10">D21/J21</f>
        <v>1</v>
      </c>
    </row>
    <row r="22" spans="1:29" ht="15">
      <c r="A22" s="367"/>
      <c r="B22" s="557"/>
      <c r="C22" s="1814" t="s">
        <v>3494</v>
      </c>
      <c r="D22" s="387"/>
      <c r="E22" s="1814" t="s">
        <v>3494</v>
      </c>
      <c r="F22" s="387"/>
      <c r="G22" s="1814" t="s">
        <v>3494</v>
      </c>
      <c r="H22" s="387"/>
      <c r="I22" s="1814" t="s">
        <v>3494</v>
      </c>
      <c r="J22" s="387"/>
      <c r="K22" s="1064"/>
      <c r="L22" s="2488"/>
      <c r="M22" s="2483"/>
      <c r="N22" s="2483"/>
      <c r="O22" s="2483"/>
      <c r="P22" s="3416"/>
      <c r="Q22" s="1263"/>
      <c r="R22" s="667"/>
      <c r="S22" s="668"/>
      <c r="T22" s="667"/>
      <c r="U22" s="668"/>
      <c r="V22" s="667"/>
      <c r="W22" s="668"/>
      <c r="X22" s="1265"/>
      <c r="Y22" s="3418"/>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88"/>
      <c r="M23" s="2483"/>
      <c r="N23" s="2483"/>
      <c r="O23" s="2483"/>
      <c r="P23" s="3416"/>
      <c r="Q23" s="1263" t="str">
        <f>B23</f>
        <v>环境质量</v>
      </c>
      <c r="R23" s="667" t="s">
        <v>14</v>
      </c>
      <c r="S23" s="668">
        <f>F23</f>
        <v>100</v>
      </c>
      <c r="T23" s="667" t="s">
        <v>14</v>
      </c>
      <c r="U23" s="668">
        <f>H23</f>
        <v>100</v>
      </c>
      <c r="V23" s="667" t="s">
        <v>14</v>
      </c>
      <c r="W23" s="668">
        <f>J23</f>
        <v>100</v>
      </c>
      <c r="X23" s="1265"/>
      <c r="Y23" s="3418"/>
      <c r="Z23" s="1264" t="str">
        <f>Q23</f>
        <v>环境质量</v>
      </c>
      <c r="AA23" s="1264">
        <f t="shared" si="3"/>
        <v>1</v>
      </c>
      <c r="AB23" s="1264">
        <f t="shared" si="4"/>
        <v>1</v>
      </c>
      <c r="AC23" s="1812">
        <f t="shared" si="5"/>
        <v>1</v>
      </c>
    </row>
    <row r="24" spans="1:29" ht="15">
      <c r="A24" s="367"/>
      <c r="B24" s="557"/>
      <c r="C24" s="1758" t="s">
        <v>3508</v>
      </c>
      <c r="D24" s="387"/>
      <c r="E24" s="1758" t="s">
        <v>3508</v>
      </c>
      <c r="F24" s="387"/>
      <c r="G24" s="1758" t="s">
        <v>3508</v>
      </c>
      <c r="H24" s="387"/>
      <c r="I24" s="1758" t="s">
        <v>3508</v>
      </c>
      <c r="J24" s="387"/>
      <c r="K24" s="541"/>
      <c r="L24" s="2488"/>
      <c r="M24" s="2483"/>
      <c r="N24" s="2483"/>
      <c r="O24" s="2483"/>
      <c r="P24" s="3416"/>
      <c r="Q24" s="1263"/>
      <c r="R24" s="667"/>
      <c r="S24" s="668"/>
      <c r="T24" s="667"/>
      <c r="U24" s="668"/>
      <c r="V24" s="667"/>
      <c r="W24" s="668"/>
      <c r="X24" s="1265"/>
      <c r="Y24" s="341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88"/>
      <c r="M25" s="2483"/>
      <c r="N25" s="2483"/>
      <c r="O25" s="2483"/>
      <c r="P25" s="3416"/>
      <c r="Q25" s="1263" t="str">
        <f>B25</f>
        <v>毗邻道路的类型与等级</v>
      </c>
      <c r="R25" s="667" t="s">
        <v>14</v>
      </c>
      <c r="S25" s="668">
        <f>F25</f>
        <v>100</v>
      </c>
      <c r="T25" s="667" t="s">
        <v>14</v>
      </c>
      <c r="U25" s="668">
        <f>H25</f>
        <v>100</v>
      </c>
      <c r="V25" s="667" t="s">
        <v>14</v>
      </c>
      <c r="W25" s="668">
        <f>J25</f>
        <v>100</v>
      </c>
      <c r="X25" s="1265"/>
      <c r="Y25" s="341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8"/>
      <c r="M26" s="2483"/>
      <c r="N26" s="2483"/>
      <c r="O26" s="2483"/>
      <c r="P26" s="3416"/>
      <c r="Q26" s="1263"/>
      <c r="R26" s="667"/>
      <c r="S26" s="668"/>
      <c r="T26" s="667"/>
      <c r="U26" s="668"/>
      <c r="V26" s="667"/>
      <c r="W26" s="668"/>
      <c r="X26" s="1265"/>
      <c r="Y26" s="3418"/>
      <c r="Z26" s="1264"/>
      <c r="AA26" s="1264">
        <v>1</v>
      </c>
      <c r="AB26" s="1264">
        <v>1</v>
      </c>
      <c r="AC26" s="1812">
        <v>1</v>
      </c>
    </row>
    <row r="27" spans="1:29" ht="15">
      <c r="A27" s="367"/>
      <c r="B27" s="401" t="s">
        <v>1783</v>
      </c>
      <c r="C27" s="558" t="s">
        <v>3478</v>
      </c>
      <c r="D27" s="374">
        <v>100</v>
      </c>
      <c r="E27" s="542" t="s">
        <v>3480</v>
      </c>
      <c r="F27" s="374">
        <f>SUMIF(89:89,E27,90:90)-SUMIF(89:89,C27,90:90)+100</f>
        <v>99</v>
      </c>
      <c r="G27" s="542" t="s">
        <v>3480</v>
      </c>
      <c r="H27" s="374">
        <f>SUMIF(89:89,G27,90:90)-SUMIF(89:89,C27,90:90)+100</f>
        <v>99</v>
      </c>
      <c r="I27" s="542" t="s">
        <v>3480</v>
      </c>
      <c r="J27" s="374">
        <f>SUMIF(89:89,I27,90:90)-SUMIF(89:89,C27,90:90)+100</f>
        <v>99</v>
      </c>
      <c r="K27" s="538">
        <v>1</v>
      </c>
      <c r="L27" s="2488"/>
      <c r="M27" s="2483"/>
      <c r="N27" s="2483"/>
      <c r="O27" s="2483"/>
      <c r="P27" s="3416"/>
      <c r="Q27" s="1263" t="str">
        <f t="shared" ref="Q27:Q47" si="11">B27</f>
        <v>楼层</v>
      </c>
      <c r="R27" s="667" t="s">
        <v>14</v>
      </c>
      <c r="S27" s="668">
        <f>F27</f>
        <v>99</v>
      </c>
      <c r="T27" s="667" t="s">
        <v>14</v>
      </c>
      <c r="U27" s="668">
        <f>H27</f>
        <v>99</v>
      </c>
      <c r="V27" s="667" t="s">
        <v>14</v>
      </c>
      <c r="W27" s="668">
        <f>J27</f>
        <v>99</v>
      </c>
      <c r="X27" s="1265"/>
      <c r="Y27" s="3418"/>
      <c r="Z27" s="1264" t="str">
        <f>Q27</f>
        <v>楼层</v>
      </c>
      <c r="AA27" s="1264">
        <f t="shared" si="3"/>
        <v>1.0101010101010102</v>
      </c>
      <c r="AB27" s="1264">
        <f t="shared" si="4"/>
        <v>1.0101010101010102</v>
      </c>
      <c r="AC27" s="1812">
        <f t="shared" si="5"/>
        <v>1.0101010101010102</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4"/>
      <c r="M28" s="2436"/>
      <c r="N28" s="2436"/>
      <c r="O28" s="2436"/>
      <c r="P28" s="3416"/>
      <c r="Q28" s="530" t="str">
        <f t="shared" si="11"/>
        <v>朝向</v>
      </c>
      <c r="R28" s="664" t="s">
        <v>14</v>
      </c>
      <c r="S28" s="665">
        <f>F28</f>
        <v>100</v>
      </c>
      <c r="T28" s="664" t="s">
        <v>14</v>
      </c>
      <c r="U28" s="665">
        <f>H28</f>
        <v>100</v>
      </c>
      <c r="V28" s="664" t="s">
        <v>14</v>
      </c>
      <c r="W28" s="665">
        <f>J28</f>
        <v>100</v>
      </c>
      <c r="X28" s="666"/>
      <c r="Y28" s="341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8"/>
      <c r="M29" s="2483"/>
      <c r="N29" s="2483"/>
      <c r="O29" s="2483"/>
      <c r="P29" s="3416"/>
      <c r="Q29" s="1263">
        <f t="shared" si="11"/>
        <v>111</v>
      </c>
      <c r="R29" s="667" t="s">
        <v>14</v>
      </c>
      <c r="S29" s="668">
        <f t="shared" ref="S29:S47" si="12">F29</f>
        <v>100</v>
      </c>
      <c r="T29" s="667" t="s">
        <v>14</v>
      </c>
      <c r="U29" s="668">
        <f t="shared" ref="U29:U47" si="13">H29</f>
        <v>100</v>
      </c>
      <c r="V29" s="667" t="s">
        <v>14</v>
      </c>
      <c r="W29" s="668">
        <f t="shared" ref="W29:W47" si="14">J29</f>
        <v>100</v>
      </c>
      <c r="X29" s="1265"/>
      <c r="Y29" s="341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8"/>
      <c r="M30" s="2483"/>
      <c r="N30" s="2483"/>
      <c r="O30" s="2483"/>
      <c r="P30" s="3416"/>
      <c r="Q30" s="1263">
        <f t="shared" si="11"/>
        <v>111</v>
      </c>
      <c r="R30" s="667" t="s">
        <v>14</v>
      </c>
      <c r="S30" s="668">
        <f t="shared" si="12"/>
        <v>100</v>
      </c>
      <c r="T30" s="667" t="s">
        <v>14</v>
      </c>
      <c r="U30" s="668">
        <f t="shared" si="13"/>
        <v>100</v>
      </c>
      <c r="V30" s="667" t="s">
        <v>14</v>
      </c>
      <c r="W30" s="668">
        <f t="shared" si="14"/>
        <v>100</v>
      </c>
      <c r="X30" s="1265"/>
      <c r="Y30" s="341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8"/>
      <c r="M31" s="2483"/>
      <c r="N31" s="2483"/>
      <c r="O31" s="2483"/>
      <c r="P31" s="3416"/>
      <c r="Q31" s="1263">
        <f t="shared" si="11"/>
        <v>111</v>
      </c>
      <c r="R31" s="667" t="s">
        <v>14</v>
      </c>
      <c r="S31" s="668">
        <f t="shared" si="12"/>
        <v>100</v>
      </c>
      <c r="T31" s="667" t="s">
        <v>14</v>
      </c>
      <c r="U31" s="668">
        <f t="shared" si="13"/>
        <v>100</v>
      </c>
      <c r="V31" s="667" t="s">
        <v>14</v>
      </c>
      <c r="W31" s="668">
        <f t="shared" si="14"/>
        <v>100</v>
      </c>
      <c r="X31" s="1265"/>
      <c r="Y31" s="341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8"/>
      <c r="M32" s="2483"/>
      <c r="N32" s="2483"/>
      <c r="O32" s="2483"/>
      <c r="P32" s="3416"/>
      <c r="Q32" s="1263">
        <f t="shared" si="11"/>
        <v>111</v>
      </c>
      <c r="R32" s="667" t="s">
        <v>14</v>
      </c>
      <c r="S32" s="668">
        <f t="shared" si="12"/>
        <v>100</v>
      </c>
      <c r="T32" s="667" t="s">
        <v>14</v>
      </c>
      <c r="U32" s="668">
        <f t="shared" si="13"/>
        <v>100</v>
      </c>
      <c r="V32" s="667" t="s">
        <v>14</v>
      </c>
      <c r="W32" s="668">
        <f t="shared" si="14"/>
        <v>100</v>
      </c>
      <c r="X32" s="1265"/>
      <c r="Y32" s="3418"/>
      <c r="Z32" s="1264">
        <f t="shared" si="15"/>
        <v>111</v>
      </c>
      <c r="AA32" s="1264">
        <f t="shared" si="3"/>
        <v>1</v>
      </c>
      <c r="AB32" s="1264">
        <f t="shared" si="4"/>
        <v>1</v>
      </c>
      <c r="AC32" s="1812">
        <f t="shared" si="5"/>
        <v>1</v>
      </c>
    </row>
    <row r="33" spans="1:29" ht="15">
      <c r="A33" s="379" t="s">
        <v>1694</v>
      </c>
      <c r="B33" s="60" t="s">
        <v>1817</v>
      </c>
      <c r="C33" s="1764" t="s">
        <v>3509</v>
      </c>
      <c r="D33" s="405">
        <v>100</v>
      </c>
      <c r="E33" s="1764" t="s">
        <v>3509</v>
      </c>
      <c r="F33" s="400">
        <f>SUMIF(101:101,E33,102:102)-SUMIF(101:101,C33,102:102)+100</f>
        <v>100</v>
      </c>
      <c r="G33" s="1764" t="s">
        <v>3509</v>
      </c>
      <c r="H33" s="374">
        <f>SUMIF(101:101,G33,102:102)-SUMIF(101:101,C33,102:102)+100</f>
        <v>100</v>
      </c>
      <c r="I33" s="1764" t="s">
        <v>3509</v>
      </c>
      <c r="J33" s="405">
        <f>SUMIF(101:101,I33,102:102)-SUMIF(101:101,C33,102:102)+100</f>
        <v>100</v>
      </c>
      <c r="K33" s="538">
        <v>2</v>
      </c>
      <c r="L33" s="2488"/>
      <c r="M33" s="2483"/>
      <c r="N33" s="2483"/>
      <c r="O33" s="2483"/>
      <c r="P33" s="3419" t="s">
        <v>1696</v>
      </c>
      <c r="Q33" s="1263" t="str">
        <f t="shared" si="11"/>
        <v>建筑类型</v>
      </c>
      <c r="R33" s="667" t="s">
        <v>14</v>
      </c>
      <c r="S33" s="668">
        <f t="shared" si="12"/>
        <v>100</v>
      </c>
      <c r="T33" s="667" t="s">
        <v>14</v>
      </c>
      <c r="U33" s="668">
        <f t="shared" si="13"/>
        <v>100</v>
      </c>
      <c r="V33" s="667" t="s">
        <v>14</v>
      </c>
      <c r="W33" s="668">
        <f t="shared" si="14"/>
        <v>100</v>
      </c>
      <c r="X33" s="1265"/>
      <c r="Y33" s="3422"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94.78</v>
      </c>
      <c r="D34" s="119">
        <v>100</v>
      </c>
      <c r="E34" s="369">
        <f>售价案例!O2</f>
        <v>47.76</v>
      </c>
      <c r="F34" s="364">
        <f>LOOKUP(E34,104:104,105:105)-LOOKUP(C34,104:104,105:105)+100</f>
        <v>101</v>
      </c>
      <c r="G34" s="368">
        <f>售价案例!O3</f>
        <v>64.349999999999994</v>
      </c>
      <c r="H34" s="119">
        <f>LOOKUP(G34,104:104,105:105)-LOOKUP(C34,104:104,105:105)+100</f>
        <v>101</v>
      </c>
      <c r="I34" s="368">
        <f>售价案例!O4</f>
        <v>46.08</v>
      </c>
      <c r="J34" s="119">
        <f>LOOKUP(I34,104:104,105:105)-LOOKUP(C34,104:104,105:105)+100</f>
        <v>101</v>
      </c>
      <c r="K34" s="539"/>
      <c r="L34" s="2487"/>
      <c r="M34" s="2489"/>
      <c r="N34" s="2489"/>
      <c r="O34" s="2489"/>
      <c r="P34" s="3420"/>
      <c r="Q34" s="531" t="str">
        <f t="shared" si="11"/>
        <v>项目建筑规模</v>
      </c>
      <c r="R34" s="669" t="s">
        <v>14</v>
      </c>
      <c r="S34" s="670">
        <f t="shared" si="12"/>
        <v>101</v>
      </c>
      <c r="T34" s="669" t="s">
        <v>14</v>
      </c>
      <c r="U34" s="670">
        <f t="shared" si="13"/>
        <v>101</v>
      </c>
      <c r="V34" s="669" t="s">
        <v>14</v>
      </c>
      <c r="W34" s="670">
        <f t="shared" si="14"/>
        <v>101</v>
      </c>
      <c r="X34" s="671"/>
      <c r="Y34" s="3422"/>
      <c r="Z34" s="672" t="str">
        <f t="shared" si="15"/>
        <v>项目建筑规模</v>
      </c>
      <c r="AA34" s="1264">
        <f t="shared" si="3"/>
        <v>0.99009900990099009</v>
      </c>
      <c r="AB34" s="1264">
        <f t="shared" si="4"/>
        <v>0.99009900990099009</v>
      </c>
      <c r="AC34" s="1812">
        <f t="shared" si="5"/>
        <v>0.99009900990099009</v>
      </c>
    </row>
    <row r="35" spans="1:29" ht="15">
      <c r="A35" s="409"/>
      <c r="B35" s="364" t="s">
        <v>1698</v>
      </c>
      <c r="C35" s="399" t="s">
        <v>3459</v>
      </c>
      <c r="D35" s="374">
        <v>100</v>
      </c>
      <c r="E35" s="399" t="s">
        <v>3459</v>
      </c>
      <c r="F35" s="400">
        <f>SUMIF(106:106,E35,107:107)-SUMIF(106:106,C35,107:107)+100</f>
        <v>100</v>
      </c>
      <c r="G35" s="399" t="s">
        <v>3459</v>
      </c>
      <c r="H35" s="374">
        <f>SUMIF(106:106,G35,107:107)-SUMIF(106:106,C35,107:107)+100</f>
        <v>100</v>
      </c>
      <c r="I35" s="399" t="s">
        <v>3459</v>
      </c>
      <c r="J35" s="374">
        <f>SUMIF(106:106,I35,107:107)-SUMIF(106:106,C35,107:107)+100</f>
        <v>100</v>
      </c>
      <c r="K35" s="538">
        <v>2</v>
      </c>
      <c r="L35" s="2488"/>
      <c r="M35" s="2483"/>
      <c r="N35" s="2483"/>
      <c r="O35" s="2483"/>
      <c r="P35" s="3420"/>
      <c r="Q35" s="1263" t="str">
        <f t="shared" si="11"/>
        <v>建筑结构</v>
      </c>
      <c r="R35" s="667" t="s">
        <v>14</v>
      </c>
      <c r="S35" s="668">
        <f t="shared" si="12"/>
        <v>100</v>
      </c>
      <c r="T35" s="667" t="s">
        <v>14</v>
      </c>
      <c r="U35" s="668">
        <f t="shared" si="13"/>
        <v>100</v>
      </c>
      <c r="V35" s="667" t="s">
        <v>14</v>
      </c>
      <c r="W35" s="668">
        <f t="shared" si="14"/>
        <v>100</v>
      </c>
      <c r="X35" s="1265"/>
      <c r="Y35" s="3422"/>
      <c r="Z35" s="1264" t="str">
        <f t="shared" si="15"/>
        <v>建筑结构</v>
      </c>
      <c r="AA35" s="1264">
        <f t="shared" si="3"/>
        <v>1</v>
      </c>
      <c r="AB35" s="1264">
        <f t="shared" si="4"/>
        <v>1</v>
      </c>
      <c r="AC35" s="1812">
        <f t="shared" si="5"/>
        <v>1</v>
      </c>
    </row>
    <row r="36" spans="1:29" ht="15">
      <c r="A36" s="409"/>
      <c r="B36" s="364" t="s">
        <v>1785</v>
      </c>
      <c r="C36" s="399" t="s">
        <v>3484</v>
      </c>
      <c r="D36" s="374">
        <v>100</v>
      </c>
      <c r="E36" s="399" t="s">
        <v>3484</v>
      </c>
      <c r="F36" s="400">
        <f>SUMIF(108:108,E36,109:109)-SUMIF(108:108,C36,109:109)+100</f>
        <v>100</v>
      </c>
      <c r="G36" s="399" t="s">
        <v>3484</v>
      </c>
      <c r="H36" s="374">
        <f>SUMIF(108:108,G36,109:109)-SUMIF(108:108,C36,109:109)+100</f>
        <v>100</v>
      </c>
      <c r="I36" s="399" t="s">
        <v>3484</v>
      </c>
      <c r="J36" s="374">
        <f>SUMIF(108:108,I36,109:109)-SUMIF(108:108,C36,109:109)+100</f>
        <v>100</v>
      </c>
      <c r="K36" s="538">
        <v>2</v>
      </c>
      <c r="L36" s="2488"/>
      <c r="M36" s="2483"/>
      <c r="N36" s="2483"/>
      <c r="O36" s="2483"/>
      <c r="P36" s="3420"/>
      <c r="Q36" s="1263" t="str">
        <f t="shared" si="11"/>
        <v>公共部分装修</v>
      </c>
      <c r="R36" s="667" t="s">
        <v>14</v>
      </c>
      <c r="S36" s="668">
        <f t="shared" si="12"/>
        <v>100</v>
      </c>
      <c r="T36" s="667" t="s">
        <v>14</v>
      </c>
      <c r="U36" s="668">
        <f t="shared" si="13"/>
        <v>100</v>
      </c>
      <c r="V36" s="667" t="s">
        <v>14</v>
      </c>
      <c r="W36" s="668">
        <f t="shared" si="14"/>
        <v>100</v>
      </c>
      <c r="X36" s="1265"/>
      <c r="Y36" s="3422"/>
      <c r="Z36" s="1264" t="str">
        <f t="shared" si="15"/>
        <v>公共部分装修</v>
      </c>
      <c r="AA36" s="1264">
        <f t="shared" si="3"/>
        <v>1</v>
      </c>
      <c r="AB36" s="1264">
        <f t="shared" si="4"/>
        <v>1</v>
      </c>
      <c r="AC36" s="1812">
        <f t="shared" si="5"/>
        <v>1</v>
      </c>
    </row>
    <row r="37" spans="1:29" ht="1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f>C37</f>
        <v>0.83</v>
      </c>
      <c r="J37" s="374">
        <f>LOOKUP(I37,111:111,112:112)-LOOKUP(C37,111:111,112:112)+100</f>
        <v>100</v>
      </c>
      <c r="K37" s="538">
        <v>1</v>
      </c>
      <c r="L37" s="2488"/>
      <c r="M37" s="2483"/>
      <c r="N37" s="2483"/>
      <c r="O37" s="2483"/>
      <c r="P37" s="3420"/>
      <c r="Q37" s="1263" t="str">
        <f t="shared" si="11"/>
        <v>成新度</v>
      </c>
      <c r="R37" s="667" t="s">
        <v>14</v>
      </c>
      <c r="S37" s="668">
        <f t="shared" si="12"/>
        <v>100</v>
      </c>
      <c r="T37" s="667" t="s">
        <v>14</v>
      </c>
      <c r="U37" s="668">
        <f t="shared" si="13"/>
        <v>100</v>
      </c>
      <c r="V37" s="667" t="s">
        <v>14</v>
      </c>
      <c r="W37" s="668">
        <f t="shared" si="14"/>
        <v>100</v>
      </c>
      <c r="X37" s="1265"/>
      <c r="Y37" s="3422"/>
      <c r="Z37" s="1264" t="str">
        <f t="shared" si="15"/>
        <v>成新度</v>
      </c>
      <c r="AA37" s="1264">
        <f t="shared" si="3"/>
        <v>1</v>
      </c>
      <c r="AB37" s="1264">
        <f t="shared" si="4"/>
        <v>1</v>
      </c>
      <c r="AC37" s="1812">
        <f t="shared" si="5"/>
        <v>1</v>
      </c>
    </row>
    <row r="38" spans="1:29" s="102" customFormat="1" ht="15">
      <c r="A38" s="410"/>
      <c r="B38" s="364" t="s">
        <v>1818</v>
      </c>
      <c r="C38" s="399" t="s">
        <v>3486</v>
      </c>
      <c r="D38" s="119">
        <v>100</v>
      </c>
      <c r="E38" s="399" t="s">
        <v>3486</v>
      </c>
      <c r="F38" s="400">
        <f>SUMIF(113:113,E38,114:114)-SUMIF(113:113,C38,114:114)+100</f>
        <v>100</v>
      </c>
      <c r="G38" s="399" t="s">
        <v>3486</v>
      </c>
      <c r="H38" s="374">
        <f>SUMIF(113:113,G38,114:114)-SUMIF(113:113,C38,114:114)+100</f>
        <v>100</v>
      </c>
      <c r="I38" s="399" t="s">
        <v>3486</v>
      </c>
      <c r="J38" s="374">
        <f>SUMIF(113:113,I38,114:114)-SUMIF(113:113,C38,114:114)+100</f>
        <v>100</v>
      </c>
      <c r="K38" s="538">
        <v>2</v>
      </c>
      <c r="L38" s="2484"/>
      <c r="M38" s="2436"/>
      <c r="N38" s="2436"/>
      <c r="O38" s="2436"/>
      <c r="P38" s="3420"/>
      <c r="Q38" s="530" t="str">
        <f t="shared" si="11"/>
        <v>写字楼等级</v>
      </c>
      <c r="R38" s="664" t="s">
        <v>14</v>
      </c>
      <c r="S38" s="665">
        <f t="shared" si="12"/>
        <v>100</v>
      </c>
      <c r="T38" s="664" t="s">
        <v>14</v>
      </c>
      <c r="U38" s="665">
        <f t="shared" si="13"/>
        <v>100</v>
      </c>
      <c r="V38" s="664" t="s">
        <v>14</v>
      </c>
      <c r="W38" s="665">
        <f t="shared" si="14"/>
        <v>100</v>
      </c>
      <c r="X38" s="666"/>
      <c r="Y38" s="3422"/>
      <c r="Z38" s="50" t="str">
        <f t="shared" si="15"/>
        <v>写字楼等级</v>
      </c>
      <c r="AA38" s="50">
        <f t="shared" si="3"/>
        <v>1</v>
      </c>
      <c r="AB38" s="50">
        <f t="shared" si="4"/>
        <v>1</v>
      </c>
      <c r="AC38" s="802">
        <f t="shared" si="5"/>
        <v>1</v>
      </c>
    </row>
    <row r="39" spans="1:29" ht="15">
      <c r="A39" s="409"/>
      <c r="B39" s="364" t="s">
        <v>1819</v>
      </c>
      <c r="C39" s="399" t="s">
        <v>3491</v>
      </c>
      <c r="D39" s="374">
        <v>100</v>
      </c>
      <c r="E39" s="399" t="s">
        <v>3491</v>
      </c>
      <c r="F39" s="400">
        <f>SUMIF(115:115,E39,116:116)-SUMIF(115:115,C39,116:116)+100</f>
        <v>100</v>
      </c>
      <c r="G39" s="399" t="s">
        <v>3491</v>
      </c>
      <c r="H39" s="374">
        <f>SUMIF(115:115,G39,116:116)-SUMIF(115:115,C39,116:116)+100</f>
        <v>100</v>
      </c>
      <c r="I39" s="399" t="s">
        <v>3491</v>
      </c>
      <c r="J39" s="374">
        <f>SUMIF(115:115,I39,116:116)-SUMIF(115:115,C39,116:116)+100</f>
        <v>100</v>
      </c>
      <c r="K39" s="538">
        <v>2</v>
      </c>
      <c r="L39" s="2488"/>
      <c r="M39" s="2483"/>
      <c r="N39" s="2483"/>
      <c r="O39" s="2483"/>
      <c r="P39" s="3420" t="s">
        <v>1696</v>
      </c>
      <c r="Q39" s="1263" t="str">
        <f t="shared" si="11"/>
        <v>物业管理</v>
      </c>
      <c r="R39" s="667" t="s">
        <v>14</v>
      </c>
      <c r="S39" s="668">
        <f t="shared" si="12"/>
        <v>100</v>
      </c>
      <c r="T39" s="667" t="s">
        <v>14</v>
      </c>
      <c r="U39" s="668">
        <f t="shared" si="13"/>
        <v>100</v>
      </c>
      <c r="V39" s="667" t="s">
        <v>14</v>
      </c>
      <c r="W39" s="668">
        <f t="shared" si="14"/>
        <v>100</v>
      </c>
      <c r="X39" s="1265"/>
      <c r="Y39" s="3422" t="s">
        <v>1696</v>
      </c>
      <c r="Z39" s="1264" t="str">
        <f t="shared" si="15"/>
        <v>物业管理</v>
      </c>
      <c r="AA39" s="1264">
        <f t="shared" si="3"/>
        <v>1</v>
      </c>
      <c r="AB39" s="1264">
        <f t="shared" si="4"/>
        <v>1</v>
      </c>
      <c r="AC39" s="1812">
        <f t="shared" si="5"/>
        <v>1</v>
      </c>
    </row>
    <row r="40" spans="1:29" ht="15">
      <c r="A40" s="409"/>
      <c r="B40" s="364" t="s">
        <v>1787</v>
      </c>
      <c r="C40" s="399" t="s">
        <v>3496</v>
      </c>
      <c r="D40" s="374">
        <v>100</v>
      </c>
      <c r="E40" s="399" t="s">
        <v>3496</v>
      </c>
      <c r="F40" s="400">
        <f>SUMIF(117:117,E40,118:118)-SUMIF(117:117,C40,118:118)+100</f>
        <v>100</v>
      </c>
      <c r="G40" s="399" t="s">
        <v>3496</v>
      </c>
      <c r="H40" s="374">
        <f>SUMIF(117:117,G40,118:118)-SUMIF(117:117,C40,118:118)+100</f>
        <v>100</v>
      </c>
      <c r="I40" s="399" t="s">
        <v>3496</v>
      </c>
      <c r="J40" s="374">
        <f>SUMIF(117:117,I40,118:118)-SUMIF(117:117,C40,118:118)+100</f>
        <v>100</v>
      </c>
      <c r="K40" s="538">
        <v>1</v>
      </c>
      <c r="L40" s="2488"/>
      <c r="M40" s="2483"/>
      <c r="N40" s="2483"/>
      <c r="O40" s="2483"/>
      <c r="P40" s="3420"/>
      <c r="Q40" s="1263" t="str">
        <f t="shared" si="11"/>
        <v>市政基础设施</v>
      </c>
      <c r="R40" s="667" t="s">
        <v>14</v>
      </c>
      <c r="S40" s="668">
        <f t="shared" si="12"/>
        <v>100</v>
      </c>
      <c r="T40" s="667" t="s">
        <v>14</v>
      </c>
      <c r="U40" s="668">
        <f t="shared" si="13"/>
        <v>100</v>
      </c>
      <c r="V40" s="667" t="s">
        <v>14</v>
      </c>
      <c r="W40" s="668">
        <f t="shared" si="14"/>
        <v>100</v>
      </c>
      <c r="X40" s="1265"/>
      <c r="Y40" s="3422"/>
      <c r="Z40" s="1264" t="str">
        <f t="shared" si="15"/>
        <v>市政基础设施</v>
      </c>
      <c r="AA40" s="1264">
        <f t="shared" si="3"/>
        <v>1</v>
      </c>
      <c r="AB40" s="1264">
        <f t="shared" si="4"/>
        <v>1</v>
      </c>
      <c r="AC40" s="1812">
        <f t="shared" si="5"/>
        <v>1</v>
      </c>
    </row>
    <row r="41" spans="1:29" ht="15">
      <c r="A41" s="409"/>
      <c r="B41" s="364" t="s">
        <v>1789</v>
      </c>
      <c r="C41" s="542" t="s">
        <v>3499</v>
      </c>
      <c r="D41" s="374">
        <v>100</v>
      </c>
      <c r="E41" s="542" t="s">
        <v>3499</v>
      </c>
      <c r="F41" s="400">
        <f>SUMIF(119:119,E41,120:120)-SUMIF(119:119,C41,120:120)+100</f>
        <v>100</v>
      </c>
      <c r="G41" s="542" t="s">
        <v>3499</v>
      </c>
      <c r="H41" s="374">
        <f>SUMIF(119:119,G41,120:120)-SUMIF(119:119,C41,120:120)+100</f>
        <v>100</v>
      </c>
      <c r="I41" s="542" t="s">
        <v>3499</v>
      </c>
      <c r="J41" s="374">
        <f>SUMIF(119:119,I41,120:120)-SUMIF(119:119,C41,120:120)+100</f>
        <v>100</v>
      </c>
      <c r="K41" s="538">
        <v>5</v>
      </c>
      <c r="L41" s="2488"/>
      <c r="M41" s="2483"/>
      <c r="N41" s="2483"/>
      <c r="O41" s="2483"/>
      <c r="P41" s="3420"/>
      <c r="Q41" s="1263" t="str">
        <f t="shared" si="11"/>
        <v>层高</v>
      </c>
      <c r="R41" s="667" t="s">
        <v>14</v>
      </c>
      <c r="S41" s="668">
        <f t="shared" si="12"/>
        <v>100</v>
      </c>
      <c r="T41" s="667" t="s">
        <v>14</v>
      </c>
      <c r="U41" s="668">
        <f t="shared" si="13"/>
        <v>100</v>
      </c>
      <c r="V41" s="667" t="s">
        <v>14</v>
      </c>
      <c r="W41" s="668">
        <f t="shared" si="14"/>
        <v>100</v>
      </c>
      <c r="X41" s="1265"/>
      <c r="Y41" s="342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20"/>
      <c r="Q42" s="531" t="str">
        <f t="shared" si="11"/>
        <v>单套建筑面积</v>
      </c>
      <c r="R42" s="669" t="s">
        <v>14</v>
      </c>
      <c r="S42" s="670">
        <f t="shared" si="12"/>
        <v>100</v>
      </c>
      <c r="T42" s="669" t="s">
        <v>14</v>
      </c>
      <c r="U42" s="670">
        <f t="shared" si="13"/>
        <v>100</v>
      </c>
      <c r="V42" s="669" t="s">
        <v>14</v>
      </c>
      <c r="W42" s="670">
        <f t="shared" si="14"/>
        <v>100</v>
      </c>
      <c r="X42" s="671"/>
      <c r="Y42" s="3422"/>
      <c r="Z42" s="672" t="str">
        <f t="shared" si="15"/>
        <v>单套建筑面积</v>
      </c>
      <c r="AA42" s="1264">
        <f t="shared" si="3"/>
        <v>1</v>
      </c>
      <c r="AB42" s="1264">
        <f t="shared" si="4"/>
        <v>1</v>
      </c>
      <c r="AC42" s="1812">
        <f t="shared" si="5"/>
        <v>1</v>
      </c>
    </row>
    <row r="43" spans="1:29" ht="15">
      <c r="A43" s="409"/>
      <c r="B43" s="364" t="s">
        <v>1792</v>
      </c>
      <c r="C43" s="399" t="s">
        <v>3501</v>
      </c>
      <c r="D43" s="374">
        <v>100</v>
      </c>
      <c r="E43" s="399" t="s">
        <v>3501</v>
      </c>
      <c r="F43" s="400">
        <f>SUMIF(123:123,E43,124:124)-SUMIF(123:123,C43,124:124)+100</f>
        <v>100</v>
      </c>
      <c r="G43" s="399" t="s">
        <v>3504</v>
      </c>
      <c r="H43" s="374">
        <f>SUMIF(123:123,G43,124:124)-SUMIF(123:123,C43,124:124)+100</f>
        <v>96</v>
      </c>
      <c r="I43" s="399" t="s">
        <v>3501</v>
      </c>
      <c r="J43" s="374">
        <f>SUMIF(123:123,I43,124:124)-SUMIF(123:123,C43,124:124)+100</f>
        <v>100</v>
      </c>
      <c r="K43" s="3528">
        <v>2</v>
      </c>
      <c r="L43" s="2488"/>
      <c r="M43" s="2483"/>
      <c r="N43" s="2483"/>
      <c r="O43" s="2483"/>
      <c r="P43" s="3420"/>
      <c r="Q43" s="1263" t="str">
        <f t="shared" si="11"/>
        <v>内部装修</v>
      </c>
      <c r="R43" s="667" t="s">
        <v>14</v>
      </c>
      <c r="S43" s="668">
        <f t="shared" si="12"/>
        <v>100</v>
      </c>
      <c r="T43" s="667" t="s">
        <v>14</v>
      </c>
      <c r="U43" s="668">
        <f t="shared" si="13"/>
        <v>96</v>
      </c>
      <c r="V43" s="667" t="s">
        <v>14</v>
      </c>
      <c r="W43" s="668">
        <f t="shared" si="14"/>
        <v>100</v>
      </c>
      <c r="X43" s="1265"/>
      <c r="Y43" s="3422"/>
      <c r="Z43" s="1264" t="str">
        <f t="shared" si="15"/>
        <v>内部装修</v>
      </c>
      <c r="AA43" s="1264">
        <f t="shared" si="3"/>
        <v>1</v>
      </c>
      <c r="AB43" s="1264">
        <f t="shared" si="4"/>
        <v>1.0416666666666667</v>
      </c>
      <c r="AC43" s="1812">
        <f t="shared" si="5"/>
        <v>1</v>
      </c>
    </row>
    <row r="44" spans="1:29" ht="28.8">
      <c r="A44" s="409"/>
      <c r="B44" s="364" t="s">
        <v>1707</v>
      </c>
      <c r="C44" s="399" t="s">
        <v>3508</v>
      </c>
      <c r="D44" s="374">
        <v>100</v>
      </c>
      <c r="E44" s="399" t="s">
        <v>3508</v>
      </c>
      <c r="F44" s="400">
        <f>SUMIF(125:125,E44,126:126)-SUMIF(125:125,C44,126:126)+100</f>
        <v>100</v>
      </c>
      <c r="G44" s="399" t="s">
        <v>3508</v>
      </c>
      <c r="H44" s="374">
        <f>SUMIF(125:125,G44,126:126)-SUMIF(125:125,C44,126:126)+100</f>
        <v>100</v>
      </c>
      <c r="I44" s="399" t="s">
        <v>3508</v>
      </c>
      <c r="J44" s="374">
        <f>SUMIF(125:125,I44,126:126)-SUMIF(125:125,C44,126:126)+100</f>
        <v>100</v>
      </c>
      <c r="K44" s="538">
        <v>2</v>
      </c>
      <c r="L44" s="2488"/>
      <c r="M44" s="2483"/>
      <c r="N44" s="2483"/>
      <c r="O44" s="2483"/>
      <c r="P44" s="3420"/>
      <c r="Q44" s="1263" t="str">
        <f t="shared" si="11"/>
        <v>内部装修维护情况</v>
      </c>
      <c r="R44" s="667" t="s">
        <v>14</v>
      </c>
      <c r="S44" s="668">
        <f t="shared" si="12"/>
        <v>100</v>
      </c>
      <c r="T44" s="667" t="s">
        <v>14</v>
      </c>
      <c r="U44" s="668">
        <f t="shared" si="13"/>
        <v>100</v>
      </c>
      <c r="V44" s="667" t="s">
        <v>14</v>
      </c>
      <c r="W44" s="668">
        <f t="shared" si="14"/>
        <v>100</v>
      </c>
      <c r="X44" s="1265"/>
      <c r="Y44" s="342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420"/>
      <c r="Q45" s="530">
        <f t="shared" si="11"/>
        <v>111</v>
      </c>
      <c r="R45" s="664" t="s">
        <v>14</v>
      </c>
      <c r="S45" s="665">
        <f t="shared" si="12"/>
        <v>100</v>
      </c>
      <c r="T45" s="664" t="s">
        <v>14</v>
      </c>
      <c r="U45" s="665">
        <f t="shared" si="13"/>
        <v>100</v>
      </c>
      <c r="V45" s="664" t="s">
        <v>14</v>
      </c>
      <c r="W45" s="665">
        <f t="shared" si="14"/>
        <v>100</v>
      </c>
      <c r="X45" s="666"/>
      <c r="Y45" s="342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20"/>
      <c r="Q46" s="1263">
        <f t="shared" si="11"/>
        <v>111</v>
      </c>
      <c r="R46" s="667" t="s">
        <v>14</v>
      </c>
      <c r="S46" s="668">
        <f t="shared" si="12"/>
        <v>100</v>
      </c>
      <c r="T46" s="667" t="s">
        <v>14</v>
      </c>
      <c r="U46" s="668">
        <f t="shared" si="13"/>
        <v>100</v>
      </c>
      <c r="V46" s="667" t="s">
        <v>14</v>
      </c>
      <c r="W46" s="668">
        <f t="shared" si="14"/>
        <v>100</v>
      </c>
      <c r="X46" s="1265"/>
      <c r="Y46" s="342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21"/>
      <c r="Q47" s="1263">
        <f t="shared" si="11"/>
        <v>111</v>
      </c>
      <c r="R47" s="667" t="s">
        <v>14</v>
      </c>
      <c r="S47" s="668">
        <f t="shared" si="12"/>
        <v>100</v>
      </c>
      <c r="T47" s="667" t="s">
        <v>14</v>
      </c>
      <c r="U47" s="668">
        <f t="shared" si="13"/>
        <v>100</v>
      </c>
      <c r="V47" s="667" t="s">
        <v>14</v>
      </c>
      <c r="W47" s="668">
        <f t="shared" si="14"/>
        <v>100</v>
      </c>
      <c r="X47" s="1265"/>
      <c r="Y47" s="3423"/>
      <c r="Z47" s="1264">
        <f t="shared" si="15"/>
        <v>111</v>
      </c>
      <c r="AA47" s="1264">
        <f t="shared" si="3"/>
        <v>1</v>
      </c>
      <c r="AB47" s="1264">
        <f t="shared" si="4"/>
        <v>1</v>
      </c>
      <c r="AC47" s="1812">
        <f t="shared" si="5"/>
        <v>1</v>
      </c>
    </row>
    <row r="48" spans="1:29" ht="14.4">
      <c r="A48" s="416" t="s">
        <v>1708</v>
      </c>
      <c r="B48" s="417"/>
      <c r="C48" s="1081" t="s">
        <v>0</v>
      </c>
      <c r="D48" s="418"/>
      <c r="E48" s="419">
        <f>售价案例!Q2</f>
        <v>12563</v>
      </c>
      <c r="F48" s="420"/>
      <c r="G48" s="421">
        <f>售价案例!Q3</f>
        <v>10102</v>
      </c>
      <c r="H48" s="422"/>
      <c r="I48" s="419">
        <f>售价案例!Q4</f>
        <v>13021</v>
      </c>
      <c r="J48" s="422"/>
      <c r="K48" s="674"/>
      <c r="L48" s="2490"/>
      <c r="M48" s="2483"/>
      <c r="N48" s="2483"/>
      <c r="O48" s="2483"/>
      <c r="P48" s="3395" t="str">
        <f>A48</f>
        <v>成交单价（元/平方米）</v>
      </c>
      <c r="Q48" s="3424"/>
      <c r="R48" s="3412">
        <f>E48</f>
        <v>12563</v>
      </c>
      <c r="S48" s="3412"/>
      <c r="T48" s="3412">
        <f>G48</f>
        <v>10102</v>
      </c>
      <c r="U48" s="3412"/>
      <c r="V48" s="3412">
        <f>I48</f>
        <v>13021</v>
      </c>
      <c r="W48" s="3412"/>
      <c r="X48" s="385"/>
      <c r="Y48" s="673"/>
      <c r="Z48" s="385"/>
      <c r="AA48" s="385"/>
      <c r="AB48" s="385"/>
      <c r="AC48" s="555"/>
    </row>
    <row r="49" spans="1:29" ht="15" thickBot="1">
      <c r="A49" s="423" t="s">
        <v>1793</v>
      </c>
      <c r="B49" s="424"/>
      <c r="C49" s="1082">
        <f>R50</f>
        <v>11801</v>
      </c>
      <c r="D49" s="2141" t="s">
        <v>2136</v>
      </c>
      <c r="E49" s="1083">
        <f>R49</f>
        <v>12318</v>
      </c>
      <c r="F49" s="2142"/>
      <c r="G49" s="1082">
        <f>T49</f>
        <v>10318</v>
      </c>
      <c r="H49" s="2142"/>
      <c r="I49" s="1083">
        <f>V49</f>
        <v>12767</v>
      </c>
      <c r="J49" s="2142"/>
      <c r="K49" s="2144">
        <f>F49+H49+J49</f>
        <v>0</v>
      </c>
      <c r="L49" s="2490"/>
      <c r="M49" s="2483"/>
      <c r="N49" s="2483"/>
      <c r="O49" s="2483"/>
      <c r="P49" s="3395" t="str">
        <f>A49</f>
        <v>比较价值（元/平方米）</v>
      </c>
      <c r="Q49" s="3424"/>
      <c r="R49" s="3412">
        <f>IF(F1="售价",ROUND(PRODUCT(R48,AA7:AA47),0),ROUND(PRODUCT(R48,AA7:AA47),1))</f>
        <v>12318</v>
      </c>
      <c r="S49" s="3412"/>
      <c r="T49" s="3412">
        <f>IF(F1="售价",ROUND(PRODUCT(T48,AB7:AB47),0),ROUND(PRODUCT(T48,AB7:AB47),1))</f>
        <v>10318</v>
      </c>
      <c r="U49" s="3412"/>
      <c r="V49" s="3412">
        <f>IF(F1="售价",ROUND(PRODUCT(V48,AC7:AC47),0),ROUND(PRODUCT(V48,AC7:AC47),1))</f>
        <v>12767</v>
      </c>
      <c r="W49" s="3412"/>
      <c r="X49" s="385"/>
      <c r="Y49" s="385"/>
      <c r="Z49" s="385"/>
      <c r="AA49" s="385"/>
      <c r="AB49" s="385"/>
      <c r="AC49" s="555"/>
    </row>
    <row r="50" spans="1:29" ht="15" thickBot="1">
      <c r="A50" s="427" t="s">
        <v>1794</v>
      </c>
      <c r="B50" s="428"/>
      <c r="C50" s="351">
        <f>R50</f>
        <v>11801</v>
      </c>
      <c r="D50" s="351"/>
      <c r="E50" s="351"/>
      <c r="F50" s="351"/>
      <c r="G50" s="351"/>
      <c r="H50" s="351"/>
      <c r="I50" s="351"/>
      <c r="J50" s="429"/>
      <c r="K50" s="675"/>
      <c r="L50" s="2490"/>
      <c r="M50" s="2483"/>
      <c r="N50" s="2483"/>
      <c r="O50" s="2483"/>
      <c r="P50" s="3425" t="str">
        <f>A50</f>
        <v>估价对象XX用房的比较价值（楼面单价，元/平方米）</v>
      </c>
      <c r="Q50" s="3426"/>
      <c r="R50" s="3427">
        <f>IF(F1="售价",ROUND(IF(D49="简单平均",AVERAGE(R49:V49),R49*F49+T49*H49+V49*J49),0),ROUND(IF(D49="简单平均",AVERAGE(R49:V49),R49*F49+T49*H49+V49*J49),1))</f>
        <v>11801</v>
      </c>
      <c r="S50" s="3427"/>
      <c r="T50" s="3427"/>
      <c r="U50" s="3427"/>
      <c r="V50" s="3427"/>
      <c r="W50" s="3427"/>
      <c r="X50" s="1798"/>
      <c r="Y50" s="1798"/>
      <c r="Z50" s="1798"/>
      <c r="AA50" s="1798"/>
      <c r="AB50" s="1798"/>
      <c r="AC50" s="1799"/>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f>IF(E48&lt;E49,E49/E48-1,E48/E49-1)</f>
        <v>1.9889592466309391E-2</v>
      </c>
      <c r="F53" s="435" t="str">
        <f>IF(OR(E53&gt;=0.3,E53&lt;=-0.3),"超过30%","")</f>
        <v/>
      </c>
      <c r="G53" s="434">
        <f>IF(G48&lt;G49,G49/G48-1,G48/G49-1)</f>
        <v>2.1381904573351873E-2</v>
      </c>
      <c r="H53" s="435" t="str">
        <f>IF(OR(G53&gt;=0.3,G53&lt;=-0.3),"超过30%","")</f>
        <v/>
      </c>
      <c r="I53" s="434">
        <f>IF(I48&lt;I49,I49/I48-1,I48/I49-1)</f>
        <v>1.9895041904911093E-2</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f>IF(E49&lt;G49,G49/E49-1,E49/G49-1)</f>
        <v>0.19383601473153722</v>
      </c>
      <c r="F54" s="435" t="str">
        <f>IF(OR(E54&gt;=0.2,E54&lt;=-0.2),"超过20%","")</f>
        <v/>
      </c>
      <c r="G54" s="434">
        <f>IF(G49&lt;I49,I49/G49-1,G49/I49-1)</f>
        <v>0.23735220003876711</v>
      </c>
      <c r="H54" s="435" t="str">
        <f>IF(OR(G54&gt;=0.2,G54&lt;=-0.2),"超过20%","")</f>
        <v>超过20%</v>
      </c>
      <c r="I54" s="434">
        <f>IF(I49&lt;E49,E49/I49-1,I49/E49-1)</f>
        <v>3.6450722519889567E-2</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f>IF(E48&lt;G48,G48/E48-1,E48/G48-1)</f>
        <v>0.24361512571767974</v>
      </c>
      <c r="F55" s="435" t="str">
        <f>IF(OR(E55&gt;=0.3,E55&lt;=-0.3),"超过30%","")</f>
        <v/>
      </c>
      <c r="G55" s="434">
        <f>IF(G48&lt;I48,I48/G48-1,G48/I48-1)</f>
        <v>0.28895268263710161</v>
      </c>
      <c r="H55" s="435" t="str">
        <f>IF(OR(G55&gt;=0.3,G55&lt;=-0.3),"超过30%","")</f>
        <v/>
      </c>
      <c r="I55" s="434">
        <f>IF(I48&lt;E48,E48/I48-1,I48/E48-1)</f>
        <v>3.645626044734529E-2</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8" t="s">
        <v>1798</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3"/>
      <c r="Q59" s="2506"/>
      <c r="R59" s="2506"/>
      <c r="S59" s="2506"/>
      <c r="T59" s="2506"/>
      <c r="U59" s="2506"/>
      <c r="V59" s="2506"/>
      <c r="W59" s="2506"/>
      <c r="X59" s="2506"/>
      <c r="Y59" s="2506"/>
      <c r="Z59" s="2506"/>
      <c r="AA59" s="2506"/>
      <c r="AB59" s="2506"/>
      <c r="AC59" s="2506"/>
    </row>
    <row r="60" spans="1:29" s="102" customFormat="1">
      <c r="A60" s="443"/>
      <c r="B60" s="444"/>
      <c r="C60" s="1102">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4.4">
      <c r="A62" s="455" t="s">
        <v>1681</v>
      </c>
      <c r="B62" s="444"/>
      <c r="C62" s="456" t="s">
        <v>1776</v>
      </c>
      <c r="D62" s="3170" t="s">
        <v>3468</v>
      </c>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4.4" thickBot="1">
      <c r="A63" s="455"/>
      <c r="B63" s="444"/>
      <c r="C63" s="445">
        <v>100</v>
      </c>
      <c r="D63" s="446">
        <v>102</v>
      </c>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ht="14.4">
      <c r="A64" s="379" t="s">
        <v>1719</v>
      </c>
      <c r="B64" s="460" t="s">
        <v>1685</v>
      </c>
      <c r="C64" s="461" t="str">
        <f>C9</f>
        <v>商务办公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16384:16384"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16384:16384" ht="29.4" thickTop="1">
      <c r="A66" s="367"/>
      <c r="B66" s="469" t="s">
        <v>1688</v>
      </c>
      <c r="C66" s="513" t="s">
        <v>3469</v>
      </c>
      <c r="D66" s="513" t="s">
        <v>3470</v>
      </c>
      <c r="E66" s="513" t="s">
        <v>3471</v>
      </c>
      <c r="F66" s="513" t="s">
        <v>3472</v>
      </c>
      <c r="G66" s="513" t="s">
        <v>3473</v>
      </c>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c r="XFD66" s="347">
        <v>20</v>
      </c>
    </row>
    <row r="67" spans="1:29 16384:16384" ht="14.4" thickBot="1">
      <c r="A67" s="367"/>
      <c r="B67" s="474"/>
      <c r="C67" s="467">
        <f>D67-2</f>
        <v>92</v>
      </c>
      <c r="D67" s="467">
        <f t="shared" ref="D67:E67" si="17">E67-2</f>
        <v>94</v>
      </c>
      <c r="E67" s="467">
        <f t="shared" si="17"/>
        <v>96</v>
      </c>
      <c r="F67" s="467">
        <f>G67-2</f>
        <v>98</v>
      </c>
      <c r="G67" s="467">
        <v>100</v>
      </c>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16384:16384"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16384:16384">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16384:16384"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8"/>
      <c r="O70" s="2518"/>
      <c r="P70" s="2526"/>
      <c r="Q70" s="2504"/>
      <c r="R70" s="2483"/>
      <c r="S70" s="2483"/>
      <c r="T70" s="2483"/>
      <c r="U70" s="2483"/>
      <c r="V70" s="2483"/>
      <c r="W70" s="2483"/>
      <c r="X70" s="2483"/>
      <c r="Y70" s="2483"/>
      <c r="Z70" s="2483"/>
      <c r="AA70" s="2483"/>
      <c r="AB70" s="2483"/>
      <c r="AC70" s="2483"/>
    </row>
    <row r="71" spans="1:29 16384:16384"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16384:16384"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16384:16384"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16384:16384"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16384:16384"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16384:16384"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16384:16384"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16384:16384" ht="14.4"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16384:16384"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16384:16384" ht="14.4" thickBot="1">
      <c r="A80" s="367"/>
      <c r="B80" s="474"/>
      <c r="C80" s="475">
        <v>100</v>
      </c>
      <c r="D80" s="475">
        <f>C80-$K17</f>
        <v>98</v>
      </c>
      <c r="E80" s="475">
        <f>D80-$K17</f>
        <v>96</v>
      </c>
      <c r="F80" s="475">
        <f>E80-$K17</f>
        <v>94</v>
      </c>
      <c r="G80" s="475">
        <f>F80-$K17</f>
        <v>92</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98</v>
      </c>
      <c r="E82" s="475">
        <f>D82-$K19</f>
        <v>96</v>
      </c>
      <c r="F82" s="475">
        <f>E82-$K19</f>
        <v>94</v>
      </c>
      <c r="G82" s="475">
        <f>F82-$K19</f>
        <v>92</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99</v>
      </c>
      <c r="E84" s="475">
        <f>D84-$K21</f>
        <v>98</v>
      </c>
      <c r="F84" s="475">
        <f>E84-$K21</f>
        <v>97</v>
      </c>
      <c r="G84" s="475">
        <f>F84-$K21</f>
        <v>96</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98</v>
      </c>
      <c r="E86" s="475">
        <f>D86-$K23</f>
        <v>96</v>
      </c>
      <c r="F86" s="475">
        <f>E86-$K23</f>
        <v>94</v>
      </c>
      <c r="G86" s="475">
        <f>F86-$K23</f>
        <v>92</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3171" t="s">
        <v>3474</v>
      </c>
      <c r="D87" s="3172" t="s">
        <v>3475</v>
      </c>
      <c r="E87" s="3172" t="s">
        <v>3476</v>
      </c>
      <c r="F87" s="3172" t="s">
        <v>3477</v>
      </c>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18"/>
      <c r="O88" s="2518"/>
      <c r="P88" s="2526"/>
      <c r="Q88" s="2504"/>
      <c r="R88" s="2436"/>
      <c r="S88" s="2436"/>
      <c r="T88" s="2436"/>
      <c r="U88" s="2436"/>
      <c r="V88" s="2436"/>
      <c r="W88" s="2436"/>
      <c r="X88" s="2436"/>
      <c r="Y88" s="2436"/>
      <c r="Z88" s="2436"/>
      <c r="AA88" s="2436"/>
      <c r="AB88" s="2436"/>
      <c r="AC88" s="2436"/>
    </row>
    <row r="89" spans="1:29" s="102" customFormat="1" ht="15" thickTop="1">
      <c r="A89" s="370"/>
      <c r="B89" s="469" t="str">
        <f>B27</f>
        <v>楼层</v>
      </c>
      <c r="C89" s="3172" t="s">
        <v>3479</v>
      </c>
      <c r="D89" s="3172" t="s">
        <v>3481</v>
      </c>
      <c r="E89" s="3172" t="s">
        <v>3482</v>
      </c>
      <c r="F89" s="1780"/>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3174" t="s">
        <v>3510</v>
      </c>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1737</v>
      </c>
      <c r="C103" s="509" t="str">
        <f>C104&amp;"(含)"&amp;"-"&amp;D104</f>
        <v>0(含)-80</v>
      </c>
      <c r="D103" s="509" t="str">
        <f t="shared" ref="D103:L103" si="24">D104&amp;"(含)"&amp;"-"&amp;E104</f>
        <v>80(含)-150</v>
      </c>
      <c r="E103" s="509" t="str">
        <f t="shared" si="24"/>
        <v>150(含)-300</v>
      </c>
      <c r="F103" s="509" t="str">
        <f t="shared" si="24"/>
        <v>300(含)-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80</v>
      </c>
      <c r="E104" s="6">
        <v>150</v>
      </c>
      <c r="F104" s="6">
        <v>300</v>
      </c>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v>100</v>
      </c>
      <c r="D105" s="467">
        <f>C105-1</f>
        <v>99</v>
      </c>
      <c r="E105" s="467">
        <f t="shared" ref="E105:F105" si="25">D105-1</f>
        <v>98</v>
      </c>
      <c r="F105" s="467">
        <f t="shared" si="25"/>
        <v>97</v>
      </c>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3172" t="s">
        <v>3483</v>
      </c>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3172" t="s">
        <v>3485</v>
      </c>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3172" t="s">
        <v>3487</v>
      </c>
      <c r="D113" s="3172" t="s">
        <v>3488</v>
      </c>
      <c r="E113" s="3172" t="s">
        <v>3489</v>
      </c>
      <c r="F113" s="3172" t="s">
        <v>3490</v>
      </c>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3172" t="s">
        <v>3492</v>
      </c>
      <c r="D115" s="3172" t="s">
        <v>3493</v>
      </c>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3172" t="s">
        <v>3495</v>
      </c>
      <c r="D117" s="3172" t="s">
        <v>3497</v>
      </c>
      <c r="E117" s="3172" t="s">
        <v>3498</v>
      </c>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3173" t="s">
        <v>3500</v>
      </c>
      <c r="D119" s="513"/>
      <c r="E119" s="513"/>
      <c r="F119" s="513"/>
      <c r="G119" s="513"/>
      <c r="H119" s="513"/>
      <c r="I119" s="513"/>
      <c r="J119" s="513"/>
      <c r="K119" s="513"/>
      <c r="L119" s="1816"/>
      <c r="M119" s="1817"/>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3172" t="s">
        <v>3485</v>
      </c>
      <c r="D123" s="3172" t="s">
        <v>3502</v>
      </c>
      <c r="E123" s="3172" t="s">
        <v>3503</v>
      </c>
      <c r="F123" s="3173" t="s">
        <v>3505</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2" zoomScale="70" zoomScaleNormal="70" zoomScaleSheetLayoutView="70" workbookViewId="0">
      <selection activeCell="H41" sqref="H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1001</v>
      </c>
      <c r="D1" s="1271" t="s">
        <v>43</v>
      </c>
      <c r="E1" s="1272" t="s">
        <v>678</v>
      </c>
      <c r="F1" s="999">
        <f ca="1">J53</f>
        <v>37.83</v>
      </c>
      <c r="G1" s="1286">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9">
        <f ca="1">ROUND(D2/10000,4)</f>
        <v>71.690899999999999</v>
      </c>
      <c r="C2" s="1289" t="s">
        <v>879</v>
      </c>
      <c r="D2" s="1375">
        <f ca="1">C40+J29+L46</f>
        <v>716909</v>
      </c>
      <c r="E2" s="1295" t="s">
        <v>880</v>
      </c>
      <c r="F2" s="1296"/>
      <c r="G2" s="2474"/>
      <c r="H2" s="2464"/>
      <c r="I2" s="2464"/>
      <c r="J2" s="2464"/>
      <c r="K2" s="2465"/>
      <c r="L2" s="2464"/>
      <c r="M2" s="2464"/>
    </row>
    <row r="3" spans="1:37" ht="18" customHeight="1" thickBot="1">
      <c r="A3" s="1297" t="s">
        <v>881</v>
      </c>
      <c r="B3" s="1298">
        <f ca="1">IF(ISERROR(D2/F43),0,ROUND(D2/F43,0))</f>
        <v>7564</v>
      </c>
      <c r="C3" s="1289" t="s">
        <v>882</v>
      </c>
      <c r="D3" s="1289"/>
      <c r="E3" s="1295"/>
      <c r="F3" s="1296"/>
      <c r="G3" s="2474"/>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46761</v>
      </c>
      <c r="D5" s="1273" t="s">
        <v>889</v>
      </c>
      <c r="E5" s="1008"/>
      <c r="F5" s="1009"/>
      <c r="G5" s="1292"/>
      <c r="H5" s="291">
        <v>1</v>
      </c>
      <c r="I5" s="292" t="s">
        <v>888</v>
      </c>
      <c r="J5" s="1007">
        <f ca="1">J6+J10+J12</f>
        <v>0</v>
      </c>
      <c r="K5" s="1273" t="s">
        <v>889</v>
      </c>
      <c r="L5" s="1008"/>
      <c r="M5" s="1009"/>
    </row>
    <row r="6" spans="1:37" ht="18" customHeight="1">
      <c r="A6" s="1006" t="s">
        <v>398</v>
      </c>
      <c r="B6" s="3376" t="s">
        <v>694</v>
      </c>
      <c r="C6" s="1011">
        <f ca="1">ROUND(F6*F8*F7*(1-F9),0)</f>
        <v>46703</v>
      </c>
      <c r="D6" s="147" t="s">
        <v>2104</v>
      </c>
      <c r="E6" s="294" t="s">
        <v>696</v>
      </c>
      <c r="F6" s="295">
        <f ca="1">INDIRECT("'数据-取费表'!u"&amp;$G$1)</f>
        <v>1.5</v>
      </c>
      <c r="G6" s="1292"/>
      <c r="H6" s="1006" t="s">
        <v>398</v>
      </c>
      <c r="I6" s="3376" t="s">
        <v>694</v>
      </c>
      <c r="J6" s="293">
        <f ca="1">ROUND(M6*M8*M7*(1-M9),0)</f>
        <v>0</v>
      </c>
      <c r="K6" s="1284" t="s">
        <v>2105</v>
      </c>
      <c r="L6" s="294" t="s">
        <v>696</v>
      </c>
      <c r="M6" s="295">
        <f ca="1">INDIRECT("'数据-取费表'!z"&amp;$G$1)</f>
        <v>0</v>
      </c>
    </row>
    <row r="7" spans="1:37" ht="18" customHeight="1">
      <c r="A7" s="1010"/>
      <c r="B7" s="3377"/>
      <c r="C7" s="1012"/>
      <c r="D7" s="299"/>
      <c r="E7" s="1013" t="s">
        <v>697</v>
      </c>
      <c r="F7" s="295">
        <f ca="1">IF(INDIRECT("'数据-取费表'!ah"&amp;$G$1)="",INDIRECT("'数据-取费表'!k"&amp;$G$1),INDIRECT("'数据-取费表'!ah"&amp;$G$1))</f>
        <v>94.78</v>
      </c>
      <c r="G7" s="1292"/>
      <c r="H7" s="296"/>
      <c r="I7" s="3377"/>
      <c r="J7" s="298"/>
      <c r="K7" s="299"/>
      <c r="L7" s="294" t="s">
        <v>697</v>
      </c>
      <c r="M7" s="295">
        <f ca="1">F7</f>
        <v>94.78</v>
      </c>
    </row>
    <row r="8" spans="1:37" ht="18" customHeight="1">
      <c r="A8" s="296"/>
      <c r="B8" s="3377"/>
      <c r="C8" s="298"/>
      <c r="D8" s="299"/>
      <c r="E8" s="294" t="s">
        <v>698</v>
      </c>
      <c r="F8" s="295">
        <f ca="1">INDIRECT("'数据-取费表'!ai"&amp;$G$1)</f>
        <v>365</v>
      </c>
      <c r="G8" s="1292"/>
      <c r="H8" s="296"/>
      <c r="I8" s="3377"/>
      <c r="J8" s="298"/>
      <c r="K8" s="299"/>
      <c r="L8" s="294" t="s">
        <v>698</v>
      </c>
      <c r="M8" s="295">
        <f ca="1">INDIRECT("'数据-取费表'!ai"&amp;$G$1)</f>
        <v>365</v>
      </c>
    </row>
    <row r="9" spans="1:37" ht="18" customHeight="1">
      <c r="A9" s="296"/>
      <c r="B9" s="3378"/>
      <c r="C9" s="298"/>
      <c r="D9" s="299"/>
      <c r="E9" s="294" t="s">
        <v>699</v>
      </c>
      <c r="F9" s="304">
        <f ca="1">INDIRECT("'数据-取费表'!w"&amp;$G$1)</f>
        <v>0.1</v>
      </c>
      <c r="G9" s="1292"/>
      <c r="H9" s="296"/>
      <c r="I9" s="3378"/>
      <c r="J9" s="298"/>
      <c r="K9" s="299"/>
      <c r="L9" s="305" t="s">
        <v>699</v>
      </c>
      <c r="M9" s="306">
        <f ca="1">INDIRECT("'数据-取费表'!ab"&amp;$G$1)</f>
        <v>0</v>
      </c>
    </row>
    <row r="10" spans="1:37" ht="18" customHeight="1">
      <c r="A10" s="1006" t="s">
        <v>402</v>
      </c>
      <c r="B10" s="1274" t="s">
        <v>700</v>
      </c>
      <c r="C10" s="308">
        <f ca="1">ROUND(IF(F10="押一",C6/12*F11,IF(F10="押二",C6/12*2*F11,IF(F10="押三",C6/12*3*F11,C11*F11))),0)</f>
        <v>58</v>
      </c>
      <c r="D10" s="150" t="s">
        <v>2114</v>
      </c>
      <c r="E10" s="305" t="s">
        <v>701</v>
      </c>
      <c r="F10" s="1053" t="s">
        <v>3458</v>
      </c>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459521</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379120</v>
      </c>
      <c r="D14" s="1257" t="s">
        <v>708</v>
      </c>
      <c r="E14" s="1255"/>
      <c r="F14" s="311"/>
      <c r="G14" s="1292"/>
      <c r="H14" s="928" t="s">
        <v>398</v>
      </c>
      <c r="I14" s="294" t="s">
        <v>709</v>
      </c>
      <c r="J14" s="21">
        <f ca="1">C29</f>
        <v>553640</v>
      </c>
      <c r="K14" s="12"/>
      <c r="L14" s="759"/>
      <c r="M14" s="760"/>
    </row>
    <row r="15" spans="1:37" s="1304" customFormat="1" ht="18" customHeight="1" thickBot="1">
      <c r="A15" s="928" t="s">
        <v>399</v>
      </c>
      <c r="B15" s="294" t="s">
        <v>710</v>
      </c>
      <c r="C15" s="21">
        <f ca="1">ROUND(C14*F15,0)</f>
        <v>18956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1661</v>
      </c>
      <c r="K16" s="1024" t="s">
        <v>715</v>
      </c>
      <c r="L16" s="1025"/>
      <c r="M16" s="1009"/>
    </row>
    <row r="17" spans="1:37" s="1304" customFormat="1" ht="18" customHeight="1">
      <c r="A17" s="928" t="s">
        <v>681</v>
      </c>
      <c r="B17" s="294" t="s">
        <v>716</v>
      </c>
      <c r="C17" s="21">
        <f ca="1">ROUND(F17*(F43+INDIRECT("'数据-取费表'!S"&amp;$G$1)),0)</f>
        <v>18956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7582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424614</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8492</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1661</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12993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-1661</v>
      </c>
      <c r="K25" s="1032" t="s">
        <v>753</v>
      </c>
      <c r="L25" s="1033"/>
      <c r="M25" s="1034"/>
    </row>
    <row r="26" spans="1:37" ht="18" customHeight="1">
      <c r="A26" s="928" t="s">
        <v>397</v>
      </c>
      <c r="B26" s="294" t="s">
        <v>754</v>
      </c>
      <c r="C26" s="21">
        <f ca="1">ROUND((C19+C20)*F26,0)</f>
        <v>64966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553640</v>
      </c>
      <c r="D29" s="1029"/>
      <c r="E29" s="1027"/>
      <c r="F29" s="1030"/>
      <c r="G29" s="1303"/>
      <c r="H29" s="325" t="s">
        <v>396</v>
      </c>
      <c r="I29" s="326" t="s">
        <v>768</v>
      </c>
      <c r="J29" s="327">
        <f ca="1">ROUND(J26/(1+F40)^F41,0)</f>
        <v>0</v>
      </c>
      <c r="K29" s="328" t="s">
        <v>769</v>
      </c>
      <c r="L29" s="329"/>
      <c r="M29" s="330">
        <f ca="1">INDIRECT("'数据-取费表'!k"&amp;$G$1)</f>
        <v>94.78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10183</v>
      </c>
      <c r="D30" s="1024" t="s">
        <v>715</v>
      </c>
      <c r="E30" s="1025"/>
      <c r="F30" s="1009"/>
      <c r="G30" s="1292"/>
      <c r="H30" s="2466"/>
      <c r="I30" s="1305"/>
      <c r="J30" s="1306"/>
      <c r="K30" s="121"/>
      <c r="L30" s="2467"/>
      <c r="M30" s="2468"/>
    </row>
    <row r="31" spans="1:37" ht="18" customHeight="1">
      <c r="A31" s="928" t="s">
        <v>398</v>
      </c>
      <c r="B31" s="294" t="s">
        <v>719</v>
      </c>
      <c r="C31" s="2140">
        <f ca="1">ROUND(IF(AND(项目基本情况!B11="自然人",项目基本情况!B10="北京市"),C6*F31/(1+'数据-取费表'!C42),C32+C33+C34),0)</f>
        <v>7828</v>
      </c>
      <c r="D31" s="1257" t="s">
        <v>720</v>
      </c>
      <c r="E31" s="1256" t="s">
        <v>770</v>
      </c>
      <c r="F31" s="2139" t="str">
        <f>IF(项目基本情况!B11="企业","——",IF(M47="住宅",IF(F6*F7*F8/12/(1+'数据-取费表'!F30)&gt;100000,4%,2.5%),IF(F6*F7*F8/12/(1+'数据-取费表'!F30)&gt;100000,12%,7%)))</f>
        <v>——</v>
      </c>
      <c r="G31" s="1292"/>
      <c r="H31" s="2565" t="s">
        <v>2304</v>
      </c>
      <c r="I31" s="1305"/>
      <c r="J31" s="1306"/>
      <c r="K31" s="121"/>
      <c r="L31" s="2467"/>
      <c r="M31" s="2468"/>
    </row>
    <row r="32" spans="1:37" ht="18" customHeight="1">
      <c r="A32" s="928" t="s">
        <v>397</v>
      </c>
      <c r="B32" s="294" t="s">
        <v>723</v>
      </c>
      <c r="C32" s="21">
        <f ca="1">IF(项目基本情况!B11="自然人","——",ROUND(C6*F32/(1+'数据-取费表'!C42),0))</f>
        <v>2491</v>
      </c>
      <c r="D32" s="1256" t="s">
        <v>724</v>
      </c>
      <c r="E32" s="294" t="s">
        <v>712</v>
      </c>
      <c r="F32" s="322">
        <f>'数据-取费表'!B41</f>
        <v>5.6000000000000001E-2</v>
      </c>
      <c r="G32" s="1292"/>
      <c r="H32" s="2466"/>
      <c r="I32" s="1305"/>
      <c r="J32" s="1306"/>
      <c r="K32" s="121"/>
      <c r="L32" s="2467"/>
      <c r="M32" s="2468"/>
    </row>
    <row r="33" spans="1:18" ht="18" customHeight="1">
      <c r="A33" s="928" t="s">
        <v>399</v>
      </c>
      <c r="B33" s="294" t="s">
        <v>727</v>
      </c>
      <c r="C33" s="21">
        <f ca="1">IF(项目基本情况!B11="自然人","——",IF(D33="按租金收入计税",ROUND(C6*F33/(1+'数据-取费表'!C42),0),IF(D33="按房产原值计税",ROUND(C29*F33*0.7,0),INDIRECT("'数据-取费表'!Aj"&amp;$G$1))))</f>
        <v>5337</v>
      </c>
      <c r="D33" s="1278" t="s">
        <v>3333</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f ca="1">IF(项目基本情况!B11="自然人","——",ROUND(F34*F35,0))</f>
        <v>0</v>
      </c>
      <c r="D34" s="316" t="s">
        <v>731</v>
      </c>
      <c r="E34" s="294" t="s">
        <v>732</v>
      </c>
      <c r="F34" s="317">
        <f>'数据-取费表'!B52</f>
        <v>1.5</v>
      </c>
      <c r="G34" s="1292"/>
      <c r="H34" s="2466"/>
      <c r="I34" s="1305"/>
      <c r="J34" s="1306"/>
      <c r="K34" s="2471"/>
      <c r="L34" s="2472"/>
      <c r="M34" s="2472"/>
    </row>
    <row r="35" spans="1:18" ht="18" customHeight="1">
      <c r="A35" s="1040"/>
      <c r="B35" s="1038"/>
      <c r="C35" s="26"/>
      <c r="D35" s="319"/>
      <c r="E35" s="294" t="s">
        <v>736</v>
      </c>
      <c r="F35" s="295">
        <f ca="1">INDIRECT("'数据-取费表'!r"&amp;$G$1)</f>
        <v>0</v>
      </c>
      <c r="G35" s="1292"/>
      <c r="H35" s="2466"/>
      <c r="I35" s="1305"/>
      <c r="J35" s="1306"/>
      <c r="K35" s="2470"/>
      <c r="L35" s="2469"/>
      <c r="M35" s="2469"/>
    </row>
    <row r="36" spans="1:18" ht="18" customHeight="1">
      <c r="A36" s="1039" t="s">
        <v>402</v>
      </c>
      <c r="B36" s="294" t="s">
        <v>738</v>
      </c>
      <c r="C36" s="21">
        <f ca="1">ROUND(C29*F36,0)</f>
        <v>1661</v>
      </c>
      <c r="D36" s="1256" t="s">
        <v>771</v>
      </c>
      <c r="E36" s="294" t="s">
        <v>712</v>
      </c>
      <c r="F36" s="320">
        <f ca="1">INDIRECT("'数据-取费表'!Ak"&amp;$G$1)</f>
        <v>3.0000000000000001E-3</v>
      </c>
      <c r="G36" s="1292"/>
      <c r="H36" s="2469"/>
      <c r="I36" s="1305"/>
      <c r="J36" s="1306"/>
      <c r="K36" s="2330"/>
      <c r="L36" s="2469"/>
      <c r="M36" s="2469"/>
    </row>
    <row r="37" spans="1:18" ht="18" customHeight="1">
      <c r="A37" s="928" t="s">
        <v>437</v>
      </c>
      <c r="B37" s="294" t="s">
        <v>742</v>
      </c>
      <c r="C37" s="21">
        <f ca="1">ROUND(C13*F37,0)</f>
        <v>460</v>
      </c>
      <c r="D37" s="1256" t="s">
        <v>743</v>
      </c>
      <c r="E37" s="294" t="s">
        <v>744</v>
      </c>
      <c r="F37" s="321">
        <f ca="1">INDIRECT("'数据-取费表'!Al"&amp;$G$1)</f>
        <v>1E-3</v>
      </c>
      <c r="G37" s="1292"/>
      <c r="H37" s="2469"/>
      <c r="I37" s="1305"/>
      <c r="J37" s="1306"/>
      <c r="K37" s="2330"/>
      <c r="L37" s="2469"/>
      <c r="M37" s="2469"/>
    </row>
    <row r="38" spans="1:18" ht="18" customHeight="1" thickBot="1">
      <c r="A38" s="1026" t="s">
        <v>684</v>
      </c>
      <c r="B38" s="1027" t="s">
        <v>728</v>
      </c>
      <c r="C38" s="1028">
        <f ca="1">ROUND(C5*F38,0)</f>
        <v>234</v>
      </c>
      <c r="D38" s="1029" t="s">
        <v>748</v>
      </c>
      <c r="E38" s="1027" t="s">
        <v>744</v>
      </c>
      <c r="F38" s="1023">
        <f ca="1">INDIRECT("'数据-取费表'!Am"&amp;$G$1)</f>
        <v>5.0000000000000001E-3</v>
      </c>
      <c r="G38" s="1292"/>
      <c r="H38" s="2469"/>
      <c r="I38" s="1305"/>
      <c r="J38" s="1306"/>
      <c r="K38" s="2467"/>
      <c r="L38" s="2469"/>
      <c r="M38" s="2469"/>
    </row>
    <row r="39" spans="1:18" ht="24.6" customHeight="1" thickTop="1">
      <c r="A39" s="1016" t="s">
        <v>394</v>
      </c>
      <c r="B39" s="1031" t="s">
        <v>772</v>
      </c>
      <c r="C39" s="302">
        <f ca="1">C5-C30</f>
        <v>36578</v>
      </c>
      <c r="D39" s="1032" t="s">
        <v>773</v>
      </c>
      <c r="E39" s="1033"/>
      <c r="F39" s="1034"/>
      <c r="G39" s="1292"/>
      <c r="H39" s="2469"/>
      <c r="I39" s="1305"/>
      <c r="J39" s="1306"/>
      <c r="K39" s="2467"/>
      <c r="L39" s="2469"/>
      <c r="M39" s="2469"/>
    </row>
    <row r="40" spans="1:18" ht="18" customHeight="1">
      <c r="A40" s="291" t="s">
        <v>395</v>
      </c>
      <c r="B40" s="292" t="s">
        <v>774</v>
      </c>
      <c r="C40" s="293">
        <f ca="1">ROUND(C39*(1-((1+F42)/(1+F40))^F41)/(F40-F42),0)</f>
        <v>702551</v>
      </c>
      <c r="D40" s="316" t="s">
        <v>758</v>
      </c>
      <c r="E40" s="294" t="s">
        <v>759</v>
      </c>
      <c r="F40" s="304">
        <f ca="1">INDIRECT("'数据-取费表'!I"&amp;$G$1)</f>
        <v>5.5E-2</v>
      </c>
      <c r="G40" s="1292"/>
      <c r="H40" s="1366">
        <f ca="1">C39/C5</f>
        <v>0.78223305746241523</v>
      </c>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37.83</v>
      </c>
      <c r="G41" s="1292"/>
      <c r="H41" s="121"/>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7412</v>
      </c>
      <c r="D43" s="328" t="s">
        <v>777</v>
      </c>
      <c r="E43" s="329" t="s">
        <v>778</v>
      </c>
      <c r="F43" s="330">
        <f ca="1">INDIRECT("'数据-取费表'!k"&amp;$G$1)</f>
        <v>94.78</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5" t="s">
        <v>3349</v>
      </c>
      <c r="B45" s="1307"/>
      <c r="C45" s="1376">
        <f ca="1">ROUND((C68-C40)/10000,4)</f>
        <v>-73.602699999999999</v>
      </c>
      <c r="D45" s="3126" t="s">
        <v>3350</v>
      </c>
      <c r="E45" s="1307"/>
      <c r="F45" s="1307"/>
      <c r="O45" s="1310" t="s">
        <v>808</v>
      </c>
      <c r="P45" s="1366"/>
      <c r="Q45" s="1366"/>
      <c r="R45" s="1366"/>
    </row>
    <row r="46" spans="1:18" s="1292" customFormat="1" ht="13.8" thickBot="1">
      <c r="A46" s="1311" t="s">
        <v>809</v>
      </c>
      <c r="C46" s="1312">
        <f ca="1">ROUND(C45,0)</f>
        <v>-74</v>
      </c>
      <c r="D46" s="1313" t="str">
        <f>C2</f>
        <v>万元</v>
      </c>
      <c r="I46" s="1314" t="s">
        <v>810</v>
      </c>
      <c r="J46" s="1315"/>
      <c r="K46" s="1316"/>
      <c r="L46" s="1317">
        <f ca="1">IF(M47="住宅",0,IF(L48&gt;J51,L60,J60))</f>
        <v>14358</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3459</v>
      </c>
      <c r="K47" s="1323" t="s">
        <v>816</v>
      </c>
      <c r="L47" s="1324">
        <f ca="1">INDIRECT("'数据-取费表'!d"&amp;$G$1)</f>
        <v>50</v>
      </c>
      <c r="M47" s="1288" t="str">
        <f>IF(ISNUMBER(FIND("住宅",C1)),"住宅","非住宅")</f>
        <v>非住宅</v>
      </c>
      <c r="O47" s="1325" t="s">
        <v>403</v>
      </c>
      <c r="P47" s="1326" t="s">
        <v>817</v>
      </c>
      <c r="Q47" s="1327">
        <f ca="1">C40+J29</f>
        <v>702551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3460</v>
      </c>
      <c r="K48" s="1330" t="s">
        <v>820</v>
      </c>
      <c r="L48" s="1331">
        <f ca="1">INDIRECT("'数据-取费表'!f"&amp;$G$1)</f>
        <v>37.83</v>
      </c>
      <c r="O48" s="1325" t="s">
        <v>404</v>
      </c>
      <c r="P48" s="1326" t="s">
        <v>821</v>
      </c>
      <c r="Q48" s="1327">
        <f ca="1">J60</f>
        <v>14358</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2015</v>
      </c>
      <c r="K49" s="1330" t="s">
        <v>824</v>
      </c>
      <c r="L49" s="1333"/>
      <c r="O49" s="1334" t="s">
        <v>405</v>
      </c>
      <c r="P49" s="1326" t="s">
        <v>825</v>
      </c>
      <c r="Q49" s="1327">
        <f ca="1">C29</f>
        <v>553640</v>
      </c>
      <c r="R49" s="1327" t="s">
        <v>818</v>
      </c>
    </row>
    <row r="50" spans="1:18" s="1292" customFormat="1" ht="13.8" thickBot="1">
      <c r="A50" s="922"/>
      <c r="B50" s="925"/>
      <c r="C50" s="926"/>
      <c r="D50" s="899"/>
      <c r="E50" s="993" t="s">
        <v>697</v>
      </c>
      <c r="F50" s="994">
        <f ca="1">F7</f>
        <v>94.78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80537</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37.83</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37.83</v>
      </c>
      <c r="K53" s="3374" t="s">
        <v>837</v>
      </c>
      <c r="L53" s="3375"/>
      <c r="O53" s="1325" t="s">
        <v>409</v>
      </c>
      <c r="P53" s="1326" t="s">
        <v>838</v>
      </c>
      <c r="Q53" s="1327">
        <f ca="1">Q47+Q48</f>
        <v>716909</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0.20300000000000001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459521</v>
      </c>
      <c r="D56" s="1352"/>
      <c r="E56" s="1353"/>
      <c r="F56" s="1345"/>
      <c r="I56" s="1354" t="s">
        <v>842</v>
      </c>
      <c r="J56" s="1355" t="s">
        <v>3461</v>
      </c>
      <c r="K56" s="1328" t="s">
        <v>843</v>
      </c>
      <c r="L56" s="1331" t="str">
        <f ca="1">IF(L48&lt;J51,"——",L48-J51)</f>
        <v>——</v>
      </c>
      <c r="O56" s="1325" t="s">
        <v>403</v>
      </c>
      <c r="P56" s="1326" t="s">
        <v>817</v>
      </c>
      <c r="Q56" s="1327">
        <f ca="1">C40+J29</f>
        <v>702551</v>
      </c>
      <c r="R56" s="1327" t="s">
        <v>818</v>
      </c>
    </row>
    <row r="57" spans="1:18" s="1292" customFormat="1" ht="24.6" thickBot="1">
      <c r="A57" s="1356"/>
      <c r="B57" s="896" t="s">
        <v>767</v>
      </c>
      <c r="C57" s="230">
        <f ca="1">C29</f>
        <v>553640</v>
      </c>
      <c r="D57" s="1357"/>
      <c r="E57" s="1358"/>
      <c r="F57" s="1359"/>
      <c r="I57" s="1360" t="s">
        <v>844</v>
      </c>
      <c r="J57" s="1361">
        <f ca="1">IF(OR(M47="住宅",J51&lt;L48,J56="是"),"——",J51-L48)</f>
        <v>12.170000000000002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2121</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221456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14358</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702551</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1661</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460</v>
      </c>
      <c r="D65" s="910" t="s">
        <v>743</v>
      </c>
      <c r="E65" s="896" t="s">
        <v>744</v>
      </c>
      <c r="F65" s="321">
        <f t="shared" ca="1" si="0"/>
        <v>1E-3</v>
      </c>
      <c r="I65" s="1367" t="s">
        <v>867</v>
      </c>
      <c r="J65" s="610">
        <v>40</v>
      </c>
      <c r="K65" s="610">
        <v>30</v>
      </c>
      <c r="L65" s="610">
        <v>50</v>
      </c>
      <c r="M65" s="1369">
        <v>0.02</v>
      </c>
      <c r="O65" s="1325" t="s">
        <v>403</v>
      </c>
      <c r="P65" s="1326" t="s">
        <v>868</v>
      </c>
      <c r="Q65" s="1327">
        <f ca="1">C40+J29</f>
        <v>702551</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-2121</v>
      </c>
      <c r="D67" s="909" t="s">
        <v>753</v>
      </c>
      <c r="E67" s="914"/>
      <c r="F67" s="915"/>
      <c r="O67" s="1334" t="s">
        <v>405</v>
      </c>
      <c r="P67" s="1326" t="s">
        <v>850</v>
      </c>
      <c r="Q67" s="1370">
        <f ca="1">L51</f>
        <v>80537</v>
      </c>
      <c r="R67" s="1327" t="s">
        <v>870</v>
      </c>
    </row>
    <row r="68" spans="1:18" s="1292" customFormat="1" ht="16.2" thickBot="1">
      <c r="A68" s="893" t="s">
        <v>395</v>
      </c>
      <c r="B68" s="894" t="s">
        <v>774</v>
      </c>
      <c r="C68" s="293">
        <f ca="1">ROUND(C67*(1-((1+F70)/(1+F68))^F69)/(F68-F70),0)</f>
        <v>-33476</v>
      </c>
      <c r="D68" s="911" t="s">
        <v>758</v>
      </c>
      <c r="E68" s="896" t="s">
        <v>759</v>
      </c>
      <c r="F68" s="304">
        <f ca="1">F40</f>
        <v>5.5E-2</v>
      </c>
      <c r="O68" s="1334" t="s">
        <v>406</v>
      </c>
      <c r="P68" s="1371" t="s">
        <v>871</v>
      </c>
      <c r="Q68" s="1327">
        <f ca="1">ROUND(Q69-Q70*Q71,0)</f>
        <v>4412</v>
      </c>
      <c r="R68" s="1327" t="s">
        <v>414</v>
      </c>
    </row>
    <row r="69" spans="1:18" s="1292" customFormat="1" ht="13.8" thickBot="1">
      <c r="A69" s="897"/>
      <c r="B69" s="898"/>
      <c r="C69" s="298"/>
      <c r="D69" s="916" t="s">
        <v>762</v>
      </c>
      <c r="E69" s="896" t="s">
        <v>763</v>
      </c>
      <c r="F69" s="324">
        <f ca="1">F41</f>
        <v>37.83</v>
      </c>
      <c r="O69" s="1334" t="s">
        <v>411</v>
      </c>
      <c r="P69" s="1371" t="s">
        <v>872</v>
      </c>
      <c r="Q69" s="1327">
        <f ca="1">C39</f>
        <v>36578</v>
      </c>
      <c r="R69" s="1327" t="s">
        <v>818</v>
      </c>
    </row>
    <row r="70" spans="1:18" s="1292" customFormat="1" ht="13.8" thickBot="1">
      <c r="A70" s="900"/>
      <c r="B70" s="901"/>
      <c r="C70" s="302"/>
      <c r="D70" s="912"/>
      <c r="E70" s="896" t="s">
        <v>766</v>
      </c>
      <c r="F70" s="991"/>
      <c r="O70" s="1334" t="s">
        <v>412</v>
      </c>
      <c r="P70" s="1371" t="s">
        <v>873</v>
      </c>
      <c r="Q70" s="1327">
        <f ca="1">C13</f>
        <v>459521</v>
      </c>
      <c r="R70" s="1327" t="s">
        <v>818</v>
      </c>
    </row>
    <row r="71" spans="1:18" s="1292" customFormat="1" ht="13.8" thickBot="1">
      <c r="A71" s="917" t="s">
        <v>396</v>
      </c>
      <c r="B71" s="918" t="s">
        <v>776</v>
      </c>
      <c r="C71" s="327">
        <f ca="1">ROUND(C68/F71,0)</f>
        <v>-353</v>
      </c>
      <c r="D71" s="919" t="s">
        <v>777</v>
      </c>
      <c r="E71" s="920" t="s">
        <v>778</v>
      </c>
      <c r="F71" s="330">
        <f ca="1">F43</f>
        <v>94.78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32166</v>
      </c>
      <c r="D75" s="1292"/>
      <c r="E75" s="1292"/>
      <c r="F75" s="1292"/>
      <c r="K75" s="1309"/>
      <c r="L75" s="1292"/>
      <c r="O75" s="1325" t="s">
        <v>409</v>
      </c>
      <c r="P75" s="1326" t="s">
        <v>838</v>
      </c>
      <c r="Q75" s="1327">
        <f ca="1">Q65+Q66</f>
        <v>702551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0.121</v>
      </c>
    </row>
    <row r="80" spans="1:18">
      <c r="B80" s="331" t="s">
        <v>800</v>
      </c>
      <c r="C80" s="266">
        <f ca="1">ROUND(C75/C39,3)</f>
        <v>0.879</v>
      </c>
    </row>
    <row r="81" spans="2:3">
      <c r="B81" s="262" t="s">
        <v>801</v>
      </c>
      <c r="C81" s="230"/>
    </row>
    <row r="82" spans="2:3">
      <c r="B82" s="265" t="s">
        <v>802</v>
      </c>
      <c r="C82" s="267">
        <f ca="1">1-C83</f>
        <v>0.34599999999999997</v>
      </c>
    </row>
    <row r="83" spans="2:3">
      <c r="B83" s="265" t="s">
        <v>803</v>
      </c>
      <c r="C83" s="266">
        <f ca="1">ROUND(C13/C40,3)</f>
        <v>0.65400000000000003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2433</v>
      </c>
      <c r="B1" s="2579"/>
      <c r="C1" s="2591"/>
      <c r="D1" s="2591"/>
      <c r="E1" s="2580"/>
      <c r="F1" s="2581"/>
      <c r="G1" s="2582"/>
      <c r="J1" s="2585" t="s">
        <v>2312</v>
      </c>
      <c r="K1" s="2586"/>
      <c r="L1" s="2586"/>
      <c r="M1" s="2586"/>
      <c r="N1" s="2586"/>
      <c r="O1" s="2586"/>
      <c r="P1" s="2586"/>
      <c r="Q1" s="2586"/>
      <c r="R1" s="2587"/>
      <c r="S1" s="2588"/>
      <c r="T1" s="2588"/>
      <c r="U1" s="2588"/>
    </row>
    <row r="2" spans="1:22" s="2600" customFormat="1" ht="13.2" customHeight="1">
      <c r="A2" s="1293" t="s">
        <v>2313</v>
      </c>
      <c r="B2" s="2590" t="e">
        <f>IF(D2="——",C40,C40+E2)</f>
        <v>#DIV/0!</v>
      </c>
      <c r="C2" s="2591" t="s">
        <v>2314</v>
      </c>
      <c r="D2" s="3134" t="s">
        <v>3356</v>
      </c>
      <c r="E2" s="3135"/>
      <c r="F2" s="2593"/>
      <c r="G2" s="2594"/>
      <c r="H2" s="2595"/>
      <c r="I2" s="2596"/>
      <c r="J2" s="3428" t="s">
        <v>2315</v>
      </c>
      <c r="K2" s="3429"/>
      <c r="L2" s="2597" t="s">
        <v>2316</v>
      </c>
      <c r="M2" s="2597" t="s">
        <v>2317</v>
      </c>
      <c r="N2" s="2597" t="s">
        <v>2318</v>
      </c>
      <c r="O2" s="2597" t="s">
        <v>2319</v>
      </c>
      <c r="P2" s="2597" t="s">
        <v>2320</v>
      </c>
      <c r="Q2" s="2598" t="s">
        <v>2321</v>
      </c>
      <c r="R2" s="2599" t="s">
        <v>2322</v>
      </c>
      <c r="S2" s="2588"/>
      <c r="T2" s="2588"/>
      <c r="U2" s="2588"/>
      <c r="V2" s="2596"/>
    </row>
    <row r="3" spans="1:22" s="2600" customFormat="1" ht="13.2" customHeight="1">
      <c r="A3" s="2601" t="s">
        <v>2323</v>
      </c>
      <c r="B3" s="2602" t="e">
        <f>ROUND(B2*10000/B4,0)</f>
        <v>#DIV/0!</v>
      </c>
      <c r="C3" s="2591" t="s">
        <v>2324</v>
      </c>
      <c r="D3" s="2591"/>
      <c r="E3" s="2592"/>
      <c r="F3" s="2593"/>
      <c r="G3" s="2594"/>
      <c r="H3" s="2595"/>
      <c r="I3" s="2596"/>
      <c r="J3" s="3430" t="s">
        <v>2325</v>
      </c>
      <c r="K3" s="3431"/>
      <c r="L3" s="2603"/>
      <c r="M3" s="2603"/>
      <c r="N3" s="2603"/>
      <c r="O3" s="2603"/>
      <c r="P3" s="2603"/>
      <c r="Q3" s="2604"/>
      <c r="R3" s="2605">
        <f>SUM(L3:Q3)</f>
        <v>0</v>
      </c>
      <c r="S3" s="2588"/>
      <c r="T3" s="2588"/>
      <c r="U3" s="2588"/>
      <c r="V3" s="2596"/>
    </row>
    <row r="4" spans="1:22" s="2600" customFormat="1" ht="13.2" customHeight="1">
      <c r="A4" s="2606" t="s">
        <v>2326</v>
      </c>
      <c r="B4" s="2607"/>
      <c r="C4" s="2591"/>
      <c r="D4" s="2591"/>
      <c r="E4" s="2592"/>
      <c r="F4" s="2593"/>
      <c r="G4" s="2594"/>
      <c r="H4" s="2595"/>
      <c r="I4" s="2596"/>
      <c r="J4" s="3430" t="s">
        <v>2327</v>
      </c>
      <c r="K4" s="3431"/>
      <c r="L4" s="2608"/>
      <c r="M4" s="2608"/>
      <c r="N4" s="2608"/>
      <c r="O4" s="2608"/>
      <c r="P4" s="2608"/>
      <c r="Q4" s="2609"/>
      <c r="R4" s="2610">
        <f>SUM(L4:Q4)</f>
        <v>0</v>
      </c>
      <c r="S4" s="2588"/>
      <c r="T4" s="2588"/>
      <c r="U4" s="2588"/>
      <c r="V4" s="2596"/>
    </row>
    <row r="5" spans="1:22" s="2600" customFormat="1" ht="13.2" customHeight="1" thickBot="1">
      <c r="A5" s="2611" t="s">
        <v>2328</v>
      </c>
      <c r="B5" s="2612"/>
      <c r="C5" s="2591"/>
      <c r="D5" s="2613"/>
      <c r="E5" s="2593"/>
      <c r="F5" s="2593"/>
      <c r="G5" s="2594"/>
      <c r="H5" s="2595"/>
      <c r="I5" s="2596"/>
      <c r="J5" s="2614" t="s">
        <v>2329</v>
      </c>
      <c r="K5" s="2615"/>
      <c r="L5" s="2615"/>
      <c r="M5" s="2616"/>
      <c r="N5" s="2616"/>
      <c r="O5" s="2616"/>
      <c r="P5" s="2616"/>
      <c r="Q5" s="2616"/>
      <c r="R5" s="2599">
        <f>SUM(R14,R19,R24,R25,R27,R28)</f>
        <v>0</v>
      </c>
      <c r="S5" s="2588"/>
      <c r="T5" s="2588" t="s">
        <v>2330</v>
      </c>
      <c r="U5" s="2588" t="e">
        <f>ROUND(R5*10000/365/R3,1)</f>
        <v>#DIV/0!</v>
      </c>
      <c r="V5" s="2596"/>
    </row>
    <row r="6" spans="1:22" s="2600" customFormat="1" ht="13.2" customHeight="1" thickBot="1">
      <c r="A6" s="3432" t="s">
        <v>2331</v>
      </c>
      <c r="B6" s="3433"/>
      <c r="C6" s="3434"/>
      <c r="D6" s="2617"/>
      <c r="E6" s="2618"/>
      <c r="F6" s="2619"/>
      <c r="G6" s="2620"/>
      <c r="H6" s="2595"/>
      <c r="I6" s="2596"/>
      <c r="J6" s="3435">
        <v>1</v>
      </c>
      <c r="K6" s="3436" t="s">
        <v>2332</v>
      </c>
      <c r="L6" s="2621" t="s">
        <v>2333</v>
      </c>
      <c r="M6" s="2622" t="s">
        <v>2334</v>
      </c>
      <c r="N6" s="2622" t="s">
        <v>2335</v>
      </c>
      <c r="O6" s="2622" t="s">
        <v>2336</v>
      </c>
      <c r="P6" s="2622" t="s">
        <v>2337</v>
      </c>
      <c r="Q6" s="2622" t="s">
        <v>2338</v>
      </c>
      <c r="R6" s="2605" t="s">
        <v>2339</v>
      </c>
      <c r="S6" s="2588"/>
      <c r="T6" s="2588" t="s">
        <v>2340</v>
      </c>
      <c r="U6" s="2588"/>
      <c r="V6" s="2596"/>
    </row>
    <row r="7" spans="1:22" s="2600" customFormat="1" ht="13.2" customHeight="1">
      <c r="A7" s="2623" t="s">
        <v>2341</v>
      </c>
      <c r="B7" s="2624"/>
      <c r="C7" s="2625"/>
      <c r="D7" s="2626">
        <f>SUM(D9,D10,D11,D17,0)</f>
        <v>0</v>
      </c>
      <c r="E7" s="2627" t="e">
        <f>E9+E10+E11+E17</f>
        <v>#DIV/0!</v>
      </c>
      <c r="F7" s="2628"/>
      <c r="G7" s="2629"/>
      <c r="H7" s="2595"/>
      <c r="I7" s="2596"/>
      <c r="J7" s="3435"/>
      <c r="K7" s="3437"/>
      <c r="L7" s="2630" t="s">
        <v>2342</v>
      </c>
      <c r="M7" s="2631"/>
      <c r="N7" s="2607"/>
      <c r="O7" s="2632"/>
      <c r="P7" s="2632"/>
      <c r="Q7" s="2633">
        <v>365</v>
      </c>
      <c r="R7" s="2634">
        <f>ROUND(M7*N7*O7*P7*Q7/10000,0)</f>
        <v>0</v>
      </c>
      <c r="S7" s="2588"/>
      <c r="T7" s="2588" t="s">
        <v>2343</v>
      </c>
      <c r="U7" s="2588"/>
      <c r="V7" s="2596"/>
    </row>
    <row r="8" spans="1:22" s="2600" customFormat="1" ht="13.2" customHeight="1">
      <c r="A8" s="2635" t="s">
        <v>2344</v>
      </c>
      <c r="B8" s="3439" t="s">
        <v>2345</v>
      </c>
      <c r="C8" s="3440"/>
      <c r="D8" s="2636" t="s">
        <v>2346</v>
      </c>
      <c r="E8" s="2637" t="s">
        <v>2347</v>
      </c>
      <c r="F8" s="2638" t="s">
        <v>2348</v>
      </c>
      <c r="G8" s="2639"/>
      <c r="H8" s="2595"/>
      <c r="I8" s="2596"/>
      <c r="J8" s="3435"/>
      <c r="K8" s="3437"/>
      <c r="L8" s="2630" t="s">
        <v>2349</v>
      </c>
      <c r="M8" s="2631"/>
      <c r="N8" s="2607"/>
      <c r="O8" s="2632"/>
      <c r="P8" s="2632"/>
      <c r="Q8" s="2633">
        <v>365</v>
      </c>
      <c r="R8" s="2634">
        <f t="shared" ref="R8:R13" si="0">ROUND(M8*N8*O8*P8*Q8/10000,0)</f>
        <v>0</v>
      </c>
      <c r="S8" s="2588"/>
      <c r="T8" s="2588" t="s">
        <v>2350</v>
      </c>
      <c r="U8" s="2588"/>
      <c r="V8" s="2596"/>
    </row>
    <row r="9" spans="1:22" s="2600" customFormat="1" ht="13.2" customHeight="1">
      <c r="A9" s="2635">
        <v>1</v>
      </c>
      <c r="B9" s="3439" t="s">
        <v>2351</v>
      </c>
      <c r="C9" s="3440"/>
      <c r="D9" s="2636">
        <f>ROUND(D6*E9,0)</f>
        <v>0</v>
      </c>
      <c r="E9" s="2640"/>
      <c r="F9" s="2641" t="s">
        <v>2352</v>
      </c>
      <c r="G9" s="2620"/>
      <c r="H9" s="2595"/>
      <c r="I9" s="2596"/>
      <c r="J9" s="3435"/>
      <c r="K9" s="3437"/>
      <c r="L9" s="2630" t="s">
        <v>2353</v>
      </c>
      <c r="M9" s="2631"/>
      <c r="N9" s="2607"/>
      <c r="O9" s="2632"/>
      <c r="P9" s="2632"/>
      <c r="Q9" s="2633">
        <v>365</v>
      </c>
      <c r="R9" s="2634">
        <f t="shared" si="0"/>
        <v>0</v>
      </c>
      <c r="S9" s="2588"/>
      <c r="T9" s="2588"/>
      <c r="U9" s="2588"/>
      <c r="V9" s="2596"/>
    </row>
    <row r="10" spans="1:22" s="2600" customFormat="1" ht="13.2" customHeight="1">
      <c r="A10" s="2635">
        <v>2</v>
      </c>
      <c r="B10" s="3439" t="s">
        <v>2354</v>
      </c>
      <c r="C10" s="3440"/>
      <c r="D10" s="2636">
        <f>ROUND(D6*E10,0)</f>
        <v>0</v>
      </c>
      <c r="E10" s="2640"/>
      <c r="F10" s="2641" t="s">
        <v>2355</v>
      </c>
      <c r="G10" s="2620"/>
      <c r="H10" s="2595"/>
      <c r="I10" s="2596"/>
      <c r="J10" s="3435"/>
      <c r="K10" s="3437"/>
      <c r="L10" s="2630" t="s">
        <v>2356</v>
      </c>
      <c r="M10" s="2631"/>
      <c r="N10" s="2607"/>
      <c r="O10" s="2632"/>
      <c r="P10" s="2632"/>
      <c r="Q10" s="2633">
        <v>365</v>
      </c>
      <c r="R10" s="2634">
        <f t="shared" si="0"/>
        <v>0</v>
      </c>
      <c r="S10" s="2588"/>
      <c r="T10" s="2588"/>
      <c r="U10" s="2588"/>
      <c r="V10" s="2596"/>
    </row>
    <row r="11" spans="1:22" s="2600" customFormat="1" ht="13.2" customHeight="1">
      <c r="A11" s="2635">
        <v>3</v>
      </c>
      <c r="B11" s="3439" t="s">
        <v>2357</v>
      </c>
      <c r="C11" s="3440"/>
      <c r="D11" s="2636">
        <f>D12+D14+D15+D16</f>
        <v>0</v>
      </c>
      <c r="E11" s="2642" t="e">
        <f>D11/D6</f>
        <v>#DIV/0!</v>
      </c>
      <c r="F11" s="2638"/>
      <c r="G11" s="2639"/>
      <c r="H11" s="2595"/>
      <c r="I11" s="2596"/>
      <c r="J11" s="3435"/>
      <c r="K11" s="3437"/>
      <c r="L11" s="2630" t="s">
        <v>2358</v>
      </c>
      <c r="M11" s="2631"/>
      <c r="N11" s="2607"/>
      <c r="O11" s="2632"/>
      <c r="P11" s="2632"/>
      <c r="Q11" s="2633">
        <v>365</v>
      </c>
      <c r="R11" s="2634">
        <f t="shared" si="0"/>
        <v>0</v>
      </c>
      <c r="S11" s="2588"/>
      <c r="T11" s="2588"/>
      <c r="U11" s="2588"/>
      <c r="V11" s="2596"/>
    </row>
    <row r="12" spans="1:22" s="2600" customFormat="1" ht="13.2" customHeight="1">
      <c r="A12" s="2643" t="s">
        <v>2359</v>
      </c>
      <c r="B12" s="3441" t="s">
        <v>2360</v>
      </c>
      <c r="C12" s="3442"/>
      <c r="D12" s="2644">
        <f>ROUND(D13*1.2%*(1-30%),0)</f>
        <v>0</v>
      </c>
      <c r="E12" s="2645">
        <v>1.2E-2</v>
      </c>
      <c r="F12" s="2638" t="s">
        <v>2361</v>
      </c>
      <c r="G12" s="2639"/>
      <c r="H12" s="2595"/>
      <c r="I12" s="2596"/>
      <c r="J12" s="3435"/>
      <c r="K12" s="3437"/>
      <c r="L12" s="2630" t="s">
        <v>2362</v>
      </c>
      <c r="M12" s="2631"/>
      <c r="N12" s="2607"/>
      <c r="O12" s="2632"/>
      <c r="P12" s="2632"/>
      <c r="Q12" s="2633">
        <v>365</v>
      </c>
      <c r="R12" s="2634">
        <f t="shared" si="0"/>
        <v>0</v>
      </c>
      <c r="S12" s="2588"/>
      <c r="T12" s="2588"/>
      <c r="U12" s="2588"/>
      <c r="V12" s="2596"/>
    </row>
    <row r="13" spans="1:22" s="2600" customFormat="1" ht="13.2" customHeight="1">
      <c r="A13" s="2643"/>
      <c r="B13" s="2646"/>
      <c r="C13" s="2647" t="s">
        <v>2363</v>
      </c>
      <c r="D13" s="2648"/>
      <c r="E13" s="2649"/>
      <c r="F13" s="2638"/>
      <c r="G13" s="2639"/>
      <c r="H13" s="2595"/>
      <c r="I13" s="2596"/>
      <c r="J13" s="3435"/>
      <c r="K13" s="3437"/>
      <c r="L13" s="2630" t="s">
        <v>2364</v>
      </c>
      <c r="M13" s="2631"/>
      <c r="N13" s="2607"/>
      <c r="O13" s="2632"/>
      <c r="P13" s="2632"/>
      <c r="Q13" s="2633">
        <v>365</v>
      </c>
      <c r="R13" s="2634">
        <f t="shared" si="0"/>
        <v>0</v>
      </c>
      <c r="S13" s="2588"/>
      <c r="T13" s="2588"/>
      <c r="U13" s="2588"/>
      <c r="V13" s="2596"/>
    </row>
    <row r="14" spans="1:22" s="2600" customFormat="1" ht="13.2" customHeight="1">
      <c r="A14" s="2643" t="s">
        <v>2365</v>
      </c>
      <c r="B14" s="3441" t="s">
        <v>2366</v>
      </c>
      <c r="C14" s="3442"/>
      <c r="D14" s="2644">
        <f>ROUND(E14*B5/10000,0)</f>
        <v>0</v>
      </c>
      <c r="E14" s="2633"/>
      <c r="F14" s="2638" t="s">
        <v>2367</v>
      </c>
      <c r="G14" s="2639"/>
      <c r="H14" s="2595"/>
      <c r="I14" s="2596"/>
      <c r="J14" s="3435"/>
      <c r="K14" s="3438"/>
      <c r="L14" s="2650" t="s">
        <v>2368</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2369</v>
      </c>
      <c r="B15" s="3441" t="s">
        <v>2370</v>
      </c>
      <c r="C15" s="3442"/>
      <c r="D15" s="2644">
        <f>ROUND(D6*E15,0)</f>
        <v>0</v>
      </c>
      <c r="E15" s="2645">
        <v>5.5E-2</v>
      </c>
      <c r="F15" s="2638" t="s">
        <v>2371</v>
      </c>
      <c r="G15" s="2620"/>
      <c r="H15" s="2595"/>
      <c r="I15" s="2596"/>
      <c r="J15" s="3435">
        <v>2</v>
      </c>
      <c r="K15" s="3436" t="s">
        <v>2372</v>
      </c>
      <c r="L15" s="2630" t="s">
        <v>2373</v>
      </c>
      <c r="M15" s="2631" t="s">
        <v>2374</v>
      </c>
      <c r="N15" s="2631" t="s">
        <v>2375</v>
      </c>
      <c r="O15" s="2632" t="s">
        <v>2376</v>
      </c>
      <c r="P15" s="2632" t="s">
        <v>2338</v>
      </c>
      <c r="Q15" s="2607" t="s">
        <v>2377</v>
      </c>
      <c r="R15" s="2654" t="s">
        <v>2339</v>
      </c>
      <c r="S15" s="2588"/>
      <c r="T15" s="2588"/>
      <c r="U15" s="2588"/>
      <c r="V15" s="2596"/>
    </row>
    <row r="16" spans="1:22" s="2600" customFormat="1" ht="13.2" customHeight="1">
      <c r="A16" s="2643" t="s">
        <v>2378</v>
      </c>
      <c r="B16" s="3441" t="s">
        <v>2379</v>
      </c>
      <c r="C16" s="3442"/>
      <c r="D16" s="2655">
        <f>D6*E16</f>
        <v>0</v>
      </c>
      <c r="E16" s="2656"/>
      <c r="F16" s="2641" t="s">
        <v>2380</v>
      </c>
      <c r="G16" s="2620"/>
      <c r="H16" s="2595"/>
      <c r="I16" s="2596"/>
      <c r="J16" s="3435"/>
      <c r="K16" s="3437"/>
      <c r="L16" s="2630" t="s">
        <v>2381</v>
      </c>
      <c r="M16" s="2631"/>
      <c r="N16" s="2631"/>
      <c r="O16" s="2632"/>
      <c r="P16" s="2633">
        <v>365</v>
      </c>
      <c r="Q16" s="2607"/>
      <c r="R16" s="2654">
        <f>ROUND(M16*N16*O16*P16/10000,0)</f>
        <v>0</v>
      </c>
      <c r="S16" s="2588"/>
      <c r="T16" s="2588"/>
      <c r="U16" s="2588"/>
      <c r="V16" s="2596"/>
    </row>
    <row r="17" spans="1:22" s="2600" customFormat="1" ht="13.2" customHeight="1" thickBot="1">
      <c r="A17" s="2657">
        <v>4</v>
      </c>
      <c r="B17" s="3443" t="s">
        <v>2382</v>
      </c>
      <c r="C17" s="3444"/>
      <c r="D17" s="2658">
        <f>ROUND(D6*E17,0)</f>
        <v>0</v>
      </c>
      <c r="E17" s="2659"/>
      <c r="F17" s="2660" t="s">
        <v>2383</v>
      </c>
      <c r="G17" s="2620"/>
      <c r="H17" s="2595"/>
      <c r="I17" s="2596"/>
      <c r="J17" s="3435"/>
      <c r="K17" s="3437"/>
      <c r="L17" s="2630" t="s">
        <v>2384</v>
      </c>
      <c r="M17" s="2631"/>
      <c r="N17" s="2631"/>
      <c r="O17" s="2632"/>
      <c r="P17" s="2633">
        <v>365</v>
      </c>
      <c r="Q17" s="2607"/>
      <c r="R17" s="2654">
        <f>ROUND(M17*N17*O17*P17/10000,0)</f>
        <v>0</v>
      </c>
      <c r="S17" s="2588"/>
      <c r="T17" s="2588"/>
      <c r="U17" s="2588"/>
      <c r="V17" s="2596"/>
    </row>
    <row r="18" spans="1:22" s="2600" customFormat="1" ht="13.2" customHeight="1" thickBot="1">
      <c r="A18" s="2623" t="s">
        <v>2385</v>
      </c>
      <c r="B18" s="2624"/>
      <c r="C18" s="2624"/>
      <c r="D18" s="2661">
        <f>ROUND(D6*E18,0)</f>
        <v>0</v>
      </c>
      <c r="E18" s="2662"/>
      <c r="F18" s="2663" t="s">
        <v>2386</v>
      </c>
      <c r="G18" s="2620"/>
      <c r="H18" s="2595"/>
      <c r="I18" s="2596"/>
      <c r="J18" s="3435"/>
      <c r="K18" s="3437"/>
      <c r="L18" s="2630" t="s">
        <v>2387</v>
      </c>
      <c r="M18" s="2631"/>
      <c r="N18" s="2631"/>
      <c r="O18" s="2632"/>
      <c r="P18" s="2633">
        <v>365</v>
      </c>
      <c r="Q18" s="2607"/>
      <c r="R18" s="2654">
        <f>ROUND(M18*N18*O18*P18/10000,0)</f>
        <v>0</v>
      </c>
      <c r="S18" s="2588"/>
      <c r="T18" s="2588"/>
      <c r="U18" s="2588"/>
      <c r="V18" s="2596"/>
    </row>
    <row r="19" spans="1:22" s="2600" customFormat="1" ht="13.2" customHeight="1" thickBot="1">
      <c r="A19" s="2664" t="s">
        <v>2388</v>
      </c>
      <c r="B19" s="2618"/>
      <c r="C19" s="2618"/>
      <c r="D19" s="2618"/>
      <c r="E19" s="2618"/>
      <c r="F19" s="2619"/>
      <c r="G19" s="2639"/>
      <c r="H19" s="2595"/>
      <c r="I19" s="2596"/>
      <c r="J19" s="3435"/>
      <c r="K19" s="3438"/>
      <c r="L19" s="2650" t="s">
        <v>2368</v>
      </c>
      <c r="M19" s="2651"/>
      <c r="N19" s="2651">
        <f>SUM(N16:N18)</f>
        <v>0</v>
      </c>
      <c r="O19" s="2652"/>
      <c r="P19" s="2665" t="s">
        <v>2432</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435">
        <v>3</v>
      </c>
      <c r="K20" s="3436" t="s">
        <v>2389</v>
      </c>
      <c r="L20" s="2630" t="s">
        <v>2390</v>
      </c>
      <c r="M20" s="2631" t="s">
        <v>2391</v>
      </c>
      <c r="N20" s="2668" t="s">
        <v>2392</v>
      </c>
      <c r="O20" s="2632" t="s">
        <v>2393</v>
      </c>
      <c r="P20" s="2633" t="s">
        <v>2394</v>
      </c>
      <c r="Q20" s="2607" t="s">
        <v>2395</v>
      </c>
      <c r="R20" s="2654" t="s">
        <v>2396</v>
      </c>
      <c r="S20" s="2588"/>
      <c r="T20" s="2588"/>
      <c r="U20" s="2588"/>
      <c r="V20" s="2596"/>
    </row>
    <row r="21" spans="1:22" s="2600" customFormat="1" ht="13.2" customHeight="1">
      <c r="A21" s="2623"/>
      <c r="B21" s="2624"/>
      <c r="C21" s="2669" t="s">
        <v>2397</v>
      </c>
      <c r="D21" s="2670" t="s">
        <v>2398</v>
      </c>
      <c r="E21" s="2671" t="s">
        <v>2399</v>
      </c>
      <c r="F21" s="2667"/>
      <c r="G21" s="2639"/>
      <c r="H21" s="2595"/>
      <c r="I21" s="2596"/>
      <c r="J21" s="3435"/>
      <c r="K21" s="3437"/>
      <c r="L21" s="2630" t="s">
        <v>2400</v>
      </c>
      <c r="M21" s="2631"/>
      <c r="N21" s="2631"/>
      <c r="O21" s="2632"/>
      <c r="P21" s="2633">
        <v>365</v>
      </c>
      <c r="Q21" s="2607"/>
      <c r="R21" s="2672">
        <f>ROUND(M21*N21*O21*P21/10000,0)</f>
        <v>0</v>
      </c>
      <c r="S21" s="2588"/>
      <c r="T21" s="2588"/>
      <c r="U21" s="2588"/>
      <c r="V21" s="2596"/>
    </row>
    <row r="22" spans="1:22" s="2600" customFormat="1" ht="13.2" customHeight="1">
      <c r="A22" s="2623"/>
      <c r="B22" s="2624"/>
      <c r="C22" s="2673" t="s">
        <v>2401</v>
      </c>
      <c r="D22" s="2674" t="s">
        <v>2402</v>
      </c>
      <c r="E22" s="2675" t="s">
        <v>2403</v>
      </c>
      <c r="F22" s="2667"/>
      <c r="G22" s="2588"/>
      <c r="H22" s="2595"/>
      <c r="I22" s="2596"/>
      <c r="J22" s="3435"/>
      <c r="K22" s="3437"/>
      <c r="L22" s="2630" t="s">
        <v>2404</v>
      </c>
      <c r="M22" s="2631"/>
      <c r="N22" s="2631"/>
      <c r="O22" s="2632"/>
      <c r="P22" s="2633">
        <v>365</v>
      </c>
      <c r="Q22" s="2607"/>
      <c r="R22" s="2672">
        <f>ROUND(M22*N22*O22*P22/10000,0)</f>
        <v>0</v>
      </c>
      <c r="S22" s="2588"/>
      <c r="T22" s="2588"/>
      <c r="U22" s="2588"/>
      <c r="V22" s="2596"/>
    </row>
    <row r="23" spans="1:22" s="2600" customFormat="1" ht="13.2" customHeight="1">
      <c r="A23" s="2676">
        <v>1</v>
      </c>
      <c r="B23" s="2677" t="s">
        <v>2405</v>
      </c>
      <c r="C23" s="2678">
        <f>D6</f>
        <v>0</v>
      </c>
      <c r="D23" s="2679">
        <f>C23*(1+D24)</f>
        <v>0</v>
      </c>
      <c r="E23" s="2680">
        <f>D23*(1+E24)</f>
        <v>0</v>
      </c>
      <c r="F23" s="2681"/>
      <c r="G23" s="2682"/>
      <c r="H23" s="2595"/>
      <c r="I23" s="2596"/>
      <c r="J23" s="3435"/>
      <c r="K23" s="3437"/>
      <c r="L23" s="2630" t="s">
        <v>2406</v>
      </c>
      <c r="M23" s="2631"/>
      <c r="N23" s="2631"/>
      <c r="O23" s="2632"/>
      <c r="P23" s="2633">
        <v>365</v>
      </c>
      <c r="Q23" s="2607"/>
      <c r="R23" s="2672">
        <f>ROUND(M23*N23*O23*P23/10000,0)</f>
        <v>0</v>
      </c>
      <c r="S23" s="2588"/>
      <c r="T23" s="2588"/>
      <c r="U23" s="2588"/>
      <c r="V23" s="2596"/>
    </row>
    <row r="24" spans="1:22" s="2600" customFormat="1" ht="13.2" customHeight="1">
      <c r="A24" s="2683"/>
      <c r="B24" s="2684" t="s">
        <v>2407</v>
      </c>
      <c r="C24" s="2685"/>
      <c r="D24" s="2686"/>
      <c r="E24" s="2687"/>
      <c r="F24" s="2688"/>
      <c r="G24" s="2682"/>
      <c r="H24" s="2595"/>
      <c r="I24" s="2596"/>
      <c r="J24" s="3435"/>
      <c r="K24" s="3438"/>
      <c r="L24" s="2650" t="s">
        <v>2368</v>
      </c>
      <c r="M24" s="2651">
        <f>SUM(M21:M23)</f>
        <v>0</v>
      </c>
      <c r="N24" s="2651"/>
      <c r="O24" s="2652"/>
      <c r="P24" s="2665" t="s">
        <v>2432</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2408</v>
      </c>
      <c r="L25" s="2691"/>
      <c r="M25" s="2691"/>
      <c r="N25" s="2691"/>
      <c r="O25" s="2691"/>
      <c r="P25" s="2692"/>
      <c r="Q25" s="2693">
        <v>0</v>
      </c>
      <c r="R25" s="2666">
        <f>ROUND(R14*Q25,0)</f>
        <v>0</v>
      </c>
      <c r="S25" s="2588"/>
      <c r="T25" s="2588"/>
      <c r="U25" s="2588"/>
      <c r="V25" s="2694"/>
    </row>
    <row r="26" spans="1:22" s="2695" customFormat="1" ht="13.2" customHeight="1">
      <c r="A26" s="2676">
        <v>2</v>
      </c>
      <c r="B26" s="2677" t="s">
        <v>2409</v>
      </c>
      <c r="C26" s="2678">
        <f>D7</f>
        <v>0</v>
      </c>
      <c r="D26" s="2679">
        <f>D23*D27</f>
        <v>0</v>
      </c>
      <c r="E26" s="2680">
        <f>E23*E27</f>
        <v>0</v>
      </c>
      <c r="F26" s="2681"/>
      <c r="G26" s="2682"/>
      <c r="H26" s="2595"/>
      <c r="I26" s="2596"/>
      <c r="J26" s="3445">
        <v>5</v>
      </c>
      <c r="K26" s="2696" t="s">
        <v>2410</v>
      </c>
      <c r="L26" s="2697"/>
      <c r="M26" s="2698"/>
      <c r="N26" s="2699" t="s">
        <v>2411</v>
      </c>
      <c r="O26" s="2699" t="s">
        <v>2412</v>
      </c>
      <c r="P26" s="2700" t="s">
        <v>2413</v>
      </c>
      <c r="Q26" s="2700" t="s">
        <v>2414</v>
      </c>
      <c r="R26" s="2605" t="s">
        <v>2339</v>
      </c>
      <c r="S26" s="2639"/>
      <c r="T26" s="2639"/>
      <c r="U26" s="2639"/>
      <c r="V26" s="2694"/>
    </row>
    <row r="27" spans="1:22" s="2600" customFormat="1" ht="13.2" customHeight="1">
      <c r="A27" s="2683"/>
      <c r="B27" s="2684" t="s">
        <v>2415</v>
      </c>
      <c r="C27" s="2701" t="e">
        <f>E7</f>
        <v>#DIV/0!</v>
      </c>
      <c r="D27" s="2686"/>
      <c r="E27" s="2687"/>
      <c r="F27" s="2688"/>
      <c r="G27" s="2682"/>
      <c r="H27" s="2702"/>
      <c r="I27" s="2694"/>
      <c r="J27" s="3446"/>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2416</v>
      </c>
      <c r="F28" s="2688"/>
      <c r="G28" s="2588"/>
      <c r="H28" s="2702"/>
      <c r="I28" s="2694"/>
      <c r="J28" s="2708">
        <v>6</v>
      </c>
      <c r="K28" s="2709" t="s">
        <v>2417</v>
      </c>
      <c r="L28" s="2710" t="s">
        <v>2418</v>
      </c>
      <c r="M28" s="2711"/>
      <c r="N28" s="2710" t="s">
        <v>2419</v>
      </c>
      <c r="O28" s="2712"/>
      <c r="P28" s="2710" t="s">
        <v>2420</v>
      </c>
      <c r="Q28" s="2713">
        <v>1.4999999999999999E-2</v>
      </c>
      <c r="R28" s="2714"/>
      <c r="S28" s="2588"/>
      <c r="T28" s="2588"/>
      <c r="U28" s="2588"/>
      <c r="V28" s="2694"/>
    </row>
    <row r="29" spans="1:22" s="2695" customFormat="1" ht="13.2" customHeight="1">
      <c r="A29" s="2676">
        <v>3</v>
      </c>
      <c r="B29" s="2677" t="s">
        <v>2421</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2415</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2422</v>
      </c>
      <c r="K31" s="2586"/>
      <c r="L31" s="2586"/>
      <c r="M31" s="2586"/>
      <c r="N31" s="2586"/>
      <c r="O31" s="2586"/>
      <c r="P31" s="2586"/>
      <c r="Q31" s="2586"/>
      <c r="R31" s="2587"/>
      <c r="S31" s="2588"/>
      <c r="T31" s="2588"/>
      <c r="U31" s="2588"/>
      <c r="V31" s="2694"/>
    </row>
    <row r="32" spans="1:22" s="2695" customFormat="1" ht="13.2" customHeight="1">
      <c r="A32" s="2676">
        <v>4</v>
      </c>
      <c r="B32" s="2677" t="s">
        <v>2423</v>
      </c>
      <c r="C32" s="2678">
        <f>C23-C26-C29</f>
        <v>0</v>
      </c>
      <c r="D32" s="2679">
        <f>D23-D26-D29</f>
        <v>0</v>
      </c>
      <c r="E32" s="2680">
        <f>E23-E26-E29</f>
        <v>0</v>
      </c>
      <c r="F32" s="2681"/>
      <c r="G32" s="2588"/>
      <c r="H32" s="2595"/>
      <c r="I32" s="2596"/>
      <c r="J32" s="3428" t="s">
        <v>2315</v>
      </c>
      <c r="K32" s="3429"/>
      <c r="L32" s="2597" t="s">
        <v>2316</v>
      </c>
      <c r="M32" s="2597" t="s">
        <v>2317</v>
      </c>
      <c r="N32" s="2597" t="s">
        <v>2318</v>
      </c>
      <c r="O32" s="2597" t="s">
        <v>2319</v>
      </c>
      <c r="P32" s="2597" t="s">
        <v>2320</v>
      </c>
      <c r="Q32" s="2598" t="s">
        <v>2321</v>
      </c>
      <c r="R32" s="2717" t="s">
        <v>2322</v>
      </c>
      <c r="S32" s="2588"/>
      <c r="T32" s="2588"/>
      <c r="U32" s="2588"/>
      <c r="V32" s="2694"/>
    </row>
    <row r="33" spans="1:23" s="2600" customFormat="1" ht="13.2" customHeight="1">
      <c r="A33" s="2676"/>
      <c r="B33" s="2677"/>
      <c r="C33" s="2678"/>
      <c r="D33" s="2718"/>
      <c r="E33" s="2719"/>
      <c r="F33" s="2681"/>
      <c r="G33" s="2588"/>
      <c r="H33" s="2702"/>
      <c r="I33" s="2694"/>
      <c r="J33" s="3430" t="s">
        <v>2325</v>
      </c>
      <c r="K33" s="3431"/>
      <c r="L33" s="2603"/>
      <c r="M33" s="2603"/>
      <c r="N33" s="2603"/>
      <c r="O33" s="2603"/>
      <c r="P33" s="2603"/>
      <c r="Q33" s="2604"/>
      <c r="R33" s="2720">
        <f>SUM(L33:Q33)</f>
        <v>0</v>
      </c>
      <c r="S33" s="2588"/>
      <c r="T33" s="2588"/>
      <c r="U33" s="2588"/>
      <c r="V33" s="2596"/>
    </row>
    <row r="34" spans="1:23" s="2600" customFormat="1" ht="13.2" customHeight="1">
      <c r="A34" s="2676">
        <v>5</v>
      </c>
      <c r="B34" s="2677" t="s">
        <v>2424</v>
      </c>
      <c r="C34" s="2721"/>
      <c r="D34" s="2722"/>
      <c r="E34" s="2723"/>
      <c r="F34" s="2681"/>
      <c r="G34" s="2588"/>
      <c r="H34" s="2702"/>
      <c r="I34" s="2694"/>
      <c r="J34" s="3430" t="s">
        <v>2327</v>
      </c>
      <c r="K34" s="3431"/>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2425</v>
      </c>
      <c r="C35" s="2725"/>
      <c r="D35" s="2726"/>
      <c r="E35" s="2727"/>
      <c r="F35" s="2681"/>
      <c r="G35" s="2728"/>
      <c r="H35" s="2595"/>
      <c r="I35" s="2694"/>
      <c r="J35" s="2614" t="s">
        <v>2329</v>
      </c>
      <c r="K35" s="2615"/>
      <c r="L35" s="2615"/>
      <c r="M35" s="2616"/>
      <c r="N35" s="2616"/>
      <c r="O35" s="2616"/>
      <c r="P35" s="2616"/>
      <c r="Q35" s="2616"/>
      <c r="R35" s="2729">
        <f>R40+R41+R43</f>
        <v>0</v>
      </c>
      <c r="S35" s="2588"/>
      <c r="T35" s="2588" t="s">
        <v>2330</v>
      </c>
      <c r="U35" s="2588"/>
      <c r="V35" s="2596"/>
    </row>
    <row r="36" spans="1:23" s="2600" customFormat="1" ht="13.2" customHeight="1" thickBot="1">
      <c r="A36" s="2676">
        <v>7</v>
      </c>
      <c r="B36" s="2730" t="s">
        <v>2426</v>
      </c>
      <c r="C36" s="2731"/>
      <c r="D36" s="2732"/>
      <c r="E36" s="2733"/>
      <c r="F36" s="2734">
        <f>C36+D36+E36</f>
        <v>0</v>
      </c>
      <c r="G36" s="2588"/>
      <c r="H36" s="2595"/>
      <c r="I36" s="2596"/>
      <c r="J36" s="3435">
        <v>1</v>
      </c>
      <c r="K36" s="3436" t="s">
        <v>2427</v>
      </c>
      <c r="L36" s="2621"/>
      <c r="M36" s="2622"/>
      <c r="N36" s="2622"/>
      <c r="O36" s="2622"/>
      <c r="P36" s="2622"/>
      <c r="Q36" s="2622"/>
      <c r="R36" s="2605" t="s">
        <v>2339</v>
      </c>
      <c r="S36" s="2588"/>
      <c r="T36" s="2588" t="s">
        <v>2340</v>
      </c>
      <c r="U36" s="2588"/>
      <c r="V36" s="2596"/>
    </row>
    <row r="37" spans="1:23" s="2600" customFormat="1" ht="13.2" customHeight="1">
      <c r="A37" s="2676"/>
      <c r="B37" s="2677"/>
      <c r="C37" s="2677"/>
      <c r="D37" s="2677"/>
      <c r="E37" s="2677"/>
      <c r="F37" s="2681"/>
      <c r="G37" s="2588"/>
      <c r="H37" s="2595"/>
      <c r="I37" s="2596"/>
      <c r="J37" s="3435"/>
      <c r="K37" s="3437"/>
      <c r="L37" s="2630"/>
      <c r="M37" s="2631"/>
      <c r="N37" s="2607"/>
      <c r="O37" s="2632"/>
      <c r="P37" s="2632"/>
      <c r="Q37" s="2633"/>
      <c r="R37" s="2634"/>
      <c r="S37" s="2588"/>
      <c r="T37" s="2588" t="s">
        <v>2343</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435"/>
      <c r="K38" s="3437"/>
      <c r="L38" s="2630"/>
      <c r="M38" s="2631"/>
      <c r="N38" s="2607"/>
      <c r="O38" s="2632"/>
      <c r="P38" s="2632"/>
      <c r="Q38" s="2633"/>
      <c r="R38" s="2634"/>
      <c r="S38" s="2588"/>
      <c r="T38" s="2588" t="s">
        <v>2350</v>
      </c>
      <c r="U38" s="2588"/>
      <c r="V38" s="2596"/>
    </row>
    <row r="39" spans="1:23" s="2600" customFormat="1" ht="13.2" customHeight="1">
      <c r="A39" s="2676">
        <v>9</v>
      </c>
      <c r="B39" s="2677" t="s">
        <v>2428</v>
      </c>
      <c r="C39" s="2644" t="e">
        <f>C38</f>
        <v>#DIV/0!</v>
      </c>
      <c r="D39" s="2677">
        <f>D38/(1+D34)^C36</f>
        <v>0</v>
      </c>
      <c r="E39" s="2677">
        <f>E38/(1+E34)^(C36+D36)</f>
        <v>0</v>
      </c>
      <c r="F39" s="2681"/>
      <c r="G39" s="2596"/>
      <c r="H39" s="2595"/>
      <c r="I39" s="2596"/>
      <c r="J39" s="3435"/>
      <c r="K39" s="3437"/>
      <c r="L39" s="2630"/>
      <c r="M39" s="2631"/>
      <c r="N39" s="2607"/>
      <c r="O39" s="2632"/>
      <c r="P39" s="2632"/>
      <c r="Q39" s="2633"/>
      <c r="R39" s="2634"/>
      <c r="S39" s="2588"/>
      <c r="T39" s="2588"/>
      <c r="U39" s="2588"/>
      <c r="V39" s="2596"/>
    </row>
    <row r="40" spans="1:23" s="2600" customFormat="1" ht="13.2" customHeight="1">
      <c r="A40" s="2735">
        <v>10</v>
      </c>
      <c r="B40" s="2677" t="s">
        <v>2429</v>
      </c>
      <c r="C40" s="2736" t="e">
        <f>C39+D39+E39</f>
        <v>#DIV/0!</v>
      </c>
      <c r="D40" s="2737"/>
      <c r="E40" s="2737"/>
      <c r="F40" s="2738"/>
      <c r="G40" s="2588"/>
      <c r="H40" s="2595"/>
      <c r="I40" s="2596"/>
      <c r="J40" s="3435"/>
      <c r="K40" s="3438"/>
      <c r="L40" s="2650" t="s">
        <v>2368</v>
      </c>
      <c r="M40" s="2651"/>
      <c r="N40" s="2651"/>
      <c r="O40" s="2652"/>
      <c r="P40" s="2652"/>
      <c r="Q40" s="2653"/>
      <c r="R40" s="2599">
        <f>SUM(R37:R39)</f>
        <v>0</v>
      </c>
      <c r="S40" s="2588"/>
      <c r="T40" s="2588"/>
      <c r="U40" s="2588"/>
      <c r="V40" s="2596"/>
    </row>
    <row r="41" spans="1:23" s="2600" customFormat="1" ht="13.2" customHeight="1" thickBot="1">
      <c r="A41" s="2739">
        <v>11</v>
      </c>
      <c r="B41" s="2740" t="s">
        <v>2430</v>
      </c>
      <c r="C41" s="2740" t="e">
        <f>ROUND(C40*10000/B4,0)</f>
        <v>#DIV/0!</v>
      </c>
      <c r="D41" s="2741"/>
      <c r="E41" s="2741"/>
      <c r="F41" s="2742"/>
      <c r="G41" s="2595"/>
      <c r="H41" s="2595"/>
      <c r="I41" s="2596"/>
      <c r="J41" s="2689">
        <v>2</v>
      </c>
      <c r="K41" s="2690" t="s">
        <v>2408</v>
      </c>
      <c r="L41" s="2691"/>
      <c r="M41" s="2691"/>
      <c r="N41" s="2691"/>
      <c r="O41" s="2691"/>
      <c r="P41" s="2692"/>
      <c r="Q41" s="2693"/>
      <c r="R41" s="2666">
        <f>ROUND(R40*Q41,0)</f>
        <v>0</v>
      </c>
      <c r="S41" s="2588"/>
      <c r="T41" s="2588"/>
      <c r="U41" s="2639"/>
      <c r="V41" s="2596"/>
    </row>
    <row r="42" spans="1:23" s="2600" customFormat="1" ht="13.2" customHeight="1">
      <c r="G42" s="2595"/>
      <c r="H42" s="2595"/>
      <c r="I42" s="2596"/>
      <c r="J42" s="3445">
        <v>3</v>
      </c>
      <c r="K42" s="2696" t="s">
        <v>2410</v>
      </c>
      <c r="L42" s="2697"/>
      <c r="M42" s="2698"/>
      <c r="N42" s="2699" t="s">
        <v>2411</v>
      </c>
      <c r="O42" s="2699" t="s">
        <v>2412</v>
      </c>
      <c r="P42" s="2700" t="s">
        <v>2413</v>
      </c>
      <c r="Q42" s="2700" t="s">
        <v>2414</v>
      </c>
      <c r="R42" s="2605" t="s">
        <v>2339</v>
      </c>
      <c r="S42" s="2639"/>
      <c r="T42" s="2639"/>
      <c r="U42" s="2588"/>
      <c r="V42" s="2596"/>
    </row>
    <row r="43" spans="1:23" ht="13.2" customHeight="1">
      <c r="A43" s="2600"/>
      <c r="B43" s="2600"/>
      <c r="C43" s="2600"/>
      <c r="D43" s="2600"/>
      <c r="E43" s="2600"/>
      <c r="F43" s="2600"/>
      <c r="I43" s="2583"/>
      <c r="J43" s="3446"/>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2417</v>
      </c>
      <c r="L44" s="2745" t="s">
        <v>2418</v>
      </c>
      <c r="M44" s="2711"/>
      <c r="N44" s="2745" t="s">
        <v>2419</v>
      </c>
      <c r="O44" s="2711"/>
      <c r="P44" s="2745" t="s">
        <v>2420</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5"/>
      <c r="G1" s="459"/>
      <c r="H1" s="459"/>
      <c r="I1" s="459"/>
      <c r="J1" s="459"/>
      <c r="K1" s="459"/>
      <c r="L1" s="459"/>
      <c r="M1" s="459"/>
      <c r="N1" s="459"/>
      <c r="O1" s="459"/>
      <c r="P1" s="459"/>
      <c r="Q1" s="459"/>
      <c r="R1" s="459"/>
      <c r="S1" s="459"/>
    </row>
    <row r="2" spans="1:22" ht="15.6">
      <c r="A2" s="1728" t="s">
        <v>1462</v>
      </c>
      <c r="B2" s="811">
        <f ca="1">SUMIF(B6:B13,"&lt;&gt;#ref!",B6:B13)</f>
        <v>71.690899999999999</v>
      </c>
      <c r="C2" s="1729" t="s">
        <v>1651</v>
      </c>
      <c r="D2" s="1730" t="s">
        <v>1652</v>
      </c>
      <c r="E2" s="2389">
        <f>SUM(E6:E13)</f>
        <v>94.78</v>
      </c>
      <c r="F2" s="2475"/>
      <c r="G2" s="459"/>
      <c r="H2" s="459"/>
      <c r="I2" s="459"/>
      <c r="J2" s="459"/>
      <c r="K2" s="459"/>
      <c r="L2" s="459"/>
      <c r="M2" s="459"/>
      <c r="N2" s="459"/>
      <c r="O2" s="459"/>
      <c r="P2" s="459"/>
      <c r="Q2" s="459"/>
      <c r="R2" s="459"/>
      <c r="S2" s="459"/>
    </row>
    <row r="3" spans="1:22" ht="15.6">
      <c r="A3" s="1728" t="s">
        <v>686</v>
      </c>
      <c r="B3" s="2383">
        <f ca="1">ROUND(B2*10000/E2,0)</f>
        <v>7564</v>
      </c>
      <c r="C3" s="1729" t="s">
        <v>1659</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5" t="s">
        <v>1653</v>
      </c>
      <c r="B5" s="3447" t="s">
        <v>1654</v>
      </c>
      <c r="C5" s="3448"/>
      <c r="D5" s="2476"/>
      <c r="E5" s="1731" t="s">
        <v>1655</v>
      </c>
      <c r="F5" s="129" t="s">
        <v>1656</v>
      </c>
      <c r="G5" s="459"/>
      <c r="H5" s="459"/>
      <c r="I5" s="459"/>
      <c r="J5" s="459"/>
      <c r="K5" s="459"/>
      <c r="L5" s="459"/>
      <c r="M5" s="459"/>
      <c r="N5" s="459"/>
      <c r="O5" s="459"/>
      <c r="P5" s="459"/>
      <c r="Q5" s="459"/>
      <c r="R5" s="459"/>
      <c r="S5" s="459"/>
    </row>
    <row r="6" spans="1:22" ht="14.4">
      <c r="A6" s="2386" t="str">
        <f>'数据-取费表'!AN6</f>
        <v>收益法 (元)</v>
      </c>
      <c r="B6" s="2384">
        <f ca="1">IF(F6="是",'数据-取费表'!AO6,0)</f>
        <v>71.690899999999999</v>
      </c>
      <c r="C6" s="1729" t="s">
        <v>1651</v>
      </c>
      <c r="D6" s="2475"/>
      <c r="E6" s="2388">
        <f>IF(OR(A6=0,F6="否"),0,'数据-取费表'!K6+'数据-取费表'!S6)</f>
        <v>94.78</v>
      </c>
      <c r="F6" s="1732" t="s">
        <v>1657</v>
      </c>
      <c r="G6" s="459"/>
      <c r="H6" s="459"/>
      <c r="I6" s="459"/>
      <c r="J6" s="459"/>
      <c r="K6" s="459"/>
      <c r="L6" s="459"/>
      <c r="M6" s="459"/>
      <c r="N6" s="459"/>
      <c r="O6" s="459"/>
      <c r="P6" s="459"/>
      <c r="Q6" s="459"/>
      <c r="R6" s="459"/>
      <c r="S6" s="459"/>
    </row>
    <row r="7" spans="1:22" ht="14.4">
      <c r="A7" s="2386">
        <f>'数据-取费表'!AN7</f>
        <v>0</v>
      </c>
      <c r="B7" s="2384" t="e">
        <f ca="1">IF(F7="是",'数据-取费表'!AO7,0)</f>
        <v>#REF!</v>
      </c>
      <c r="C7" s="1729" t="s">
        <v>1651</v>
      </c>
      <c r="D7" s="2475"/>
      <c r="E7" s="2388">
        <f>IF(OR(A7=0,F7="否"),0,'数据-取费表'!K7+'数据-取费表'!S7)</f>
        <v>0</v>
      </c>
      <c r="F7" s="1732" t="s">
        <v>1657</v>
      </c>
      <c r="G7" s="459"/>
      <c r="H7" s="459"/>
      <c r="I7" s="459"/>
      <c r="J7" s="459"/>
      <c r="K7" s="459"/>
      <c r="L7" s="459"/>
      <c r="M7" s="459"/>
      <c r="N7" s="459"/>
      <c r="O7" s="459"/>
      <c r="P7" s="459"/>
      <c r="Q7" s="459"/>
      <c r="R7" s="459"/>
      <c r="S7" s="459"/>
    </row>
    <row r="8" spans="1:22" ht="14.4">
      <c r="A8" s="2386">
        <f>'数据-取费表'!AN8</f>
        <v>0</v>
      </c>
      <c r="B8" s="2384" t="e">
        <f ca="1">IF(F8="是",'数据-取费表'!AO8,0)</f>
        <v>#REF!</v>
      </c>
      <c r="C8" s="1729" t="s">
        <v>1651</v>
      </c>
      <c r="D8" s="2475"/>
      <c r="E8" s="2388">
        <f>IF(OR(A8=0,F8="否"),0,'数据-取费表'!K8+'数据-取费表'!S8)</f>
        <v>0</v>
      </c>
      <c r="F8" s="1732" t="s">
        <v>1657</v>
      </c>
      <c r="G8" s="459"/>
      <c r="H8" s="459"/>
      <c r="I8" s="459"/>
      <c r="J8" s="459"/>
      <c r="K8" s="459"/>
      <c r="L8" s="459"/>
      <c r="M8" s="459"/>
      <c r="N8" s="459"/>
      <c r="O8" s="459"/>
      <c r="P8" s="459"/>
      <c r="Q8" s="459"/>
      <c r="R8" s="459"/>
      <c r="S8" s="459"/>
    </row>
    <row r="9" spans="1:22" ht="14.4">
      <c r="A9" s="2386">
        <f>'数据-取费表'!AN9</f>
        <v>0</v>
      </c>
      <c r="B9" s="2384" t="e">
        <f ca="1">IF(F9="是",'数据-取费表'!AO9,0)</f>
        <v>#REF!</v>
      </c>
      <c r="C9" s="1729" t="s">
        <v>1651</v>
      </c>
      <c r="D9" s="2475"/>
      <c r="E9" s="2388">
        <f>IF(OR(A9=0,F9="否"),0,'数据-取费表'!K9+'数据-取费表'!S9)</f>
        <v>0</v>
      </c>
      <c r="F9" s="1732" t="s">
        <v>1657</v>
      </c>
      <c r="G9" s="459"/>
      <c r="H9" s="459"/>
      <c r="I9" s="459"/>
      <c r="J9" s="459"/>
      <c r="K9" s="459"/>
      <c r="L9" s="459"/>
      <c r="M9" s="459"/>
      <c r="N9" s="459"/>
      <c r="O9" s="459"/>
      <c r="P9" s="459"/>
      <c r="Q9" s="459"/>
      <c r="R9" s="459"/>
      <c r="S9" s="459"/>
    </row>
    <row r="10" spans="1:22" ht="14.4">
      <c r="A10" s="2386">
        <f>'数据-取费表'!AN10</f>
        <v>0</v>
      </c>
      <c r="B10" s="2384" t="e">
        <f ca="1">IF(F10="是",'数据-取费表'!AO10,0)</f>
        <v>#REF!</v>
      </c>
      <c r="C10" s="1729" t="s">
        <v>1651</v>
      </c>
      <c r="D10" s="2475"/>
      <c r="E10" s="2388">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6">
        <f>'数据-取费表'!AN11</f>
        <v>0</v>
      </c>
      <c r="B11" s="2384" t="e">
        <f ca="1">IF(F11="是",'数据-取费表'!AO11,0)</f>
        <v>#REF!</v>
      </c>
      <c r="C11" s="1729" t="s">
        <v>1651</v>
      </c>
      <c r="D11" s="2475"/>
      <c r="E11" s="2388">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6">
        <f>'数据-取费表'!AN12</f>
        <v>0</v>
      </c>
      <c r="B12" s="2384" t="e">
        <f ca="1">IF(F12="是",'数据-取费表'!AO12,0)</f>
        <v>#REF!</v>
      </c>
      <c r="C12" s="1729" t="s">
        <v>1651</v>
      </c>
      <c r="D12" s="2475"/>
      <c r="E12" s="2388">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3" t="s">
        <v>1651</v>
      </c>
      <c r="D13" s="2477"/>
      <c r="E13" s="2388">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0"/>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1"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0"/>
      <c r="M2" s="2481"/>
      <c r="N2" s="2481"/>
      <c r="O2" s="2481"/>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94.78</v>
      </c>
      <c r="E3" s="854"/>
      <c r="F3" s="1743"/>
      <c r="G3" s="854"/>
      <c r="H3" s="854"/>
      <c r="I3" s="854"/>
      <c r="J3" s="854"/>
      <c r="K3" s="1740"/>
      <c r="L3" s="2480"/>
      <c r="M3" s="2481"/>
      <c r="N3" s="2481"/>
      <c r="O3" s="2481"/>
      <c r="P3" s="1741"/>
      <c r="Q3" s="1742"/>
      <c r="R3" s="1742"/>
      <c r="S3" s="1742"/>
      <c r="T3" s="1742"/>
      <c r="U3" s="1742"/>
      <c r="V3" s="1742"/>
      <c r="W3" s="1742"/>
      <c r="X3" s="1742"/>
      <c r="Y3" s="1742"/>
      <c r="Z3" s="1742"/>
      <c r="AA3" s="1742"/>
      <c r="AB3" s="1742"/>
      <c r="AC3" s="998"/>
    </row>
    <row r="4" spans="1:29" ht="14.4">
      <c r="A4" s="345" t="s">
        <v>1666</v>
      </c>
      <c r="B4" s="346"/>
      <c r="C4" s="3399" t="s">
        <v>1667</v>
      </c>
      <c r="D4" s="3400"/>
      <c r="E4" s="3401" t="s">
        <v>1668</v>
      </c>
      <c r="F4" s="3402"/>
      <c r="G4" s="3399" t="s">
        <v>1669</v>
      </c>
      <c r="H4" s="3400"/>
      <c r="I4" s="3399" t="s">
        <v>1670</v>
      </c>
      <c r="J4" s="3400"/>
      <c r="K4" s="1744" t="s">
        <v>1671</v>
      </c>
      <c r="L4" s="2482"/>
      <c r="M4" s="2483"/>
      <c r="N4" s="2483"/>
      <c r="O4" s="2483"/>
      <c r="P4" s="3454" t="s">
        <v>1672</v>
      </c>
      <c r="Q4" s="3455"/>
      <c r="R4" s="3450" t="s">
        <v>1668</v>
      </c>
      <c r="S4" s="3451"/>
      <c r="T4" s="3450" t="s">
        <v>1669</v>
      </c>
      <c r="U4" s="3451"/>
      <c r="V4" s="3412" t="s">
        <v>1670</v>
      </c>
      <c r="W4" s="3412"/>
      <c r="X4" s="1265"/>
      <c r="Y4" s="3450" t="s">
        <v>1672</v>
      </c>
      <c r="Z4" s="3451"/>
      <c r="AA4" s="3449" t="s">
        <v>1668</v>
      </c>
      <c r="AB4" s="3449" t="s">
        <v>1669</v>
      </c>
      <c r="AC4" s="3449" t="s">
        <v>1670</v>
      </c>
    </row>
    <row r="5" spans="1:29">
      <c r="A5" s="348"/>
      <c r="B5" s="349"/>
      <c r="C5" s="3392" t="s">
        <v>1673</v>
      </c>
      <c r="D5" s="3389"/>
      <c r="E5" s="3452" t="s">
        <v>1674</v>
      </c>
      <c r="F5" s="3453"/>
      <c r="G5" s="3392" t="s">
        <v>1675</v>
      </c>
      <c r="H5" s="3389"/>
      <c r="I5" s="3392" t="s">
        <v>1676</v>
      </c>
      <c r="J5" s="3389"/>
      <c r="K5" s="1745"/>
      <c r="L5" s="2482"/>
      <c r="M5" s="2483"/>
      <c r="N5" s="2483"/>
      <c r="O5" s="2483"/>
      <c r="P5" s="3456"/>
      <c r="Q5" s="3406"/>
      <c r="R5" s="3386"/>
      <c r="S5" s="3387"/>
      <c r="T5" s="3386"/>
      <c r="U5" s="3387"/>
      <c r="V5" s="3412"/>
      <c r="W5" s="3412"/>
      <c r="X5" s="1265"/>
      <c r="Y5" s="3386"/>
      <c r="Z5" s="3387"/>
      <c r="AA5" s="3380"/>
      <c r="AB5" s="3380"/>
      <c r="AC5" s="3380"/>
    </row>
    <row r="6" spans="1:29" ht="15" thickBot="1">
      <c r="A6" s="350"/>
      <c r="B6" s="351"/>
      <c r="C6" s="3390" t="s">
        <v>1677</v>
      </c>
      <c r="D6" s="3391"/>
      <c r="E6" s="3393" t="s">
        <v>1677</v>
      </c>
      <c r="F6" s="3394"/>
      <c r="G6" s="3390" t="s">
        <v>1677</v>
      </c>
      <c r="H6" s="3391"/>
      <c r="I6" s="3390" t="s">
        <v>1677</v>
      </c>
      <c r="J6" s="3391"/>
      <c r="K6" s="1745" t="s">
        <v>1678</v>
      </c>
      <c r="L6" s="2482"/>
      <c r="M6" s="2483"/>
      <c r="N6" s="2483"/>
      <c r="O6" s="2483"/>
      <c r="P6" s="3457"/>
      <c r="Q6" s="3408"/>
      <c r="R6" s="3386"/>
      <c r="S6" s="3387"/>
      <c r="T6" s="3409"/>
      <c r="U6" s="3410"/>
      <c r="V6" s="3412"/>
      <c r="W6" s="3412"/>
      <c r="X6" s="1265"/>
      <c r="Y6" s="3409"/>
      <c r="Z6" s="3410"/>
      <c r="AA6" s="3381"/>
      <c r="AB6" s="3381"/>
      <c r="AC6" s="3381"/>
    </row>
    <row r="7" spans="1:29" s="102" customFormat="1" ht="1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1746"/>
      <c r="L7" s="2484"/>
      <c r="M7" s="2436"/>
      <c r="N7" s="2436"/>
      <c r="O7" s="2436"/>
      <c r="P7" s="3382" t="s">
        <v>1680</v>
      </c>
      <c r="Q7" s="3414"/>
      <c r="R7" s="664" t="s">
        <v>20</v>
      </c>
      <c r="S7" s="665">
        <f t="shared" ref="S7:S15" si="0">F7</f>
        <v>0</v>
      </c>
      <c r="T7" s="664" t="s">
        <v>20</v>
      </c>
      <c r="U7" s="665">
        <f t="shared" ref="U7:U15" si="1">H7</f>
        <v>0</v>
      </c>
      <c r="V7" s="664" t="s">
        <v>20</v>
      </c>
      <c r="W7" s="665">
        <f t="shared" ref="W7:W15" si="2">J7</f>
        <v>0</v>
      </c>
      <c r="X7" s="666"/>
      <c r="Y7" s="3382" t="s">
        <v>1680</v>
      </c>
      <c r="Z7" s="3383"/>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4"/>
      <c r="M8" s="2436"/>
      <c r="N8" s="2436"/>
      <c r="O8" s="2436"/>
      <c r="P8" s="3382" t="s">
        <v>1683</v>
      </c>
      <c r="Q8" s="3383"/>
      <c r="R8" s="664" t="s">
        <v>20</v>
      </c>
      <c r="S8" s="665">
        <f t="shared" si="0"/>
        <v>100</v>
      </c>
      <c r="T8" s="664" t="s">
        <v>20</v>
      </c>
      <c r="U8" s="665">
        <f t="shared" si="1"/>
        <v>100</v>
      </c>
      <c r="V8" s="664" t="s">
        <v>20</v>
      </c>
      <c r="W8" s="665">
        <f t="shared" si="2"/>
        <v>100</v>
      </c>
      <c r="X8" s="666"/>
      <c r="Y8" s="3382" t="s">
        <v>1683</v>
      </c>
      <c r="Z8" s="338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4"/>
      <c r="M9" s="2436"/>
      <c r="N9" s="2436"/>
      <c r="O9" s="2436"/>
      <c r="P9" s="3395" t="s">
        <v>1686</v>
      </c>
      <c r="Q9" s="530" t="str">
        <f t="shared" ref="Q9:Q15" si="6">B9</f>
        <v>用途</v>
      </c>
      <c r="R9" s="664" t="s">
        <v>14</v>
      </c>
      <c r="S9" s="665">
        <f t="shared" si="0"/>
        <v>100</v>
      </c>
      <c r="T9" s="664" t="s">
        <v>14</v>
      </c>
      <c r="U9" s="665">
        <f t="shared" si="1"/>
        <v>100</v>
      </c>
      <c r="V9" s="664" t="s">
        <v>14</v>
      </c>
      <c r="W9" s="665">
        <f t="shared" si="2"/>
        <v>100</v>
      </c>
      <c r="X9" s="666"/>
      <c r="Y9" s="3347"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6"/>
      <c r="L10" s="2485"/>
      <c r="M10" s="2486"/>
      <c r="N10" s="2486"/>
      <c r="O10" s="2486"/>
      <c r="P10" s="3395"/>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95"/>
      <c r="Q11" s="530" t="str">
        <f t="shared" si="6"/>
        <v>容积率</v>
      </c>
      <c r="R11" s="664" t="s">
        <v>18</v>
      </c>
      <c r="S11" s="665" t="e">
        <f t="shared" si="0"/>
        <v>#N/A</v>
      </c>
      <c r="T11" s="664" t="s">
        <v>18</v>
      </c>
      <c r="U11" s="665" t="e">
        <f t="shared" si="1"/>
        <v>#N/A</v>
      </c>
      <c r="V11" s="664" t="s">
        <v>18</v>
      </c>
      <c r="W11" s="665" t="e">
        <f t="shared" si="2"/>
        <v>#N/A</v>
      </c>
      <c r="X11" s="666"/>
      <c r="Y11" s="334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4"/>
      <c r="M12" s="2436"/>
      <c r="N12" s="2436"/>
      <c r="O12" s="2436"/>
      <c r="P12" s="3395"/>
      <c r="Q12" s="530">
        <f t="shared" si="6"/>
        <v>111</v>
      </c>
      <c r="R12" s="664" t="s">
        <v>18</v>
      </c>
      <c r="S12" s="665">
        <f t="shared" si="0"/>
        <v>100</v>
      </c>
      <c r="T12" s="664" t="s">
        <v>18</v>
      </c>
      <c r="U12" s="665">
        <f t="shared" si="1"/>
        <v>100</v>
      </c>
      <c r="V12" s="664" t="s">
        <v>18</v>
      </c>
      <c r="W12" s="665">
        <f t="shared" si="2"/>
        <v>100</v>
      </c>
      <c r="X12" s="666"/>
      <c r="Y12" s="33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8"/>
      <c r="M13" s="2483"/>
      <c r="N13" s="2483"/>
      <c r="O13" s="2483"/>
      <c r="P13" s="3395"/>
      <c r="Q13" s="530">
        <f t="shared" si="6"/>
        <v>111</v>
      </c>
      <c r="R13" s="664" t="s">
        <v>18</v>
      </c>
      <c r="S13" s="665">
        <f t="shared" si="0"/>
        <v>100</v>
      </c>
      <c r="T13" s="664" t="s">
        <v>18</v>
      </c>
      <c r="U13" s="665">
        <f t="shared" si="1"/>
        <v>100</v>
      </c>
      <c r="V13" s="664" t="s">
        <v>18</v>
      </c>
      <c r="W13" s="665">
        <f t="shared" si="2"/>
        <v>100</v>
      </c>
      <c r="X13" s="666"/>
      <c r="Y13" s="3347"/>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8"/>
      <c r="M14" s="2483"/>
      <c r="N14" s="2483"/>
      <c r="O14" s="2483"/>
      <c r="P14" s="3395"/>
      <c r="Q14" s="530">
        <f t="shared" si="6"/>
        <v>111</v>
      </c>
      <c r="R14" s="664" t="s">
        <v>18</v>
      </c>
      <c r="S14" s="665">
        <f t="shared" si="0"/>
        <v>100</v>
      </c>
      <c r="T14" s="664" t="s">
        <v>18</v>
      </c>
      <c r="U14" s="665">
        <f t="shared" si="1"/>
        <v>100</v>
      </c>
      <c r="V14" s="664" t="s">
        <v>18</v>
      </c>
      <c r="W14" s="665">
        <f t="shared" si="2"/>
        <v>100</v>
      </c>
      <c r="X14" s="666"/>
      <c r="Y14" s="3347"/>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15" t="s">
        <v>1691</v>
      </c>
      <c r="Q15" s="1263" t="str">
        <f t="shared" si="6"/>
        <v>居住社区成熟度</v>
      </c>
      <c r="R15" s="667" t="s">
        <v>18</v>
      </c>
      <c r="S15" s="668">
        <f t="shared" si="0"/>
        <v>100</v>
      </c>
      <c r="T15" s="667" t="s">
        <v>18</v>
      </c>
      <c r="U15" s="668">
        <f t="shared" si="1"/>
        <v>100</v>
      </c>
      <c r="V15" s="667" t="s">
        <v>18</v>
      </c>
      <c r="W15" s="668">
        <f t="shared" si="2"/>
        <v>100</v>
      </c>
      <c r="X15" s="1265"/>
      <c r="Y15" s="341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8"/>
      <c r="M16" s="2483"/>
      <c r="N16" s="2483"/>
      <c r="O16" s="2483"/>
      <c r="P16" s="3416"/>
      <c r="Q16" s="1263"/>
      <c r="R16" s="667"/>
      <c r="S16" s="668"/>
      <c r="T16" s="667"/>
      <c r="U16" s="668"/>
      <c r="V16" s="667"/>
      <c r="W16" s="668"/>
      <c r="X16" s="1265"/>
      <c r="Y16" s="341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16"/>
      <c r="Q17" s="1263" t="str">
        <f>B17</f>
        <v>交通便捷度</v>
      </c>
      <c r="R17" s="667" t="s">
        <v>18</v>
      </c>
      <c r="S17" s="668">
        <f>F17</f>
        <v>100</v>
      </c>
      <c r="T17" s="667" t="s">
        <v>18</v>
      </c>
      <c r="U17" s="668">
        <f>H17</f>
        <v>100</v>
      </c>
      <c r="V17" s="667" t="s">
        <v>18</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8"/>
      <c r="M18" s="2483"/>
      <c r="N18" s="2483"/>
      <c r="O18" s="2483"/>
      <c r="P18" s="3416"/>
      <c r="Q18" s="1263"/>
      <c r="R18" s="667"/>
      <c r="S18" s="668"/>
      <c r="T18" s="667"/>
      <c r="U18" s="668"/>
      <c r="V18" s="667"/>
      <c r="W18" s="668"/>
      <c r="X18" s="1265"/>
      <c r="Y18" s="341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16"/>
      <c r="Q19" s="1263" t="str">
        <f>B19</f>
        <v>公共配套设施</v>
      </c>
      <c r="R19" s="667" t="s">
        <v>18</v>
      </c>
      <c r="S19" s="668">
        <f>F19</f>
        <v>100</v>
      </c>
      <c r="T19" s="667" t="s">
        <v>18</v>
      </c>
      <c r="U19" s="668">
        <f>H19</f>
        <v>100</v>
      </c>
      <c r="V19" s="667" t="s">
        <v>18</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8"/>
      <c r="M20" s="2483"/>
      <c r="N20" s="2483"/>
      <c r="O20" s="2483"/>
      <c r="P20" s="3416"/>
      <c r="Q20" s="1263"/>
      <c r="R20" s="667"/>
      <c r="S20" s="668"/>
      <c r="T20" s="667"/>
      <c r="U20" s="668"/>
      <c r="V20" s="667"/>
      <c r="W20" s="668"/>
      <c r="X20" s="1265"/>
      <c r="Y20" s="341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16"/>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8"/>
      <c r="M22" s="2483"/>
      <c r="N22" s="2483"/>
      <c r="O22" s="2483"/>
      <c r="P22" s="3416"/>
      <c r="Q22" s="1263"/>
      <c r="R22" s="667"/>
      <c r="S22" s="668"/>
      <c r="T22" s="667"/>
      <c r="U22" s="668"/>
      <c r="V22" s="667"/>
      <c r="W22" s="668"/>
      <c r="X22" s="1265"/>
      <c r="Y22" s="341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16"/>
      <c r="Q23" s="1263" t="str">
        <f>B23</f>
        <v>自然及人文环境</v>
      </c>
      <c r="R23" s="667" t="s">
        <v>18</v>
      </c>
      <c r="S23" s="668">
        <f>F23</f>
        <v>100</v>
      </c>
      <c r="T23" s="667" t="s">
        <v>18</v>
      </c>
      <c r="U23" s="668">
        <f>H23</f>
        <v>100</v>
      </c>
      <c r="V23" s="667" t="s">
        <v>18</v>
      </c>
      <c r="W23" s="668">
        <f>J23</f>
        <v>100</v>
      </c>
      <c r="X23" s="1265"/>
      <c r="Y23" s="341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8"/>
      <c r="M24" s="2483"/>
      <c r="N24" s="2483"/>
      <c r="O24" s="2483"/>
      <c r="P24" s="3416"/>
      <c r="Q24" s="1263"/>
      <c r="R24" s="667"/>
      <c r="S24" s="668"/>
      <c r="T24" s="667"/>
      <c r="U24" s="668"/>
      <c r="V24" s="667"/>
      <c r="W24" s="668"/>
      <c r="X24" s="1265"/>
      <c r="Y24" s="341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8"/>
      <c r="M25" s="2483"/>
      <c r="N25" s="2483"/>
      <c r="O25" s="2483"/>
      <c r="P25" s="341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8"/>
      <c r="M26" s="2483"/>
      <c r="N26" s="2483"/>
      <c r="O26" s="2483"/>
      <c r="P26" s="3416"/>
      <c r="Q26" s="1263" t="str">
        <f t="shared" si="11"/>
        <v>朝向</v>
      </c>
      <c r="R26" s="667" t="s">
        <v>18</v>
      </c>
      <c r="S26" s="668">
        <f t="shared" si="12"/>
        <v>100</v>
      </c>
      <c r="T26" s="667" t="s">
        <v>18</v>
      </c>
      <c r="U26" s="668">
        <f t="shared" si="13"/>
        <v>100</v>
      </c>
      <c r="V26" s="667" t="s">
        <v>18</v>
      </c>
      <c r="W26" s="668">
        <f t="shared" si="14"/>
        <v>100</v>
      </c>
      <c r="X26" s="1265"/>
      <c r="Y26" s="341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4"/>
      <c r="M27" s="2436"/>
      <c r="N27" s="2436"/>
      <c r="O27" s="2436"/>
      <c r="P27" s="3416"/>
      <c r="Q27" s="530">
        <f t="shared" si="11"/>
        <v>111</v>
      </c>
      <c r="R27" s="664" t="s">
        <v>18</v>
      </c>
      <c r="S27" s="665">
        <f t="shared" si="12"/>
        <v>100</v>
      </c>
      <c r="T27" s="664" t="s">
        <v>18</v>
      </c>
      <c r="U27" s="665">
        <f t="shared" si="13"/>
        <v>100</v>
      </c>
      <c r="V27" s="664" t="s">
        <v>18</v>
      </c>
      <c r="W27" s="665">
        <f t="shared" si="14"/>
        <v>100</v>
      </c>
      <c r="X27" s="666"/>
      <c r="Y27" s="341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8"/>
      <c r="M28" s="2483"/>
      <c r="N28" s="2483"/>
      <c r="O28" s="2483"/>
      <c r="P28" s="3416"/>
      <c r="Q28" s="1263">
        <f t="shared" si="11"/>
        <v>111</v>
      </c>
      <c r="R28" s="667" t="s">
        <v>18</v>
      </c>
      <c r="S28" s="668">
        <f t="shared" si="12"/>
        <v>100</v>
      </c>
      <c r="T28" s="667" t="s">
        <v>18</v>
      </c>
      <c r="U28" s="668">
        <f t="shared" si="13"/>
        <v>100</v>
      </c>
      <c r="V28" s="667" t="s">
        <v>18</v>
      </c>
      <c r="W28" s="668">
        <f t="shared" si="14"/>
        <v>100</v>
      </c>
      <c r="X28" s="1265"/>
      <c r="Y28" s="341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8"/>
      <c r="M29" s="2483"/>
      <c r="N29" s="2483"/>
      <c r="O29" s="2483"/>
      <c r="P29" s="3416"/>
      <c r="Q29" s="1263">
        <f t="shared" si="11"/>
        <v>111</v>
      </c>
      <c r="R29" s="667" t="s">
        <v>18</v>
      </c>
      <c r="S29" s="668">
        <f t="shared" si="12"/>
        <v>100</v>
      </c>
      <c r="T29" s="667" t="s">
        <v>18</v>
      </c>
      <c r="U29" s="668">
        <f t="shared" si="13"/>
        <v>100</v>
      </c>
      <c r="V29" s="667" t="s">
        <v>18</v>
      </c>
      <c r="W29" s="668">
        <f t="shared" si="14"/>
        <v>100</v>
      </c>
      <c r="X29" s="1265"/>
      <c r="Y29" s="341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8"/>
      <c r="M30" s="2483"/>
      <c r="N30" s="2483"/>
      <c r="O30" s="2483"/>
      <c r="P30" s="3416"/>
      <c r="Q30" s="1263">
        <f t="shared" si="11"/>
        <v>111</v>
      </c>
      <c r="R30" s="667" t="s">
        <v>18</v>
      </c>
      <c r="S30" s="668">
        <f t="shared" si="12"/>
        <v>100</v>
      </c>
      <c r="T30" s="667" t="s">
        <v>18</v>
      </c>
      <c r="U30" s="668">
        <f t="shared" si="13"/>
        <v>100</v>
      </c>
      <c r="V30" s="667" t="s">
        <v>18</v>
      </c>
      <c r="W30" s="668">
        <f t="shared" si="14"/>
        <v>100</v>
      </c>
      <c r="X30" s="1265"/>
      <c r="Y30" s="341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8"/>
      <c r="M31" s="2483"/>
      <c r="N31" s="2483"/>
      <c r="O31" s="2483"/>
      <c r="P31" s="3416"/>
      <c r="Q31" s="1263">
        <f t="shared" si="11"/>
        <v>111</v>
      </c>
      <c r="R31" s="667" t="s">
        <v>18</v>
      </c>
      <c r="S31" s="668">
        <f t="shared" si="12"/>
        <v>100</v>
      </c>
      <c r="T31" s="667" t="s">
        <v>18</v>
      </c>
      <c r="U31" s="668">
        <f t="shared" si="13"/>
        <v>100</v>
      </c>
      <c r="V31" s="667" t="s">
        <v>18</v>
      </c>
      <c r="W31" s="668">
        <f t="shared" si="14"/>
        <v>100</v>
      </c>
      <c r="X31" s="1265"/>
      <c r="Y31" s="341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8"/>
      <c r="M32" s="2483"/>
      <c r="N32" s="2483"/>
      <c r="O32" s="2483"/>
      <c r="P32" s="3419" t="s">
        <v>1696</v>
      </c>
      <c r="Q32" s="1263" t="str">
        <f t="shared" si="11"/>
        <v>建筑类型</v>
      </c>
      <c r="R32" s="667" t="s">
        <v>18</v>
      </c>
      <c r="S32" s="668">
        <f t="shared" si="12"/>
        <v>100</v>
      </c>
      <c r="T32" s="667" t="s">
        <v>18</v>
      </c>
      <c r="U32" s="668">
        <f t="shared" si="13"/>
        <v>100</v>
      </c>
      <c r="V32" s="667" t="s">
        <v>18</v>
      </c>
      <c r="W32" s="668">
        <f t="shared" si="14"/>
        <v>100</v>
      </c>
      <c r="X32" s="1265"/>
      <c r="Y32" s="342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7"/>
      <c r="M33" s="2489"/>
      <c r="N33" s="2489"/>
      <c r="O33" s="2489"/>
      <c r="P33" s="3420"/>
      <c r="Q33" s="531" t="str">
        <f t="shared" si="11"/>
        <v>项目建筑规模</v>
      </c>
      <c r="R33" s="669" t="s">
        <v>18</v>
      </c>
      <c r="S33" s="670" t="e">
        <f t="shared" si="12"/>
        <v>#N/A</v>
      </c>
      <c r="T33" s="669" t="s">
        <v>18</v>
      </c>
      <c r="U33" s="670" t="e">
        <f t="shared" si="13"/>
        <v>#N/A</v>
      </c>
      <c r="V33" s="669" t="s">
        <v>18</v>
      </c>
      <c r="W33" s="670" t="e">
        <f t="shared" si="14"/>
        <v>#N/A</v>
      </c>
      <c r="X33" s="671"/>
      <c r="Y33" s="342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8"/>
      <c r="M34" s="2483"/>
      <c r="N34" s="2483"/>
      <c r="O34" s="2483"/>
      <c r="P34" s="3420"/>
      <c r="Q34" s="1263" t="str">
        <f t="shared" si="11"/>
        <v>建筑结构</v>
      </c>
      <c r="R34" s="667" t="s">
        <v>18</v>
      </c>
      <c r="S34" s="668">
        <f t="shared" si="12"/>
        <v>100</v>
      </c>
      <c r="T34" s="667" t="s">
        <v>18</v>
      </c>
      <c r="U34" s="668">
        <f t="shared" si="13"/>
        <v>100</v>
      </c>
      <c r="V34" s="667" t="s">
        <v>18</v>
      </c>
      <c r="W34" s="668">
        <f t="shared" si="14"/>
        <v>100</v>
      </c>
      <c r="X34" s="1265"/>
      <c r="Y34" s="342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8"/>
      <c r="M35" s="2483"/>
      <c r="N35" s="2483"/>
      <c r="O35" s="2483"/>
      <c r="P35" s="3420"/>
      <c r="Q35" s="1263" t="str">
        <f t="shared" si="11"/>
        <v>建筑品质</v>
      </c>
      <c r="R35" s="667" t="s">
        <v>18</v>
      </c>
      <c r="S35" s="668">
        <f t="shared" si="12"/>
        <v>100</v>
      </c>
      <c r="T35" s="667" t="s">
        <v>18</v>
      </c>
      <c r="U35" s="668">
        <f t="shared" si="13"/>
        <v>100</v>
      </c>
      <c r="V35" s="667" t="s">
        <v>18</v>
      </c>
      <c r="W35" s="668">
        <f t="shared" si="14"/>
        <v>100</v>
      </c>
      <c r="X35" s="1265"/>
      <c r="Y35" s="342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8"/>
      <c r="M36" s="2483"/>
      <c r="N36" s="2483"/>
      <c r="O36" s="2483"/>
      <c r="P36" s="3420"/>
      <c r="Q36" s="1263" t="str">
        <f t="shared" si="11"/>
        <v>公共部分装修</v>
      </c>
      <c r="R36" s="667" t="s">
        <v>18</v>
      </c>
      <c r="S36" s="668">
        <f t="shared" si="12"/>
        <v>100</v>
      </c>
      <c r="T36" s="667" t="s">
        <v>18</v>
      </c>
      <c r="U36" s="668">
        <f t="shared" si="13"/>
        <v>100</v>
      </c>
      <c r="V36" s="667" t="s">
        <v>18</v>
      </c>
      <c r="W36" s="668">
        <f t="shared" si="14"/>
        <v>100</v>
      </c>
      <c r="X36" s="1265"/>
      <c r="Y36" s="342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420"/>
      <c r="Q37" s="530" t="str">
        <f t="shared" si="11"/>
        <v>成新度</v>
      </c>
      <c r="R37" s="664" t="s">
        <v>18</v>
      </c>
      <c r="S37" s="665" t="e">
        <f t="shared" si="12"/>
        <v>#N/A</v>
      </c>
      <c r="T37" s="664" t="s">
        <v>18</v>
      </c>
      <c r="U37" s="665" t="e">
        <f t="shared" si="13"/>
        <v>#N/A</v>
      </c>
      <c r="V37" s="664" t="s">
        <v>18</v>
      </c>
      <c r="W37" s="665" t="e">
        <f t="shared" si="14"/>
        <v>#N/A</v>
      </c>
      <c r="X37" s="666"/>
      <c r="Y37" s="342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8"/>
      <c r="M38" s="2483"/>
      <c r="N38" s="2483"/>
      <c r="O38" s="2483"/>
      <c r="P38" s="3420" t="s">
        <v>1696</v>
      </c>
      <c r="Q38" s="1263" t="str">
        <f t="shared" si="11"/>
        <v>物业管理</v>
      </c>
      <c r="R38" s="667" t="s">
        <v>18</v>
      </c>
      <c r="S38" s="668">
        <f t="shared" si="12"/>
        <v>100</v>
      </c>
      <c r="T38" s="667" t="s">
        <v>18</v>
      </c>
      <c r="U38" s="668">
        <f t="shared" si="13"/>
        <v>100</v>
      </c>
      <c r="V38" s="667" t="s">
        <v>18</v>
      </c>
      <c r="W38" s="668">
        <f t="shared" si="14"/>
        <v>100</v>
      </c>
      <c r="X38" s="1265"/>
      <c r="Y38" s="342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8"/>
      <c r="M39" s="2483"/>
      <c r="N39" s="2483"/>
      <c r="O39" s="2483"/>
      <c r="P39" s="3420"/>
      <c r="Q39" s="1263" t="str">
        <f t="shared" si="11"/>
        <v>市政基础设施</v>
      </c>
      <c r="R39" s="667" t="s">
        <v>18</v>
      </c>
      <c r="S39" s="668">
        <f t="shared" si="12"/>
        <v>100</v>
      </c>
      <c r="T39" s="667" t="s">
        <v>18</v>
      </c>
      <c r="U39" s="668">
        <f t="shared" si="13"/>
        <v>100</v>
      </c>
      <c r="V39" s="667" t="s">
        <v>18</v>
      </c>
      <c r="W39" s="668">
        <f t="shared" si="14"/>
        <v>100</v>
      </c>
      <c r="X39" s="1265"/>
      <c r="Y39" s="342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8"/>
      <c r="M40" s="2483"/>
      <c r="N40" s="2483"/>
      <c r="O40" s="2483"/>
      <c r="P40" s="3420"/>
      <c r="Q40" s="1263" t="str">
        <f t="shared" si="11"/>
        <v>房型</v>
      </c>
      <c r="R40" s="667" t="s">
        <v>18</v>
      </c>
      <c r="S40" s="668">
        <f t="shared" si="12"/>
        <v>100</v>
      </c>
      <c r="T40" s="667" t="s">
        <v>18</v>
      </c>
      <c r="U40" s="668">
        <f t="shared" si="13"/>
        <v>100</v>
      </c>
      <c r="V40" s="667" t="s">
        <v>18</v>
      </c>
      <c r="W40" s="668">
        <f t="shared" si="14"/>
        <v>100</v>
      </c>
      <c r="X40" s="1265"/>
      <c r="Y40" s="342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7"/>
      <c r="M41" s="2489"/>
      <c r="N41" s="2489"/>
      <c r="O41" s="2489"/>
      <c r="P41" s="3420"/>
      <c r="Q41" s="531" t="str">
        <f t="shared" si="11"/>
        <v>单套/主力户型建筑面积</v>
      </c>
      <c r="R41" s="669" t="s">
        <v>18</v>
      </c>
      <c r="S41" s="670">
        <f t="shared" si="12"/>
        <v>100</v>
      </c>
      <c r="T41" s="669" t="s">
        <v>18</v>
      </c>
      <c r="U41" s="670">
        <f t="shared" si="13"/>
        <v>100</v>
      </c>
      <c r="V41" s="669" t="s">
        <v>18</v>
      </c>
      <c r="W41" s="670">
        <f t="shared" si="14"/>
        <v>100</v>
      </c>
      <c r="X41" s="671"/>
      <c r="Y41" s="342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8"/>
      <c r="M42" s="2483"/>
      <c r="N42" s="2483"/>
      <c r="O42" s="2483"/>
      <c r="P42" s="3420"/>
      <c r="Q42" s="1263" t="str">
        <f t="shared" si="11"/>
        <v>内部装修</v>
      </c>
      <c r="R42" s="667" t="s">
        <v>18</v>
      </c>
      <c r="S42" s="668">
        <f t="shared" si="12"/>
        <v>100</v>
      </c>
      <c r="T42" s="667" t="s">
        <v>18</v>
      </c>
      <c r="U42" s="668">
        <f t="shared" si="13"/>
        <v>100</v>
      </c>
      <c r="V42" s="667" t="s">
        <v>18</v>
      </c>
      <c r="W42" s="668">
        <f t="shared" si="14"/>
        <v>100</v>
      </c>
      <c r="X42" s="1265"/>
      <c r="Y42" s="342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8"/>
      <c r="M43" s="2483"/>
      <c r="N43" s="2483"/>
      <c r="O43" s="2483"/>
      <c r="P43" s="3420"/>
      <c r="Q43" s="1263" t="str">
        <f t="shared" si="11"/>
        <v>内部装修维护情况</v>
      </c>
      <c r="R43" s="667" t="s">
        <v>18</v>
      </c>
      <c r="S43" s="668">
        <f t="shared" si="12"/>
        <v>100</v>
      </c>
      <c r="T43" s="667" t="s">
        <v>18</v>
      </c>
      <c r="U43" s="668">
        <f t="shared" si="13"/>
        <v>100</v>
      </c>
      <c r="V43" s="667" t="s">
        <v>18</v>
      </c>
      <c r="W43" s="668">
        <f t="shared" si="14"/>
        <v>100</v>
      </c>
      <c r="X43" s="1265"/>
      <c r="Y43" s="342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4"/>
      <c r="M44" s="2436"/>
      <c r="N44" s="2436"/>
      <c r="O44" s="2436"/>
      <c r="P44" s="3420"/>
      <c r="Q44" s="530">
        <f t="shared" si="11"/>
        <v>111</v>
      </c>
      <c r="R44" s="664" t="s">
        <v>18</v>
      </c>
      <c r="S44" s="665">
        <f t="shared" si="12"/>
        <v>100</v>
      </c>
      <c r="T44" s="664" t="s">
        <v>18</v>
      </c>
      <c r="U44" s="665">
        <f t="shared" si="13"/>
        <v>100</v>
      </c>
      <c r="V44" s="664" t="s">
        <v>18</v>
      </c>
      <c r="W44" s="665">
        <f t="shared" si="14"/>
        <v>100</v>
      </c>
      <c r="X44" s="666"/>
      <c r="Y44" s="342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8"/>
      <c r="M45" s="2483"/>
      <c r="N45" s="2483"/>
      <c r="O45" s="2483"/>
      <c r="P45" s="3420"/>
      <c r="Q45" s="1263">
        <f t="shared" si="11"/>
        <v>111</v>
      </c>
      <c r="R45" s="667" t="s">
        <v>18</v>
      </c>
      <c r="S45" s="668">
        <f t="shared" si="12"/>
        <v>100</v>
      </c>
      <c r="T45" s="667" t="s">
        <v>18</v>
      </c>
      <c r="U45" s="668">
        <f t="shared" si="13"/>
        <v>100</v>
      </c>
      <c r="V45" s="667" t="s">
        <v>18</v>
      </c>
      <c r="W45" s="668">
        <f t="shared" si="14"/>
        <v>100</v>
      </c>
      <c r="X45" s="1265"/>
      <c r="Y45" s="342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8"/>
      <c r="M46" s="2483"/>
      <c r="N46" s="2483"/>
      <c r="O46" s="2483"/>
      <c r="P46" s="3421"/>
      <c r="Q46" s="1263">
        <f t="shared" si="11"/>
        <v>111</v>
      </c>
      <c r="R46" s="667" t="s">
        <v>17</v>
      </c>
      <c r="S46" s="668">
        <f t="shared" si="12"/>
        <v>100</v>
      </c>
      <c r="T46" s="667" t="s">
        <v>17</v>
      </c>
      <c r="U46" s="668">
        <f t="shared" si="13"/>
        <v>100</v>
      </c>
      <c r="V46" s="667" t="s">
        <v>17</v>
      </c>
      <c r="W46" s="668">
        <f t="shared" si="14"/>
        <v>100</v>
      </c>
      <c r="X46" s="1265"/>
      <c r="Y46" s="342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0"/>
      <c r="M47" s="2483"/>
      <c r="N47" s="2483"/>
      <c r="O47" s="2483"/>
      <c r="P47" s="3424" t="str">
        <f>A47</f>
        <v>成交单价（元/平方米）</v>
      </c>
      <c r="Q47" s="3424"/>
      <c r="R47" s="3412">
        <f>E47</f>
        <v>0</v>
      </c>
      <c r="S47" s="3412"/>
      <c r="T47" s="3412">
        <f>G47</f>
        <v>0</v>
      </c>
      <c r="U47" s="3412"/>
      <c r="V47" s="3412">
        <f>I47</f>
        <v>0</v>
      </c>
      <c r="W47" s="3412"/>
      <c r="X47" s="385"/>
      <c r="Y47" s="673"/>
      <c r="Z47" s="385"/>
      <c r="AA47" s="385"/>
      <c r="AB47" s="385"/>
      <c r="AC47" s="385"/>
    </row>
    <row r="48" spans="1:29" ht="15" thickBot="1">
      <c r="A48" s="423" t="s">
        <v>1709</v>
      </c>
      <c r="B48" s="424"/>
      <c r="C48" s="1082" t="e">
        <f>R49</f>
        <v>#DIV/0!</v>
      </c>
      <c r="D48" s="2141" t="s">
        <v>2136</v>
      </c>
      <c r="E48" s="1083" t="e">
        <f>R48</f>
        <v>#DIV/0!</v>
      </c>
      <c r="F48" s="2142"/>
      <c r="G48" s="1082" t="e">
        <f>T48</f>
        <v>#DIV/0!</v>
      </c>
      <c r="H48" s="2142"/>
      <c r="I48" s="1083" t="e">
        <f>V48</f>
        <v>#DIV/0!</v>
      </c>
      <c r="J48" s="2142"/>
      <c r="K48" s="2143">
        <f>F48+H48+J48</f>
        <v>0</v>
      </c>
      <c r="L48" s="2490"/>
      <c r="M48" s="2483"/>
      <c r="N48" s="2483"/>
      <c r="O48" s="2483"/>
      <c r="P48" s="3424" t="str">
        <f>A48</f>
        <v>比较价值（元/平方米）</v>
      </c>
      <c r="Q48" s="3424"/>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0"/>
      <c r="M49" s="2483"/>
      <c r="N49" s="2483"/>
      <c r="O49" s="2483"/>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70"/>
    </row>
    <row r="55" spans="1:29" s="437" customFormat="1">
      <c r="A55" s="2493"/>
      <c r="B55" s="2496"/>
      <c r="C55" s="2497"/>
      <c r="D55" s="2493"/>
      <c r="E55" s="2493"/>
      <c r="F55" s="2493"/>
      <c r="G55" s="2493"/>
      <c r="H55" s="2493"/>
      <c r="I55" s="2493"/>
      <c r="J55" s="2493"/>
      <c r="K55" s="2498"/>
      <c r="L55" s="2492"/>
      <c r="M55" s="2493"/>
      <c r="N55" s="2493"/>
      <c r="O55" s="2493"/>
      <c r="P55" s="1770"/>
    </row>
    <row r="56" spans="1:29">
      <c r="A56" s="2483"/>
      <c r="B56" s="2496"/>
      <c r="C56" s="2497"/>
      <c r="D56" s="2483"/>
      <c r="E56" s="2483"/>
      <c r="F56" s="2483"/>
      <c r="G56" s="2483"/>
      <c r="H56" s="2483"/>
      <c r="I56" s="2483"/>
      <c r="J56" s="2483"/>
      <c r="K56" s="2495"/>
      <c r="L56" s="2491"/>
      <c r="M56" s="2483"/>
      <c r="N56" s="2483"/>
      <c r="O56" s="2483"/>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0"/>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9"/>
      <c r="M2" s="2500"/>
      <c r="N2" s="2500"/>
      <c r="O2" s="2500"/>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94.78</v>
      </c>
      <c r="E3" s="1805"/>
      <c r="F3" s="856"/>
      <c r="G3" s="855"/>
      <c r="H3" s="855"/>
      <c r="I3" s="855"/>
      <c r="J3" s="855"/>
      <c r="K3" s="857"/>
      <c r="L3" s="2499"/>
      <c r="M3" s="2500"/>
      <c r="N3" s="2500"/>
      <c r="O3" s="2500"/>
      <c r="P3" s="1804"/>
      <c r="Q3" s="859"/>
      <c r="R3" s="859"/>
      <c r="S3" s="859"/>
      <c r="T3" s="859"/>
      <c r="U3" s="859"/>
      <c r="V3" s="859"/>
      <c r="W3" s="859"/>
      <c r="X3" s="859"/>
      <c r="Y3" s="859"/>
      <c r="Z3" s="859"/>
      <c r="AA3" s="859"/>
      <c r="AB3" s="859"/>
      <c r="AC3" s="1805"/>
    </row>
    <row r="4" spans="1:29" ht="14.4">
      <c r="A4" s="345" t="s">
        <v>1769</v>
      </c>
      <c r="B4" s="346"/>
      <c r="C4" s="3399" t="s">
        <v>1770</v>
      </c>
      <c r="D4" s="3400"/>
      <c r="E4" s="3401" t="s">
        <v>1771</v>
      </c>
      <c r="F4" s="3402"/>
      <c r="G4" s="3399" t="s">
        <v>1772</v>
      </c>
      <c r="H4" s="3400"/>
      <c r="I4" s="3399" t="s">
        <v>1773</v>
      </c>
      <c r="J4" s="3400"/>
      <c r="K4" s="537" t="s">
        <v>1774</v>
      </c>
      <c r="L4" s="2482"/>
      <c r="M4" s="2483"/>
      <c r="N4" s="2483"/>
      <c r="O4" s="2483"/>
      <c r="P4" s="3454" t="s">
        <v>1775</v>
      </c>
      <c r="Q4" s="3455"/>
      <c r="R4" s="3450" t="s">
        <v>1771</v>
      </c>
      <c r="S4" s="3451"/>
      <c r="T4" s="3450" t="s">
        <v>1772</v>
      </c>
      <c r="U4" s="3451"/>
      <c r="V4" s="3412" t="s">
        <v>1773</v>
      </c>
      <c r="W4" s="3412"/>
      <c r="X4" s="1265"/>
      <c r="Y4" s="3450" t="s">
        <v>1775</v>
      </c>
      <c r="Z4" s="3451"/>
      <c r="AA4" s="3449" t="s">
        <v>1771</v>
      </c>
      <c r="AB4" s="3412" t="s">
        <v>1772</v>
      </c>
      <c r="AC4" s="3449" t="s">
        <v>1773</v>
      </c>
    </row>
    <row r="5" spans="1:29">
      <c r="A5" s="348"/>
      <c r="B5" s="349"/>
      <c r="C5" s="3392" t="s">
        <v>1673</v>
      </c>
      <c r="D5" s="3389"/>
      <c r="E5" s="3452" t="s">
        <v>1674</v>
      </c>
      <c r="F5" s="3453"/>
      <c r="G5" s="3392" t="s">
        <v>1675</v>
      </c>
      <c r="H5" s="3389"/>
      <c r="I5" s="3392" t="s">
        <v>1676</v>
      </c>
      <c r="J5" s="3389"/>
      <c r="K5" s="537"/>
      <c r="L5" s="2482"/>
      <c r="M5" s="2483"/>
      <c r="N5" s="2483"/>
      <c r="O5" s="2483"/>
      <c r="P5" s="3456"/>
      <c r="Q5" s="3406"/>
      <c r="R5" s="3386"/>
      <c r="S5" s="3387"/>
      <c r="T5" s="3386"/>
      <c r="U5" s="3387"/>
      <c r="V5" s="3412"/>
      <c r="W5" s="3412"/>
      <c r="X5" s="1265"/>
      <c r="Y5" s="3386"/>
      <c r="Z5" s="3387"/>
      <c r="AA5" s="3380"/>
      <c r="AB5" s="3412"/>
      <c r="AC5" s="3380"/>
    </row>
    <row r="6" spans="1:29" ht="15" thickBot="1">
      <c r="A6" s="350"/>
      <c r="B6" s="351"/>
      <c r="C6" s="3390" t="s">
        <v>1677</v>
      </c>
      <c r="D6" s="3391"/>
      <c r="E6" s="3393" t="s">
        <v>1677</v>
      </c>
      <c r="F6" s="3394"/>
      <c r="G6" s="3390" t="s">
        <v>1677</v>
      </c>
      <c r="H6" s="3391"/>
      <c r="I6" s="3390" t="s">
        <v>1677</v>
      </c>
      <c r="J6" s="3391"/>
      <c r="K6" s="537" t="s">
        <v>1678</v>
      </c>
      <c r="L6" s="2482"/>
      <c r="M6" s="2483"/>
      <c r="N6" s="2483"/>
      <c r="O6" s="2483"/>
      <c r="P6" s="3457"/>
      <c r="Q6" s="3408"/>
      <c r="R6" s="3386"/>
      <c r="S6" s="3387"/>
      <c r="T6" s="3409"/>
      <c r="U6" s="3410"/>
      <c r="V6" s="3412"/>
      <c r="W6" s="3412"/>
      <c r="X6" s="1265"/>
      <c r="Y6" s="3409"/>
      <c r="Z6" s="3410"/>
      <c r="AA6" s="3381"/>
      <c r="AB6" s="3412"/>
      <c r="AC6" s="3381"/>
    </row>
    <row r="7" spans="1:29" s="102" customFormat="1" ht="1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38"/>
      <c r="L7" s="2484"/>
      <c r="M7" s="2436"/>
      <c r="N7" s="2436"/>
      <c r="O7" s="2436"/>
      <c r="P7" s="3382" t="s">
        <v>1680</v>
      </c>
      <c r="Q7" s="3414"/>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382" t="s">
        <v>1683</v>
      </c>
      <c r="Q8" s="3383"/>
      <c r="R8" s="664" t="s">
        <v>14</v>
      </c>
      <c r="S8" s="665">
        <f t="shared" si="0"/>
        <v>100</v>
      </c>
      <c r="T8" s="664" t="s">
        <v>14</v>
      </c>
      <c r="U8" s="665">
        <f t="shared" si="1"/>
        <v>100</v>
      </c>
      <c r="V8" s="664" t="s">
        <v>14</v>
      </c>
      <c r="W8" s="665">
        <f t="shared" si="2"/>
        <v>100</v>
      </c>
      <c r="X8" s="666"/>
      <c r="Y8" s="3382" t="s">
        <v>1683</v>
      </c>
      <c r="Z8" s="3383"/>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395" t="s">
        <v>1686</v>
      </c>
      <c r="Q9" s="530" t="str">
        <f t="shared" ref="Q9:Q15" si="6">B9</f>
        <v>用途</v>
      </c>
      <c r="R9" s="664" t="s">
        <v>14</v>
      </c>
      <c r="S9" s="665">
        <f t="shared" si="0"/>
        <v>100</v>
      </c>
      <c r="T9" s="664" t="s">
        <v>14</v>
      </c>
      <c r="U9" s="665">
        <f t="shared" si="1"/>
        <v>100</v>
      </c>
      <c r="V9" s="664" t="s">
        <v>14</v>
      </c>
      <c r="W9" s="665">
        <f t="shared" si="2"/>
        <v>100</v>
      </c>
      <c r="X9" s="666"/>
      <c r="Y9" s="3347"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395"/>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95"/>
      <c r="Q11" s="530" t="str">
        <f t="shared" si="6"/>
        <v>容积率</v>
      </c>
      <c r="R11" s="664" t="s">
        <v>14</v>
      </c>
      <c r="S11" s="665" t="e">
        <f t="shared" si="0"/>
        <v>#N/A</v>
      </c>
      <c r="T11" s="664" t="s">
        <v>14</v>
      </c>
      <c r="U11" s="665" t="e">
        <f t="shared" si="1"/>
        <v>#N/A</v>
      </c>
      <c r="V11" s="664" t="s">
        <v>14</v>
      </c>
      <c r="W11" s="665" t="e">
        <f t="shared" si="2"/>
        <v>#N/A</v>
      </c>
      <c r="X11" s="666"/>
      <c r="Y11" s="334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395"/>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95"/>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95"/>
      <c r="Q14" s="530">
        <f t="shared" si="6"/>
        <v>111</v>
      </c>
      <c r="R14" s="664" t="s">
        <v>14</v>
      </c>
      <c r="S14" s="665">
        <f t="shared" si="0"/>
        <v>100</v>
      </c>
      <c r="T14" s="664" t="s">
        <v>14</v>
      </c>
      <c r="U14" s="665">
        <f t="shared" si="1"/>
        <v>100</v>
      </c>
      <c r="V14" s="664" t="s">
        <v>14</v>
      </c>
      <c r="W14" s="665">
        <f t="shared" si="2"/>
        <v>100</v>
      </c>
      <c r="X14" s="666"/>
      <c r="Y14" s="3347"/>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15" t="s">
        <v>1691</v>
      </c>
      <c r="Q15" s="1263" t="str">
        <f t="shared" si="6"/>
        <v>商业繁华度</v>
      </c>
      <c r="R15" s="667" t="s">
        <v>14</v>
      </c>
      <c r="S15" s="668">
        <f t="shared" si="0"/>
        <v>100</v>
      </c>
      <c r="T15" s="667" t="s">
        <v>14</v>
      </c>
      <c r="U15" s="668">
        <f t="shared" si="1"/>
        <v>100</v>
      </c>
      <c r="V15" s="667" t="s">
        <v>14</v>
      </c>
      <c r="W15" s="668">
        <f t="shared" si="2"/>
        <v>100</v>
      </c>
      <c r="X15" s="1265"/>
      <c r="Y15" s="341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8"/>
      <c r="M16" s="2483"/>
      <c r="N16" s="2483"/>
      <c r="O16" s="2483"/>
      <c r="P16" s="3416"/>
      <c r="Q16" s="1263"/>
      <c r="R16" s="667"/>
      <c r="S16" s="668"/>
      <c r="T16" s="667"/>
      <c r="U16" s="668"/>
      <c r="V16" s="667"/>
      <c r="W16" s="668"/>
      <c r="X16" s="1265"/>
      <c r="Y16" s="341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16"/>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8"/>
      <c r="M18" s="2483"/>
      <c r="N18" s="2483"/>
      <c r="O18" s="2483"/>
      <c r="P18" s="3416"/>
      <c r="Q18" s="1263"/>
      <c r="R18" s="667"/>
      <c r="S18" s="668"/>
      <c r="T18" s="667"/>
      <c r="U18" s="668"/>
      <c r="V18" s="667"/>
      <c r="W18" s="668"/>
      <c r="X18" s="1265"/>
      <c r="Y18" s="341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16"/>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8"/>
      <c r="M20" s="2483"/>
      <c r="N20" s="2483"/>
      <c r="O20" s="2483"/>
      <c r="P20" s="3416"/>
      <c r="Q20" s="1263"/>
      <c r="R20" s="667"/>
      <c r="S20" s="668"/>
      <c r="T20" s="667"/>
      <c r="U20" s="668"/>
      <c r="V20" s="667"/>
      <c r="W20" s="668"/>
      <c r="X20" s="1265"/>
      <c r="Y20" s="341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16"/>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8"/>
      <c r="M22" s="2483"/>
      <c r="N22" s="2483"/>
      <c r="O22" s="2483"/>
      <c r="P22" s="3416"/>
      <c r="Q22" s="1263"/>
      <c r="R22" s="667"/>
      <c r="S22" s="668"/>
      <c r="T22" s="667"/>
      <c r="U22" s="668"/>
      <c r="V22" s="667"/>
      <c r="W22" s="668"/>
      <c r="X22" s="1265"/>
      <c r="Y22" s="341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16"/>
      <c r="Q23" s="1263" t="str">
        <f>B23</f>
        <v>自然及人文环境</v>
      </c>
      <c r="R23" s="667" t="s">
        <v>14</v>
      </c>
      <c r="S23" s="668">
        <f>F23</f>
        <v>100</v>
      </c>
      <c r="T23" s="667" t="s">
        <v>14</v>
      </c>
      <c r="U23" s="668">
        <f>H23</f>
        <v>100</v>
      </c>
      <c r="V23" s="667" t="s">
        <v>14</v>
      </c>
      <c r="W23" s="668">
        <f>J23</f>
        <v>100</v>
      </c>
      <c r="X23" s="1265"/>
      <c r="Y23" s="341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8"/>
      <c r="M24" s="2483"/>
      <c r="N24" s="2483"/>
      <c r="O24" s="2483"/>
      <c r="P24" s="3416"/>
      <c r="Q24" s="1263"/>
      <c r="R24" s="667"/>
      <c r="S24" s="668"/>
      <c r="T24" s="667"/>
      <c r="U24" s="668"/>
      <c r="V24" s="667"/>
      <c r="W24" s="668"/>
      <c r="X24" s="1265"/>
      <c r="Y24" s="341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16"/>
      <c r="Q25" s="1263" t="str">
        <f t="shared" ref="Q25:Q46" si="11">B25</f>
        <v>临街状况</v>
      </c>
      <c r="R25" s="667" t="s">
        <v>14</v>
      </c>
      <c r="S25" s="668">
        <f>F25</f>
        <v>100</v>
      </c>
      <c r="T25" s="667" t="s">
        <v>14</v>
      </c>
      <c r="U25" s="668">
        <f>H25</f>
        <v>100</v>
      </c>
      <c r="V25" s="667" t="s">
        <v>14</v>
      </c>
      <c r="W25" s="668">
        <f>J25</f>
        <v>100</v>
      </c>
      <c r="X25" s="1265"/>
      <c r="Y25" s="341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16"/>
      <c r="Q26" s="1263" t="str">
        <f t="shared" si="11"/>
        <v>平面位置/可视性</v>
      </c>
      <c r="R26" s="667" t="s">
        <v>14</v>
      </c>
      <c r="S26" s="668">
        <f>F26</f>
        <v>100</v>
      </c>
      <c r="T26" s="667" t="s">
        <v>14</v>
      </c>
      <c r="U26" s="668">
        <f>H26</f>
        <v>100</v>
      </c>
      <c r="V26" s="667" t="s">
        <v>14</v>
      </c>
      <c r="W26" s="668">
        <f>J26</f>
        <v>100</v>
      </c>
      <c r="X26" s="1265"/>
      <c r="Y26" s="341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4"/>
      <c r="M27" s="2436"/>
      <c r="N27" s="2436"/>
      <c r="O27" s="2436"/>
      <c r="P27" s="3416"/>
      <c r="Q27" s="530" t="str">
        <f t="shared" si="11"/>
        <v>人流量</v>
      </c>
      <c r="R27" s="664" t="s">
        <v>14</v>
      </c>
      <c r="S27" s="665">
        <f>F27</f>
        <v>100</v>
      </c>
      <c r="T27" s="664" t="s">
        <v>14</v>
      </c>
      <c r="U27" s="665">
        <f>H27</f>
        <v>100</v>
      </c>
      <c r="V27" s="664" t="s">
        <v>14</v>
      </c>
      <c r="W27" s="665">
        <f>J27</f>
        <v>100</v>
      </c>
      <c r="X27" s="666"/>
      <c r="Y27" s="341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1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16"/>
      <c r="Q29" s="1263">
        <f t="shared" si="11"/>
        <v>111</v>
      </c>
      <c r="R29" s="667" t="s">
        <v>14</v>
      </c>
      <c r="S29" s="668">
        <f t="shared" si="12"/>
        <v>100</v>
      </c>
      <c r="T29" s="667" t="s">
        <v>14</v>
      </c>
      <c r="U29" s="668">
        <f t="shared" si="13"/>
        <v>100</v>
      </c>
      <c r="V29" s="667" t="s">
        <v>14</v>
      </c>
      <c r="W29" s="668">
        <f t="shared" si="14"/>
        <v>100</v>
      </c>
      <c r="X29" s="1265"/>
      <c r="Y29" s="341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16"/>
      <c r="Q30" s="1263">
        <f t="shared" si="11"/>
        <v>111</v>
      </c>
      <c r="R30" s="667" t="s">
        <v>14</v>
      </c>
      <c r="S30" s="668">
        <f t="shared" si="12"/>
        <v>100</v>
      </c>
      <c r="T30" s="667" t="s">
        <v>14</v>
      </c>
      <c r="U30" s="668">
        <f t="shared" si="13"/>
        <v>100</v>
      </c>
      <c r="V30" s="667" t="s">
        <v>14</v>
      </c>
      <c r="W30" s="668">
        <f t="shared" si="14"/>
        <v>100</v>
      </c>
      <c r="X30" s="1265"/>
      <c r="Y30" s="341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16"/>
      <c r="Q31" s="1263">
        <f t="shared" si="11"/>
        <v>111</v>
      </c>
      <c r="R31" s="667" t="s">
        <v>14</v>
      </c>
      <c r="S31" s="668">
        <f t="shared" si="12"/>
        <v>100</v>
      </c>
      <c r="T31" s="667" t="s">
        <v>14</v>
      </c>
      <c r="U31" s="668">
        <f t="shared" si="13"/>
        <v>100</v>
      </c>
      <c r="V31" s="667" t="s">
        <v>14</v>
      </c>
      <c r="W31" s="668">
        <f t="shared" si="14"/>
        <v>100</v>
      </c>
      <c r="X31" s="1265"/>
      <c r="Y31" s="341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8"/>
      <c r="M32" s="2483"/>
      <c r="N32" s="2483"/>
      <c r="O32" s="2483"/>
      <c r="P32" s="3419" t="s">
        <v>1696</v>
      </c>
      <c r="Q32" s="1263" t="str">
        <f t="shared" si="11"/>
        <v>商业类型</v>
      </c>
      <c r="R32" s="667" t="s">
        <v>14</v>
      </c>
      <c r="S32" s="668">
        <f t="shared" si="12"/>
        <v>100</v>
      </c>
      <c r="T32" s="667" t="s">
        <v>14</v>
      </c>
      <c r="U32" s="668">
        <f t="shared" si="13"/>
        <v>100</v>
      </c>
      <c r="V32" s="667" t="s">
        <v>14</v>
      </c>
      <c r="W32" s="668">
        <f t="shared" si="14"/>
        <v>100</v>
      </c>
      <c r="X32" s="1265"/>
      <c r="Y32" s="342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20"/>
      <c r="Q33" s="531" t="str">
        <f t="shared" si="11"/>
        <v>项目建筑规模</v>
      </c>
      <c r="R33" s="669" t="s">
        <v>14</v>
      </c>
      <c r="S33" s="670" t="e">
        <f t="shared" si="12"/>
        <v>#N/A</v>
      </c>
      <c r="T33" s="669" t="s">
        <v>14</v>
      </c>
      <c r="U33" s="670" t="e">
        <f t="shared" si="13"/>
        <v>#N/A</v>
      </c>
      <c r="V33" s="669" t="s">
        <v>14</v>
      </c>
      <c r="W33" s="670" t="e">
        <f t="shared" si="14"/>
        <v>#N/A</v>
      </c>
      <c r="X33" s="671"/>
      <c r="Y33" s="342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20"/>
      <c r="Q34" s="1263" t="str">
        <f t="shared" si="11"/>
        <v>建筑结构</v>
      </c>
      <c r="R34" s="667" t="s">
        <v>14</v>
      </c>
      <c r="S34" s="668">
        <f t="shared" si="12"/>
        <v>100</v>
      </c>
      <c r="T34" s="667" t="s">
        <v>14</v>
      </c>
      <c r="U34" s="668">
        <f t="shared" si="13"/>
        <v>100</v>
      </c>
      <c r="V34" s="667" t="s">
        <v>14</v>
      </c>
      <c r="W34" s="668">
        <f t="shared" si="14"/>
        <v>100</v>
      </c>
      <c r="X34" s="1265"/>
      <c r="Y34" s="342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8"/>
      <c r="M35" s="2483"/>
      <c r="N35" s="2483"/>
      <c r="O35" s="2483"/>
      <c r="P35" s="3420"/>
      <c r="Q35" s="1263" t="str">
        <f t="shared" si="11"/>
        <v>公共部分装修</v>
      </c>
      <c r="R35" s="667" t="s">
        <v>14</v>
      </c>
      <c r="S35" s="668">
        <f t="shared" si="12"/>
        <v>100</v>
      </c>
      <c r="T35" s="667" t="s">
        <v>14</v>
      </c>
      <c r="U35" s="668">
        <f t="shared" si="13"/>
        <v>100</v>
      </c>
      <c r="V35" s="667" t="s">
        <v>14</v>
      </c>
      <c r="W35" s="668">
        <f t="shared" si="14"/>
        <v>100</v>
      </c>
      <c r="X35" s="1265"/>
      <c r="Y35" s="342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20"/>
      <c r="Q36" s="1263" t="str">
        <f t="shared" si="11"/>
        <v>成新度</v>
      </c>
      <c r="R36" s="667" t="s">
        <v>14</v>
      </c>
      <c r="S36" s="668" t="e">
        <f t="shared" si="12"/>
        <v>#N/A</v>
      </c>
      <c r="T36" s="667" t="s">
        <v>14</v>
      </c>
      <c r="U36" s="668" t="e">
        <f t="shared" si="13"/>
        <v>#N/A</v>
      </c>
      <c r="V36" s="667" t="s">
        <v>14</v>
      </c>
      <c r="W36" s="668" t="e">
        <f t="shared" si="14"/>
        <v>#N/A</v>
      </c>
      <c r="X36" s="1265"/>
      <c r="Y36" s="342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4"/>
      <c r="M37" s="2436"/>
      <c r="N37" s="2436"/>
      <c r="O37" s="2436"/>
      <c r="P37" s="3420"/>
      <c r="Q37" s="530" t="str">
        <f t="shared" si="11"/>
        <v>市政基础设施</v>
      </c>
      <c r="R37" s="664" t="s">
        <v>14</v>
      </c>
      <c r="S37" s="665">
        <f t="shared" si="12"/>
        <v>100</v>
      </c>
      <c r="T37" s="664" t="s">
        <v>14</v>
      </c>
      <c r="U37" s="665">
        <f t="shared" si="13"/>
        <v>100</v>
      </c>
      <c r="V37" s="664" t="s">
        <v>14</v>
      </c>
      <c r="W37" s="665">
        <f t="shared" si="14"/>
        <v>100</v>
      </c>
      <c r="X37" s="666"/>
      <c r="Y37" s="342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8"/>
      <c r="M38" s="2483"/>
      <c r="N38" s="2483"/>
      <c r="O38" s="2483"/>
      <c r="P38" s="3420" t="s">
        <v>1696</v>
      </c>
      <c r="Q38" s="1263" t="str">
        <f t="shared" si="11"/>
        <v>业态</v>
      </c>
      <c r="R38" s="667" t="s">
        <v>14</v>
      </c>
      <c r="S38" s="668">
        <f t="shared" si="12"/>
        <v>100</v>
      </c>
      <c r="T38" s="667" t="s">
        <v>14</v>
      </c>
      <c r="U38" s="668">
        <f t="shared" si="13"/>
        <v>100</v>
      </c>
      <c r="V38" s="667" t="s">
        <v>14</v>
      </c>
      <c r="W38" s="668">
        <f t="shared" si="14"/>
        <v>100</v>
      </c>
      <c r="X38" s="1265"/>
      <c r="Y38" s="342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8"/>
      <c r="M39" s="2483"/>
      <c r="N39" s="2483"/>
      <c r="O39" s="2483"/>
      <c r="P39" s="3420"/>
      <c r="Q39" s="1263" t="str">
        <f t="shared" si="11"/>
        <v>层高</v>
      </c>
      <c r="R39" s="667" t="s">
        <v>14</v>
      </c>
      <c r="S39" s="668">
        <f t="shared" si="12"/>
        <v>100</v>
      </c>
      <c r="T39" s="667" t="s">
        <v>14</v>
      </c>
      <c r="U39" s="668">
        <f t="shared" si="13"/>
        <v>100</v>
      </c>
      <c r="V39" s="667" t="s">
        <v>14</v>
      </c>
      <c r="W39" s="668">
        <f t="shared" si="14"/>
        <v>100</v>
      </c>
      <c r="X39" s="1265"/>
      <c r="Y39" s="342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20"/>
      <c r="Q40" s="1263" t="str">
        <f t="shared" si="11"/>
        <v>单套建筑面积</v>
      </c>
      <c r="R40" s="667" t="s">
        <v>14</v>
      </c>
      <c r="S40" s="668">
        <f t="shared" si="12"/>
        <v>100</v>
      </c>
      <c r="T40" s="667" t="s">
        <v>14</v>
      </c>
      <c r="U40" s="668">
        <f t="shared" si="13"/>
        <v>100</v>
      </c>
      <c r="V40" s="667" t="s">
        <v>14</v>
      </c>
      <c r="W40" s="668">
        <f t="shared" si="14"/>
        <v>100</v>
      </c>
      <c r="X40" s="1265"/>
      <c r="Y40" s="342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20"/>
      <c r="Q41" s="531" t="str">
        <f t="shared" si="11"/>
        <v>进深比</v>
      </c>
      <c r="R41" s="669" t="s">
        <v>14</v>
      </c>
      <c r="S41" s="670">
        <f t="shared" si="12"/>
        <v>100</v>
      </c>
      <c r="T41" s="669" t="s">
        <v>14</v>
      </c>
      <c r="U41" s="670">
        <f t="shared" si="13"/>
        <v>100</v>
      </c>
      <c r="V41" s="669" t="s">
        <v>14</v>
      </c>
      <c r="W41" s="670">
        <f t="shared" si="14"/>
        <v>100</v>
      </c>
      <c r="X41" s="671"/>
      <c r="Y41" s="342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8"/>
      <c r="M42" s="2483"/>
      <c r="N42" s="2483"/>
      <c r="O42" s="2483"/>
      <c r="P42" s="3420"/>
      <c r="Q42" s="1263" t="str">
        <f t="shared" si="11"/>
        <v>内部装修</v>
      </c>
      <c r="R42" s="667" t="s">
        <v>14</v>
      </c>
      <c r="S42" s="668">
        <f t="shared" si="12"/>
        <v>100</v>
      </c>
      <c r="T42" s="667" t="s">
        <v>14</v>
      </c>
      <c r="U42" s="668">
        <f t="shared" si="13"/>
        <v>100</v>
      </c>
      <c r="V42" s="667" t="s">
        <v>14</v>
      </c>
      <c r="W42" s="668">
        <f t="shared" si="14"/>
        <v>100</v>
      </c>
      <c r="X42" s="1265"/>
      <c r="Y42" s="342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8"/>
      <c r="M43" s="2483"/>
      <c r="N43" s="2483"/>
      <c r="O43" s="2483"/>
      <c r="P43" s="3420"/>
      <c r="Q43" s="1263" t="str">
        <f t="shared" si="11"/>
        <v>内部装修维护情况</v>
      </c>
      <c r="R43" s="667" t="s">
        <v>14</v>
      </c>
      <c r="S43" s="668">
        <f t="shared" si="12"/>
        <v>100</v>
      </c>
      <c r="T43" s="667" t="s">
        <v>14</v>
      </c>
      <c r="U43" s="668">
        <f t="shared" si="13"/>
        <v>100</v>
      </c>
      <c r="V43" s="667" t="s">
        <v>14</v>
      </c>
      <c r="W43" s="668">
        <f t="shared" si="14"/>
        <v>100</v>
      </c>
      <c r="X43" s="1265"/>
      <c r="Y43" s="342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420"/>
      <c r="Q44" s="530">
        <f t="shared" si="11"/>
        <v>111</v>
      </c>
      <c r="R44" s="664" t="s">
        <v>14</v>
      </c>
      <c r="S44" s="665">
        <f t="shared" si="12"/>
        <v>100</v>
      </c>
      <c r="T44" s="664" t="s">
        <v>14</v>
      </c>
      <c r="U44" s="665">
        <f t="shared" si="13"/>
        <v>100</v>
      </c>
      <c r="V44" s="664" t="s">
        <v>14</v>
      </c>
      <c r="W44" s="665">
        <f t="shared" si="14"/>
        <v>100</v>
      </c>
      <c r="X44" s="666"/>
      <c r="Y44" s="342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20"/>
      <c r="Q45" s="1263">
        <f t="shared" si="11"/>
        <v>111</v>
      </c>
      <c r="R45" s="667" t="s">
        <v>14</v>
      </c>
      <c r="S45" s="668">
        <f t="shared" si="12"/>
        <v>100</v>
      </c>
      <c r="T45" s="667" t="s">
        <v>14</v>
      </c>
      <c r="U45" s="668">
        <f t="shared" si="13"/>
        <v>100</v>
      </c>
      <c r="V45" s="667" t="s">
        <v>14</v>
      </c>
      <c r="W45" s="668">
        <f t="shared" si="14"/>
        <v>100</v>
      </c>
      <c r="X45" s="1265"/>
      <c r="Y45" s="342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21"/>
      <c r="Q46" s="1263">
        <f t="shared" si="11"/>
        <v>111</v>
      </c>
      <c r="R46" s="667" t="s">
        <v>14</v>
      </c>
      <c r="S46" s="668">
        <f t="shared" si="12"/>
        <v>100</v>
      </c>
      <c r="T46" s="667" t="s">
        <v>14</v>
      </c>
      <c r="U46" s="668">
        <f t="shared" si="13"/>
        <v>100</v>
      </c>
      <c r="V46" s="667" t="s">
        <v>14</v>
      </c>
      <c r="W46" s="668">
        <f t="shared" si="14"/>
        <v>100</v>
      </c>
      <c r="X46" s="1265"/>
      <c r="Y46" s="342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0"/>
      <c r="M47" s="2483"/>
      <c r="N47" s="2483"/>
      <c r="O47" s="2483"/>
      <c r="P47" s="3424" t="str">
        <f>A47</f>
        <v>成交单价（元/平方米）</v>
      </c>
      <c r="Q47" s="3424"/>
      <c r="R47" s="3412">
        <f>E47</f>
        <v>0</v>
      </c>
      <c r="S47" s="3412"/>
      <c r="T47" s="3412">
        <f>G47</f>
        <v>0</v>
      </c>
      <c r="U47" s="3412"/>
      <c r="V47" s="3412">
        <f>I47</f>
        <v>0</v>
      </c>
      <c r="W47" s="3412"/>
      <c r="X47" s="385"/>
      <c r="Y47" s="673"/>
      <c r="Z47" s="385"/>
      <c r="AA47" s="385"/>
      <c r="AB47" s="385"/>
      <c r="AC47" s="385"/>
    </row>
    <row r="48" spans="1:29" ht="15" thickBot="1">
      <c r="A48" s="423" t="s">
        <v>1793</v>
      </c>
      <c r="B48" s="424"/>
      <c r="C48" s="1082" t="e">
        <f>R49</f>
        <v>#DIV/0!</v>
      </c>
      <c r="D48" s="2141" t="s">
        <v>2136</v>
      </c>
      <c r="E48" s="1083" t="e">
        <f>R48</f>
        <v>#DIV/0!</v>
      </c>
      <c r="F48" s="2142"/>
      <c r="G48" s="1082" t="e">
        <f>T48</f>
        <v>#DIV/0!</v>
      </c>
      <c r="H48" s="2142"/>
      <c r="I48" s="1083" t="e">
        <f>V48</f>
        <v>#DIV/0!</v>
      </c>
      <c r="J48" s="2142"/>
      <c r="K48" s="2144">
        <f>F48+H48+J48</f>
        <v>0</v>
      </c>
      <c r="L48" s="2490"/>
      <c r="M48" s="2483"/>
      <c r="N48" s="2483"/>
      <c r="O48" s="2483"/>
      <c r="P48" s="3424" t="str">
        <f>A48</f>
        <v>比较价值（元/平方米）</v>
      </c>
      <c r="Q48" s="3424"/>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0"/>
      <c r="M49" s="2483"/>
      <c r="N49" s="2483"/>
      <c r="O49" s="2483"/>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8" t="s">
        <v>1798</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5"/>
      <c r="Q58" s="2506"/>
      <c r="R58" s="2506"/>
      <c r="S58" s="2506"/>
      <c r="T58" s="2506"/>
      <c r="U58" s="2506"/>
      <c r="V58" s="2506"/>
      <c r="W58" s="2506"/>
      <c r="X58" s="2506"/>
      <c r="Y58" s="2506"/>
      <c r="Z58" s="2506"/>
      <c r="AA58" s="2506"/>
      <c r="AB58" s="2506"/>
      <c r="AC58" s="2506"/>
    </row>
    <row r="59" spans="1:29" s="102" customFormat="1">
      <c r="A59" s="443"/>
      <c r="B59" s="444"/>
      <c r="C59" s="1102">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4.4">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4"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ht="14.4">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1779</v>
      </c>
      <c r="C82" s="581" t="s">
        <v>1799</v>
      </c>
      <c r="D82" s="581" t="s">
        <v>1800</v>
      </c>
      <c r="E82" s="581" t="s">
        <v>1801</v>
      </c>
      <c r="F82" s="581" t="s">
        <v>1802</v>
      </c>
      <c r="G82" s="581" t="s">
        <v>1803</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4.4" thickTop="1">
      <c r="A88" s="370"/>
      <c r="B88" s="469" t="str">
        <f>B26</f>
        <v>平面位置/可视性</v>
      </c>
      <c r="C88" s="485"/>
      <c r="D88" s="485"/>
      <c r="E88" s="485"/>
      <c r="F88" s="1780"/>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4"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4.4"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4.4"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4.4"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4.4"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85" zoomScaleNormal="85" workbookViewId="0">
      <pane ySplit="24" topLeftCell="A25" activePane="bottomLeft" state="frozen"/>
      <selection activeCell="C50" sqref="C50"/>
      <selection pane="bottomLeft" activeCell="T32" sqref="T32"/>
    </sheetView>
  </sheetViews>
  <sheetFormatPr defaultColWidth="9" defaultRowHeight="13.2"/>
  <cols>
    <col min="1" max="1" width="11.44140625" style="122" customWidth="1"/>
    <col min="2" max="2" width="9.21875" style="24" customWidth="1"/>
    <col min="3" max="3" width="10.441406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4" t="s">
        <v>2084</v>
      </c>
      <c r="D1" s="3465"/>
      <c r="E1" s="3465"/>
      <c r="F1" s="3465"/>
      <c r="G1" s="3465"/>
      <c r="H1" s="3465"/>
      <c r="I1" s="3465"/>
      <c r="J1" s="3465"/>
      <c r="K1" s="3465"/>
      <c r="L1" s="3465"/>
      <c r="M1" s="3465"/>
      <c r="N1" s="3465"/>
      <c r="O1" s="3465"/>
      <c r="P1" s="3465"/>
      <c r="Q1" s="3465"/>
      <c r="R1" s="3465"/>
      <c r="S1" s="3466"/>
      <c r="T1" s="929" t="s">
        <v>2085</v>
      </c>
    </row>
    <row r="2" spans="1:45" s="625" customFormat="1" ht="39.6">
      <c r="A2" s="930"/>
      <c r="B2" s="622" t="s">
        <v>2086</v>
      </c>
      <c r="C2" s="14" t="str">
        <f t="shared" ref="C2:L2" si="0">C3&amp;"(含)"&amp;"-"&amp;D3</f>
        <v>0(含)-80</v>
      </c>
      <c r="D2" s="623" t="str">
        <f t="shared" si="0"/>
        <v>80(含)-150</v>
      </c>
      <c r="E2" s="623" t="str">
        <f t="shared" si="0"/>
        <v>150(含)-300</v>
      </c>
      <c r="F2" s="623" t="str">
        <f t="shared" si="0"/>
        <v>300(含)-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80</v>
      </c>
      <c r="E3" s="627">
        <f>'比较法-办公'!E104</f>
        <v>150</v>
      </c>
      <c r="F3" s="627">
        <f>'比较法-办公'!F104</f>
        <v>300</v>
      </c>
      <c r="G3" s="627"/>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'比较法-办公'!C105</f>
        <v>100</v>
      </c>
      <c r="D4" s="627">
        <f>'比较法-办公'!D105</f>
        <v>99</v>
      </c>
      <c r="E4" s="627">
        <f>'比较法-办公'!E105</f>
        <v>98</v>
      </c>
      <c r="F4" s="627">
        <f>'比较法-办公'!F105</f>
        <v>97</v>
      </c>
      <c r="G4" s="627"/>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6.4">
      <c r="A5" s="925"/>
      <c r="B5" s="3175" t="s">
        <v>3516</v>
      </c>
      <c r="C5" s="940" t="str">
        <f>'比较法-办公'!C123</f>
        <v>精装修</v>
      </c>
      <c r="D5" s="940" t="str">
        <f>'比较法-办公'!D123</f>
        <v>普通装修</v>
      </c>
      <c r="E5" s="940" t="str">
        <f>'比较法-办公'!E123</f>
        <v>简单装修</v>
      </c>
      <c r="F5" s="940" t="str">
        <f>'比较法-办公'!F123</f>
        <v>毛坯</v>
      </c>
      <c r="G5" s="1227"/>
      <c r="H5" s="1227"/>
      <c r="I5" s="1227"/>
      <c r="J5" s="1227"/>
      <c r="K5" s="1227"/>
      <c r="L5" s="1228"/>
      <c r="M5" s="1229"/>
      <c r="N5" s="1229"/>
      <c r="O5" s="1227"/>
      <c r="P5" s="1227"/>
      <c r="Q5" s="1227"/>
      <c r="R5" s="1227"/>
      <c r="S5" s="1230"/>
      <c r="T5" s="943">
        <f>'比较法-办公'!K43</f>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98</v>
      </c>
      <c r="E6" s="849">
        <f t="shared" ref="E6:S6" si="7">D6-$T5</f>
        <v>96</v>
      </c>
      <c r="F6" s="1231">
        <f t="shared" si="7"/>
        <v>94</v>
      </c>
      <c r="G6" s="1231">
        <f t="shared" si="7"/>
        <v>92</v>
      </c>
      <c r="H6" s="1231">
        <f t="shared" si="7"/>
        <v>90</v>
      </c>
      <c r="I6" s="1231">
        <f t="shared" si="7"/>
        <v>88</v>
      </c>
      <c r="J6" s="1231">
        <f t="shared" si="7"/>
        <v>86</v>
      </c>
      <c r="K6" s="1231">
        <f t="shared" si="7"/>
        <v>84</v>
      </c>
      <c r="L6" s="1231">
        <f t="shared" si="7"/>
        <v>82</v>
      </c>
      <c r="M6" s="1231">
        <f t="shared" si="7"/>
        <v>80</v>
      </c>
      <c r="N6" s="1231">
        <f t="shared" si="7"/>
        <v>78</v>
      </c>
      <c r="O6" s="1231">
        <f t="shared" si="7"/>
        <v>76</v>
      </c>
      <c r="P6" s="1231">
        <f t="shared" si="7"/>
        <v>74</v>
      </c>
      <c r="Q6" s="1231">
        <f t="shared" si="7"/>
        <v>72</v>
      </c>
      <c r="R6" s="1231">
        <f t="shared" si="7"/>
        <v>70</v>
      </c>
      <c r="S6" s="1231">
        <f t="shared" si="7"/>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2" thickBot="1">
      <c r="A20" s="632" t="s">
        <v>2095</v>
      </c>
      <c r="B20" s="286">
        <f ca="1">IF(D20="——",S22,S22-F20)</f>
        <v>921.3845</v>
      </c>
      <c r="C20" s="151"/>
      <c r="D20" s="1989" t="s">
        <v>43</v>
      </c>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6">
      <c r="A21" s="632" t="s">
        <v>2097</v>
      </c>
      <c r="B21" s="286">
        <f ca="1">ROUND(B20*10000/B22,0)</f>
        <v>10106</v>
      </c>
      <c r="C21" s="151"/>
      <c r="D21" s="151"/>
      <c r="E21" s="151"/>
      <c r="F21" s="151"/>
      <c r="G21" s="151"/>
      <c r="H21" s="151"/>
      <c r="I21" s="151"/>
      <c r="J21" s="151"/>
      <c r="K21" s="151"/>
      <c r="L21" s="151"/>
      <c r="M21" s="151"/>
      <c r="N21" s="151"/>
      <c r="O21" s="151"/>
      <c r="P21" s="151"/>
      <c r="Q21" s="151"/>
      <c r="R21" s="151"/>
      <c r="S21" s="121"/>
      <c r="T21" s="3177" t="s">
        <v>3536</v>
      </c>
      <c r="U21" s="3177" t="s">
        <v>3537</v>
      </c>
    </row>
    <row r="22" spans="1:45">
      <c r="A22" s="308" t="s">
        <v>2098</v>
      </c>
      <c r="B22" s="21">
        <f>SUM(B24:B10000)</f>
        <v>911.72</v>
      </c>
      <c r="C22" s="3461" t="s">
        <v>27</v>
      </c>
      <c r="D22" s="3462"/>
      <c r="E22" s="3462"/>
      <c r="F22" s="3462"/>
      <c r="G22" s="3462"/>
      <c r="H22" s="3462"/>
      <c r="I22" s="3462"/>
      <c r="J22" s="3462"/>
      <c r="K22" s="3462"/>
      <c r="L22" s="3462"/>
      <c r="M22" s="3462"/>
      <c r="N22" s="3462"/>
      <c r="O22" s="3462"/>
      <c r="P22" s="3462"/>
      <c r="Q22" s="3463"/>
      <c r="R22" s="21">
        <f ca="1">ROUND(S22*10000/B22,0)</f>
        <v>10106</v>
      </c>
      <c r="S22" s="21">
        <f ca="1">SUM(S24:S10000)</f>
        <v>921.3845</v>
      </c>
      <c r="T22" s="684">
        <f ca="1">SUM(T24:T32)</f>
        <v>920.92380000000003</v>
      </c>
      <c r="U22" s="684">
        <f ca="1">ROUND(T22*10000/B22,0)</f>
        <v>10101</v>
      </c>
    </row>
    <row r="23" spans="1:45" s="9" customFormat="1" ht="24">
      <c r="A23" s="8" t="s">
        <v>2099</v>
      </c>
      <c r="B23" s="8" t="s">
        <v>2100</v>
      </c>
      <c r="C23" s="8" t="s">
        <v>2101</v>
      </c>
      <c r="D23" s="8" t="str">
        <f>B5</f>
        <v>装修状况</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1001</v>
      </c>
      <c r="B24" s="633">
        <f>'数据-基础表'!G13</f>
        <v>94.78</v>
      </c>
      <c r="C24" s="2566">
        <v>1</v>
      </c>
      <c r="D24" s="2567" t="s">
        <v>3501</v>
      </c>
      <c r="E24" s="2566">
        <v>1</v>
      </c>
      <c r="F24" s="2567"/>
      <c r="G24" s="2566">
        <v>1</v>
      </c>
      <c r="H24" s="2567"/>
      <c r="I24" s="2566">
        <v>1</v>
      </c>
      <c r="J24" s="2567"/>
      <c r="K24" s="2566">
        <v>1</v>
      </c>
      <c r="L24" s="2567"/>
      <c r="M24" s="2566">
        <v>1</v>
      </c>
      <c r="N24" s="2567"/>
      <c r="O24" s="2566">
        <v>1</v>
      </c>
      <c r="P24" s="2567"/>
      <c r="Q24" s="2566">
        <v>1</v>
      </c>
      <c r="R24" s="633">
        <f ca="1">结果表1001!H102</f>
        <v>10106</v>
      </c>
      <c r="S24" s="634">
        <f t="shared" ref="S24:S32" ca="1" si="11">ROUND(R24*B24/10000,4)</f>
        <v>95.784700000000001</v>
      </c>
      <c r="T24" s="689">
        <f ca="1">结果表1001!N59</f>
        <v>95.736800000000002</v>
      </c>
      <c r="U24" s="689">
        <f ca="1">结果表1001!N61</f>
        <v>10101</v>
      </c>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'数据-基础表'!C14</f>
        <v>1002</v>
      </c>
      <c r="B25" s="52">
        <f>'数据-基础表'!G14</f>
        <v>88.79</v>
      </c>
      <c r="C25" s="21">
        <f>IF(B25="",1,(LOOKUP(B25,$3:$3,$4:$4)-LOOKUP($B$24,$3:$3,$4:$4)+100)/100)</f>
        <v>1</v>
      </c>
      <c r="D25" s="2567" t="s">
        <v>3501</v>
      </c>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10106</v>
      </c>
      <c r="S25" s="308">
        <f t="shared" ca="1" si="11"/>
        <v>89.731200000000001</v>
      </c>
      <c r="T25" s="684">
        <f ca="1">结果表1002!N59</f>
        <v>89.686300000000003</v>
      </c>
      <c r="U25" s="684">
        <f ca="1">结果表1002!N61</f>
        <v>10101</v>
      </c>
    </row>
    <row r="26" spans="1:45">
      <c r="A26" s="142">
        <f>'数据-基础表'!C15</f>
        <v>1004</v>
      </c>
      <c r="B26" s="52">
        <f>'数据-基础表'!G15</f>
        <v>89.13</v>
      </c>
      <c r="C26" s="21">
        <f t="shared" ref="C26:C89" si="12">IF(B26="",1,(LOOKUP(B26,$3:$3,$4:$4)-LOOKUP($B$24,$3:$3,$4:$4)+100)/100)</f>
        <v>1</v>
      </c>
      <c r="D26" s="2567" t="s">
        <v>3501</v>
      </c>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10106</v>
      </c>
      <c r="S26" s="308">
        <f t="shared" ca="1" si="11"/>
        <v>90.074799999999996</v>
      </c>
      <c r="T26" s="684">
        <f ca="1">结果表1004!N59</f>
        <v>90.029799999999994</v>
      </c>
      <c r="U26" s="684">
        <f ca="1">结果表1004!N61</f>
        <v>10101</v>
      </c>
    </row>
    <row r="27" spans="1:45">
      <c r="A27" s="142">
        <f>'数据-基础表'!C16</f>
        <v>1005</v>
      </c>
      <c r="B27" s="52">
        <f>'数据-基础表'!G16</f>
        <v>94.45</v>
      </c>
      <c r="C27" s="21">
        <f t="shared" si="12"/>
        <v>1</v>
      </c>
      <c r="D27" s="2567" t="s">
        <v>3501</v>
      </c>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10106</v>
      </c>
      <c r="S27" s="308">
        <f t="shared" ca="1" si="11"/>
        <v>95.4512</v>
      </c>
      <c r="T27" s="684">
        <f ca="1">结果表1005!N59</f>
        <v>95.403499999999994</v>
      </c>
      <c r="U27" s="684">
        <f ca="1">结果表1005!N61</f>
        <v>10101</v>
      </c>
    </row>
    <row r="28" spans="1:45">
      <c r="A28" s="142">
        <f>'数据-基础表'!C17</f>
        <v>1006</v>
      </c>
      <c r="B28" s="52">
        <f>'数据-基础表'!G17</f>
        <v>132.94</v>
      </c>
      <c r="C28" s="21">
        <f t="shared" si="12"/>
        <v>1</v>
      </c>
      <c r="D28" s="2567" t="s">
        <v>3501</v>
      </c>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ca="1" si="20"/>
        <v>10106</v>
      </c>
      <c r="S28" s="308">
        <f t="shared" ca="1" si="11"/>
        <v>134.3492</v>
      </c>
      <c r="T28" s="684">
        <f ca="1">结果表1006!N59</f>
        <v>134.28199999999998</v>
      </c>
      <c r="U28" s="684">
        <f ca="1">结果表1006!N61</f>
        <v>10101</v>
      </c>
    </row>
    <row r="29" spans="1:45">
      <c r="A29" s="142">
        <f>'数据-基础表'!C18</f>
        <v>1007</v>
      </c>
      <c r="B29" s="52">
        <f>'数据-基础表'!G18</f>
        <v>94.78</v>
      </c>
      <c r="C29" s="21">
        <f t="shared" si="12"/>
        <v>1</v>
      </c>
      <c r="D29" s="2567" t="s">
        <v>3501</v>
      </c>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ca="1" si="20"/>
        <v>10106</v>
      </c>
      <c r="S29" s="308">
        <f t="shared" ca="1" si="11"/>
        <v>95.784700000000001</v>
      </c>
      <c r="T29" s="684">
        <f ca="1">结果表1007!N59</f>
        <v>95.736800000000002</v>
      </c>
      <c r="U29" s="684">
        <f ca="1">结果表1007!N61</f>
        <v>10101</v>
      </c>
    </row>
    <row r="30" spans="1:45">
      <c r="A30" s="142">
        <f>'数据-基础表'!C19</f>
        <v>1010</v>
      </c>
      <c r="B30" s="52">
        <f>'数据-基础表'!G19</f>
        <v>89.13</v>
      </c>
      <c r="C30" s="21">
        <f t="shared" si="12"/>
        <v>1</v>
      </c>
      <c r="D30" s="2567" t="s">
        <v>3501</v>
      </c>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ca="1" si="20"/>
        <v>10106</v>
      </c>
      <c r="S30" s="308">
        <f t="shared" ca="1" si="11"/>
        <v>90.074799999999996</v>
      </c>
      <c r="T30" s="684">
        <f ca="1">结果表1010!N59</f>
        <v>90.029799999999994</v>
      </c>
      <c r="U30" s="684">
        <f ca="1">结果表1010!N61</f>
        <v>10101</v>
      </c>
    </row>
    <row r="31" spans="1:45">
      <c r="A31" s="142">
        <f>'数据-基础表'!C20</f>
        <v>1011</v>
      </c>
      <c r="B31" s="52">
        <f>'数据-基础表'!G20</f>
        <v>94.78</v>
      </c>
      <c r="C31" s="21">
        <f t="shared" si="12"/>
        <v>1</v>
      </c>
      <c r="D31" s="2567" t="s">
        <v>3501</v>
      </c>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ca="1" si="20"/>
        <v>10106</v>
      </c>
      <c r="S31" s="308">
        <f t="shared" ca="1" si="11"/>
        <v>95.784700000000001</v>
      </c>
      <c r="T31" s="684">
        <f ca="1">结果表1011!N59</f>
        <v>95.736800000000002</v>
      </c>
      <c r="U31" s="684">
        <f ca="1">结果表1011!N61</f>
        <v>10101</v>
      </c>
    </row>
    <row r="32" spans="1:45">
      <c r="A32" s="142">
        <f>'数据-基础表'!C21</f>
        <v>1012</v>
      </c>
      <c r="B32" s="52">
        <f>'数据-基础表'!G21</f>
        <v>132.94</v>
      </c>
      <c r="C32" s="21">
        <f t="shared" si="12"/>
        <v>1</v>
      </c>
      <c r="D32" s="2567" t="s">
        <v>3501</v>
      </c>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ca="1" si="20"/>
        <v>10106</v>
      </c>
      <c r="S32" s="308">
        <f t="shared" ca="1" si="11"/>
        <v>134.3492</v>
      </c>
      <c r="T32" s="684">
        <f ca="1">结果表1012!N59</f>
        <v>134.28199999999998</v>
      </c>
      <c r="U32" s="684">
        <f ca="1">结果表1012!N61</f>
        <v>10101</v>
      </c>
    </row>
    <row r="33" spans="1:19">
      <c r="A33" s="142"/>
      <c r="B33" s="52"/>
      <c r="C33" s="21">
        <f t="shared" si="12"/>
        <v>1</v>
      </c>
      <c r="D33" s="635"/>
      <c r="E33" s="21">
        <f t="shared" si="13"/>
        <v>0.02</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ref="S33:S54" si="21">ROUND(R33*B33/10000,0)</f>
        <v>0</v>
      </c>
    </row>
    <row r="34" spans="1:19">
      <c r="A34" s="142"/>
      <c r="B34" s="52"/>
      <c r="C34" s="21">
        <f t="shared" si="12"/>
        <v>1</v>
      </c>
      <c r="D34" s="635"/>
      <c r="E34" s="21">
        <f t="shared" si="13"/>
        <v>0.02</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21"/>
        <v>0</v>
      </c>
    </row>
    <row r="35" spans="1:19">
      <c r="A35" s="142"/>
      <c r="B35" s="52"/>
      <c r="C35" s="21">
        <f t="shared" si="12"/>
        <v>1</v>
      </c>
      <c r="D35" s="635"/>
      <c r="E35" s="21">
        <f t="shared" si="13"/>
        <v>0.02</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21"/>
        <v>0</v>
      </c>
    </row>
    <row r="36" spans="1:19">
      <c r="A36" s="142"/>
      <c r="B36" s="52"/>
      <c r="C36" s="21">
        <f t="shared" si="12"/>
        <v>1</v>
      </c>
      <c r="D36" s="635"/>
      <c r="E36" s="21">
        <f t="shared" si="13"/>
        <v>0.02</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21"/>
        <v>0</v>
      </c>
    </row>
    <row r="37" spans="1:19">
      <c r="A37" s="142"/>
      <c r="B37" s="52"/>
      <c r="C37" s="21">
        <f t="shared" si="12"/>
        <v>1</v>
      </c>
      <c r="D37" s="635"/>
      <c r="E37" s="21">
        <f t="shared" si="13"/>
        <v>0.02</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21"/>
        <v>0</v>
      </c>
    </row>
    <row r="38" spans="1:19">
      <c r="A38" s="142"/>
      <c r="B38" s="52"/>
      <c r="C38" s="21">
        <f t="shared" si="12"/>
        <v>1</v>
      </c>
      <c r="D38" s="635"/>
      <c r="E38" s="21">
        <f t="shared" si="13"/>
        <v>0.02</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21"/>
        <v>0</v>
      </c>
    </row>
    <row r="39" spans="1:19">
      <c r="A39" s="142"/>
      <c r="B39" s="52"/>
      <c r="C39" s="21">
        <f t="shared" si="12"/>
        <v>1</v>
      </c>
      <c r="D39" s="635"/>
      <c r="E39" s="21">
        <f t="shared" si="13"/>
        <v>0.02</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21"/>
        <v>0</v>
      </c>
    </row>
    <row r="40" spans="1:19">
      <c r="A40" s="142"/>
      <c r="B40" s="52"/>
      <c r="C40" s="21">
        <f t="shared" si="12"/>
        <v>1</v>
      </c>
      <c r="D40" s="635"/>
      <c r="E40" s="21">
        <f t="shared" si="13"/>
        <v>0.02</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21"/>
        <v>0</v>
      </c>
    </row>
    <row r="41" spans="1:19">
      <c r="A41" s="142"/>
      <c r="B41" s="52"/>
      <c r="C41" s="21">
        <f t="shared" si="12"/>
        <v>1</v>
      </c>
      <c r="D41" s="635"/>
      <c r="E41" s="21">
        <f t="shared" si="13"/>
        <v>0.02</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21"/>
        <v>0</v>
      </c>
    </row>
    <row r="42" spans="1:19">
      <c r="A42" s="142"/>
      <c r="B42" s="52"/>
      <c r="C42" s="21">
        <f t="shared" si="12"/>
        <v>1</v>
      </c>
      <c r="D42" s="635"/>
      <c r="E42" s="21">
        <f t="shared" si="13"/>
        <v>0.02</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21"/>
        <v>0</v>
      </c>
    </row>
    <row r="43" spans="1:19">
      <c r="A43" s="142"/>
      <c r="B43" s="52"/>
      <c r="C43" s="21">
        <f t="shared" si="12"/>
        <v>1</v>
      </c>
      <c r="D43" s="635"/>
      <c r="E43" s="21">
        <f t="shared" si="13"/>
        <v>0.02</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21"/>
        <v>0</v>
      </c>
    </row>
    <row r="44" spans="1:19">
      <c r="A44" s="142"/>
      <c r="B44" s="52"/>
      <c r="C44" s="21">
        <f t="shared" si="12"/>
        <v>1</v>
      </c>
      <c r="D44" s="635"/>
      <c r="E44" s="21">
        <f t="shared" si="13"/>
        <v>0.02</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21"/>
        <v>0</v>
      </c>
    </row>
    <row r="45" spans="1:19">
      <c r="A45" s="142"/>
      <c r="B45" s="52"/>
      <c r="C45" s="21">
        <f t="shared" si="12"/>
        <v>1</v>
      </c>
      <c r="D45" s="635"/>
      <c r="E45" s="21">
        <f t="shared" si="13"/>
        <v>0.02</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21"/>
        <v>0</v>
      </c>
    </row>
    <row r="46" spans="1:19">
      <c r="A46" s="142"/>
      <c r="B46" s="52"/>
      <c r="C46" s="21">
        <f t="shared" si="12"/>
        <v>1</v>
      </c>
      <c r="D46" s="635"/>
      <c r="E46" s="21">
        <f t="shared" si="13"/>
        <v>0.02</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21"/>
        <v>0</v>
      </c>
    </row>
    <row r="47" spans="1:19">
      <c r="A47" s="142"/>
      <c r="B47" s="52"/>
      <c r="C47" s="21">
        <f t="shared" si="12"/>
        <v>1</v>
      </c>
      <c r="D47" s="635"/>
      <c r="E47" s="21">
        <f t="shared" si="13"/>
        <v>0.02</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21"/>
        <v>0</v>
      </c>
    </row>
    <row r="48" spans="1:19">
      <c r="A48" s="142"/>
      <c r="B48" s="52"/>
      <c r="C48" s="21">
        <f t="shared" si="12"/>
        <v>1</v>
      </c>
      <c r="D48" s="635"/>
      <c r="E48" s="21">
        <f t="shared" si="13"/>
        <v>0.02</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21"/>
        <v>0</v>
      </c>
    </row>
    <row r="49" spans="1:19">
      <c r="A49" s="142"/>
      <c r="B49" s="52"/>
      <c r="C49" s="21">
        <f t="shared" si="12"/>
        <v>1</v>
      </c>
      <c r="D49" s="635"/>
      <c r="E49" s="21">
        <f t="shared" si="13"/>
        <v>0.02</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21"/>
        <v>0</v>
      </c>
    </row>
    <row r="50" spans="1:19">
      <c r="A50" s="142"/>
      <c r="B50" s="52"/>
      <c r="C50" s="21">
        <f t="shared" si="12"/>
        <v>1</v>
      </c>
      <c r="D50" s="635"/>
      <c r="E50" s="21">
        <f t="shared" si="13"/>
        <v>0.02</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21"/>
        <v>0</v>
      </c>
    </row>
    <row r="51" spans="1:19">
      <c r="A51" s="142"/>
      <c r="B51" s="52"/>
      <c r="C51" s="21">
        <f t="shared" si="12"/>
        <v>1</v>
      </c>
      <c r="D51" s="635"/>
      <c r="E51" s="21">
        <f t="shared" si="13"/>
        <v>0.02</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21"/>
        <v>0</v>
      </c>
    </row>
    <row r="52" spans="1:19">
      <c r="A52" s="142"/>
      <c r="B52" s="52"/>
      <c r="C52" s="21">
        <f t="shared" si="12"/>
        <v>1</v>
      </c>
      <c r="D52" s="635"/>
      <c r="E52" s="21">
        <f t="shared" si="13"/>
        <v>0.02</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21"/>
        <v>0</v>
      </c>
    </row>
    <row r="53" spans="1:19">
      <c r="A53" s="142"/>
      <c r="B53" s="52"/>
      <c r="C53" s="21">
        <f t="shared" si="12"/>
        <v>1</v>
      </c>
      <c r="D53" s="635"/>
      <c r="E53" s="21">
        <f t="shared" si="13"/>
        <v>0.02</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21"/>
        <v>0</v>
      </c>
    </row>
    <row r="54" spans="1:19">
      <c r="A54" s="142"/>
      <c r="B54" s="52"/>
      <c r="C54" s="21">
        <f t="shared" si="12"/>
        <v>1</v>
      </c>
      <c r="D54" s="635"/>
      <c r="E54" s="21">
        <f t="shared" si="13"/>
        <v>0.02</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21"/>
        <v>0</v>
      </c>
    </row>
    <row r="55" spans="1:19">
      <c r="A55" s="142"/>
      <c r="B55" s="52"/>
      <c r="C55" s="21">
        <f t="shared" si="12"/>
        <v>1</v>
      </c>
      <c r="D55" s="635"/>
      <c r="E55" s="21">
        <f t="shared" si="13"/>
        <v>0.02</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2">ROUND(R55*B55/10000,0)</f>
        <v>0</v>
      </c>
    </row>
    <row r="56" spans="1:19">
      <c r="A56" s="142"/>
      <c r="B56" s="52"/>
      <c r="C56" s="21">
        <f t="shared" si="12"/>
        <v>1</v>
      </c>
      <c r="D56" s="635"/>
      <c r="E56" s="21">
        <f t="shared" si="13"/>
        <v>0.02</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2"/>
        <v>0</v>
      </c>
    </row>
    <row r="57" spans="1:19">
      <c r="A57" s="142"/>
      <c r="B57" s="52"/>
      <c r="C57" s="21">
        <f t="shared" si="12"/>
        <v>1</v>
      </c>
      <c r="D57" s="635"/>
      <c r="E57" s="21">
        <f t="shared" si="13"/>
        <v>0.02</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2"/>
        <v>0</v>
      </c>
    </row>
    <row r="58" spans="1:19">
      <c r="A58" s="142"/>
      <c r="B58" s="52"/>
      <c r="C58" s="21">
        <f t="shared" si="12"/>
        <v>1</v>
      </c>
      <c r="D58" s="635"/>
      <c r="E58" s="21">
        <f t="shared" si="13"/>
        <v>0.02</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2"/>
        <v>0</v>
      </c>
    </row>
    <row r="59" spans="1:19">
      <c r="A59" s="142"/>
      <c r="B59" s="52"/>
      <c r="C59" s="21">
        <f t="shared" si="12"/>
        <v>1</v>
      </c>
      <c r="D59" s="635"/>
      <c r="E59" s="21">
        <f t="shared" si="13"/>
        <v>0.02</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2"/>
        <v>0</v>
      </c>
    </row>
    <row r="60" spans="1:19">
      <c r="A60" s="142"/>
      <c r="B60" s="52"/>
      <c r="C60" s="21">
        <f t="shared" si="12"/>
        <v>1</v>
      </c>
      <c r="D60" s="635"/>
      <c r="E60" s="21">
        <f t="shared" si="13"/>
        <v>0.02</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2"/>
        <v>0</v>
      </c>
    </row>
    <row r="61" spans="1:19">
      <c r="A61" s="142"/>
      <c r="B61" s="52"/>
      <c r="C61" s="21">
        <f t="shared" si="12"/>
        <v>1</v>
      </c>
      <c r="D61" s="635"/>
      <c r="E61" s="21">
        <f t="shared" si="13"/>
        <v>0.02</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2"/>
        <v>0</v>
      </c>
    </row>
    <row r="62" spans="1:19">
      <c r="A62" s="142"/>
      <c r="B62" s="52"/>
      <c r="C62" s="21">
        <f t="shared" si="12"/>
        <v>1</v>
      </c>
      <c r="D62" s="635"/>
      <c r="E62" s="21">
        <f t="shared" si="13"/>
        <v>0.02</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2"/>
        <v>0</v>
      </c>
    </row>
    <row r="63" spans="1:19">
      <c r="A63" s="142"/>
      <c r="B63" s="52"/>
      <c r="C63" s="21">
        <f t="shared" si="12"/>
        <v>1</v>
      </c>
      <c r="D63" s="635"/>
      <c r="E63" s="21">
        <f t="shared" si="13"/>
        <v>0.02</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2"/>
        <v>0</v>
      </c>
    </row>
    <row r="64" spans="1:19">
      <c r="A64" s="142"/>
      <c r="B64" s="52"/>
      <c r="C64" s="21">
        <f t="shared" si="12"/>
        <v>1</v>
      </c>
      <c r="D64" s="635"/>
      <c r="E64" s="21">
        <f t="shared" si="13"/>
        <v>0.02</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2"/>
        <v>0</v>
      </c>
    </row>
    <row r="65" spans="1:19">
      <c r="A65" s="142"/>
      <c r="B65" s="52"/>
      <c r="C65" s="21">
        <f t="shared" si="12"/>
        <v>1</v>
      </c>
      <c r="D65" s="635"/>
      <c r="E65" s="21">
        <f t="shared" si="13"/>
        <v>0.02</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2"/>
        <v>0</v>
      </c>
    </row>
    <row r="66" spans="1:19">
      <c r="A66" s="142"/>
      <c r="B66" s="52"/>
      <c r="C66" s="21">
        <f t="shared" si="12"/>
        <v>1</v>
      </c>
      <c r="D66" s="635"/>
      <c r="E66" s="21">
        <f t="shared" si="13"/>
        <v>0.02</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2"/>
        <v>0</v>
      </c>
    </row>
    <row r="67" spans="1:19">
      <c r="A67" s="142"/>
      <c r="B67" s="52"/>
      <c r="C67" s="21">
        <f t="shared" si="12"/>
        <v>1</v>
      </c>
      <c r="D67" s="635"/>
      <c r="E67" s="21">
        <f t="shared" si="13"/>
        <v>0.02</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2"/>
        <v>0</v>
      </c>
    </row>
    <row r="68" spans="1:19">
      <c r="A68" s="142"/>
      <c r="B68" s="52"/>
      <c r="C68" s="21">
        <f t="shared" si="12"/>
        <v>1</v>
      </c>
      <c r="D68" s="635"/>
      <c r="E68" s="21">
        <f t="shared" si="13"/>
        <v>0.02</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2"/>
        <v>0</v>
      </c>
    </row>
    <row r="69" spans="1:19">
      <c r="A69" s="142"/>
      <c r="B69" s="52"/>
      <c r="C69" s="21">
        <f t="shared" si="12"/>
        <v>1</v>
      </c>
      <c r="D69" s="635"/>
      <c r="E69" s="21">
        <f t="shared" si="13"/>
        <v>0.02</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2"/>
        <v>0</v>
      </c>
    </row>
    <row r="70" spans="1:19">
      <c r="A70" s="142"/>
      <c r="B70" s="52"/>
      <c r="C70" s="21">
        <f t="shared" si="12"/>
        <v>1</v>
      </c>
      <c r="D70" s="635"/>
      <c r="E70" s="21">
        <f t="shared" si="13"/>
        <v>0.02</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2"/>
        <v>0</v>
      </c>
    </row>
    <row r="71" spans="1:19">
      <c r="A71" s="142"/>
      <c r="B71" s="52"/>
      <c r="C71" s="21">
        <f t="shared" si="12"/>
        <v>1</v>
      </c>
      <c r="D71" s="635"/>
      <c r="E71" s="21">
        <f t="shared" si="13"/>
        <v>0.02</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2"/>
        <v>0</v>
      </c>
    </row>
    <row r="72" spans="1:19">
      <c r="A72" s="142"/>
      <c r="B72" s="52"/>
      <c r="C72" s="21">
        <f t="shared" si="12"/>
        <v>1</v>
      </c>
      <c r="D72" s="635"/>
      <c r="E72" s="21">
        <f t="shared" si="13"/>
        <v>0.02</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2"/>
        <v>0</v>
      </c>
    </row>
    <row r="73" spans="1:19">
      <c r="A73" s="142"/>
      <c r="B73" s="52"/>
      <c r="C73" s="21">
        <f t="shared" si="12"/>
        <v>1</v>
      </c>
      <c r="D73" s="635"/>
      <c r="E73" s="21">
        <f t="shared" si="13"/>
        <v>0.02</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2"/>
        <v>0</v>
      </c>
    </row>
    <row r="74" spans="1:19">
      <c r="A74" s="142"/>
      <c r="B74" s="52"/>
      <c r="C74" s="21">
        <f t="shared" si="12"/>
        <v>1</v>
      </c>
      <c r="D74" s="635"/>
      <c r="E74" s="21">
        <f t="shared" si="13"/>
        <v>0.02</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2"/>
        <v>0</v>
      </c>
    </row>
    <row r="75" spans="1:19">
      <c r="A75" s="142"/>
      <c r="B75" s="52"/>
      <c r="C75" s="21">
        <f t="shared" si="12"/>
        <v>1</v>
      </c>
      <c r="D75" s="635"/>
      <c r="E75" s="21">
        <f t="shared" si="13"/>
        <v>0.02</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2"/>
        <v>0</v>
      </c>
    </row>
    <row r="76" spans="1:19">
      <c r="A76" s="142"/>
      <c r="B76" s="52"/>
      <c r="C76" s="21">
        <f t="shared" si="12"/>
        <v>1</v>
      </c>
      <c r="D76" s="635"/>
      <c r="E76" s="21">
        <f t="shared" si="13"/>
        <v>0.02</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2"/>
        <v>0</v>
      </c>
    </row>
    <row r="77" spans="1:19">
      <c r="A77" s="142"/>
      <c r="B77" s="52"/>
      <c r="C77" s="21">
        <f t="shared" si="12"/>
        <v>1</v>
      </c>
      <c r="D77" s="635"/>
      <c r="E77" s="21">
        <f t="shared" si="13"/>
        <v>0.02</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2"/>
        <v>0</v>
      </c>
    </row>
    <row r="78" spans="1:19">
      <c r="A78" s="142"/>
      <c r="B78" s="52"/>
      <c r="C78" s="21">
        <f t="shared" si="12"/>
        <v>1</v>
      </c>
      <c r="D78" s="635"/>
      <c r="E78" s="21">
        <f t="shared" si="13"/>
        <v>0.02</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3">ROUND(R78*B78/10000,0)</f>
        <v>0</v>
      </c>
    </row>
    <row r="79" spans="1:19">
      <c r="A79" s="142"/>
      <c r="B79" s="52"/>
      <c r="C79" s="21">
        <f t="shared" si="12"/>
        <v>1</v>
      </c>
      <c r="D79" s="635"/>
      <c r="E79" s="21">
        <f t="shared" si="13"/>
        <v>0.02</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3"/>
        <v>0</v>
      </c>
    </row>
    <row r="80" spans="1:19">
      <c r="A80" s="142"/>
      <c r="B80" s="52"/>
      <c r="C80" s="21">
        <f t="shared" si="12"/>
        <v>1</v>
      </c>
      <c r="D80" s="635"/>
      <c r="E80" s="21">
        <f t="shared" si="13"/>
        <v>0.02</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3"/>
        <v>0</v>
      </c>
    </row>
    <row r="81" spans="1:19">
      <c r="A81" s="142"/>
      <c r="B81" s="52"/>
      <c r="C81" s="21">
        <f t="shared" si="12"/>
        <v>1</v>
      </c>
      <c r="D81" s="635"/>
      <c r="E81" s="21">
        <f t="shared" si="13"/>
        <v>0.02</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3"/>
        <v>0</v>
      </c>
    </row>
    <row r="82" spans="1:19">
      <c r="A82" s="142"/>
      <c r="B82" s="52"/>
      <c r="C82" s="21">
        <f t="shared" si="12"/>
        <v>1</v>
      </c>
      <c r="D82" s="635"/>
      <c r="E82" s="21">
        <f t="shared" si="13"/>
        <v>0.02</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3"/>
        <v>0</v>
      </c>
    </row>
    <row r="83" spans="1:19">
      <c r="A83" s="142"/>
      <c r="B83" s="52"/>
      <c r="C83" s="21">
        <f t="shared" si="12"/>
        <v>1</v>
      </c>
      <c r="D83" s="635"/>
      <c r="E83" s="21">
        <f t="shared" si="13"/>
        <v>0.02</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3"/>
        <v>0</v>
      </c>
    </row>
    <row r="84" spans="1:19">
      <c r="A84" s="142"/>
      <c r="B84" s="52"/>
      <c r="C84" s="21">
        <f t="shared" si="12"/>
        <v>1</v>
      </c>
      <c r="D84" s="635"/>
      <c r="E84" s="21">
        <f t="shared" si="13"/>
        <v>0.02</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3"/>
        <v>0</v>
      </c>
    </row>
    <row r="85" spans="1:19">
      <c r="A85" s="142"/>
      <c r="B85" s="52"/>
      <c r="C85" s="21">
        <f t="shared" si="12"/>
        <v>1</v>
      </c>
      <c r="D85" s="635"/>
      <c r="E85" s="21">
        <f t="shared" si="13"/>
        <v>0.02</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3"/>
        <v>0</v>
      </c>
    </row>
    <row r="86" spans="1:19">
      <c r="A86" s="142"/>
      <c r="B86" s="52"/>
      <c r="C86" s="21">
        <f t="shared" si="12"/>
        <v>1</v>
      </c>
      <c r="D86" s="635"/>
      <c r="E86" s="21">
        <f t="shared" si="13"/>
        <v>0.02</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3"/>
        <v>0</v>
      </c>
    </row>
    <row r="87" spans="1:19">
      <c r="A87" s="142"/>
      <c r="B87" s="52"/>
      <c r="C87" s="21">
        <f t="shared" si="12"/>
        <v>1</v>
      </c>
      <c r="D87" s="635"/>
      <c r="E87" s="21">
        <f t="shared" si="13"/>
        <v>0.02</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3"/>
        <v>0</v>
      </c>
    </row>
    <row r="88" spans="1:19">
      <c r="A88" s="142"/>
      <c r="B88" s="52"/>
      <c r="C88" s="21">
        <f t="shared" si="12"/>
        <v>1</v>
      </c>
      <c r="D88" s="635"/>
      <c r="E88" s="21">
        <f t="shared" si="13"/>
        <v>0.02</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3"/>
        <v>0</v>
      </c>
    </row>
    <row r="89" spans="1:19">
      <c r="A89" s="142"/>
      <c r="B89" s="52"/>
      <c r="C89" s="21">
        <f t="shared" si="12"/>
        <v>1</v>
      </c>
      <c r="D89" s="635"/>
      <c r="E89" s="21">
        <f t="shared" si="13"/>
        <v>0.02</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3"/>
        <v>0</v>
      </c>
    </row>
    <row r="90" spans="1:19">
      <c r="A90" s="142"/>
      <c r="B90" s="52"/>
      <c r="C90" s="21">
        <f t="shared" ref="C90:C153" si="24">IF(B90="",1,(LOOKUP(B90,$3:$3,$4:$4)-LOOKUP($B$24,$3:$3,$4:$4)+100)/100)</f>
        <v>1</v>
      </c>
      <c r="D90" s="635"/>
      <c r="E90" s="21">
        <f t="shared" ref="E90:E153" si="25">(SUMIF($5:$5,D90,$6:$6)-SUMIF($5:$5,$D$24,$6:$6)+100)/100</f>
        <v>0.02</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0.02</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0.02</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0.02</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0.02</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0.02</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0.02</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0.02</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0.02</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0.02</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0.02</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0.02</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0.02</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0.02</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0.02</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0.02</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0.02</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0.02</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0.02</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0.02</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0.02</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0.02</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0.02</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0.02</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0.02</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0.02</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0.02</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0.02</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0.02</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0.02</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0.02</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0.02</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0.02</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0.02</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0.02</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0.02</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0.02</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0.02</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0.02</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0.02</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0.02</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0.02</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0.02</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0.02</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0.02</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0.02</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0.02</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0.02</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0.02</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0.02</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0.02</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0.02</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0.02</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0.02</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0.02</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0.02</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0.02</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0.02</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0.02</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0.02</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0.02</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0.02</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0.02</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0.02</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0.02</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0.02</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0.02</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0.02</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0.02</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0.02</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0.02</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0.02</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0.02</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0.02</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0.02</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0.02</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0.02</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0.02</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0.02</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0.02</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0.02</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0.02</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0.02</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0.02</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0.02</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0.02</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0.02</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0.02</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0.02</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0.02</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0.02</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0.02</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0.02</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0.02</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0.02</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0.02</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0.02</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0.02</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0.02</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0.02</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0.02</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0.02</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0.02</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0.02</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0.02</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0.02</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0.02</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0.02</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0.02</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0.02</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0.02</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0.02</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0.02</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0.02</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0.02</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0.02</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0.02</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0.02</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0.02</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0.02</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0.02</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0.02</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0.02</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0.02</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0.02</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0.02</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0.02</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0.02</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0.02</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0.02</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0.02</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0.02</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0.02</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0.02</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0.02</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0.02</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0.02</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0.02</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0.02</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0.02</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0.02</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0.02</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0.02</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0.02</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0.02</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0.02</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0.02</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0.02</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0.02</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0.02</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0.02</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0.02</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0.02</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0.02</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0.02</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0.02</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0.02</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0.02</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0.02</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0.02</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0.02</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0.02</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0.02</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0.02</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0.02</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0.02</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0.02</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0.02</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0.02</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0.02</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0.02</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0.02</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0.02</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0.02</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0.02</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0.02</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0.02</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0.02</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0.02</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0.02</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0.02</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0.02</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0.02</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0.02</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0.02</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0.02</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0.02</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0.02</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0.02</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0.02</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0.02</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0.02</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0.02</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0.02</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0.02</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0.02</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0.02</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0.02</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0.02</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0.02</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0.02</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0.02</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0.02</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0.02</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0.02</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0.02</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0.02</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0.02</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0.02</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0.02</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0.02</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0.02</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0.02</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0.02</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0.02</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0.02</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0.02</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0.02</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0.02</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0.02</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0.02</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0.02</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0.02</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0.02</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0.02</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0.02</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0.02</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0.02</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0.02</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0.02</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0.02</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0.02</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0.02</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0.02</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0.02</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0.02</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0.02</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0.02</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0.02</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0.02</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0.02</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0.02</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0.02</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0.02</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0.02</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0.02</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0.02</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0.02</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0.02</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0.02</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0.02</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0.02</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0.02</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0.02</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0.02</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0.02</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0.02</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0.02</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0.02</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0.02</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0.02</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0.02</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0.02</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0.02</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0.02</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0.02</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0.02</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0.02</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0.02</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0.02</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0.02</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0.02</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0.02</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0.02</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0.02</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0.02</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0.02</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0.02</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0.02</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0.02</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0.02</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0.02</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0.02</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0.02</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0.02</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0.02</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0.02</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0.02</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0.02</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0.02</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0.02</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0.02</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0.02</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0.02</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0.02</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0.02</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0.02</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0.02</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0.02</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0.02</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0.02</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0.02</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0.02</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0.02</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0.02</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0.02</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0.02</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0.02</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0.02</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0.02</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0.02</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0.02</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0.02</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0.02</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0.02</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0.02</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0.02</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0.02</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0.02</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0.02</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0.02</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0.02</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0.02</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0.02</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0.02</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0.02</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0.02</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0.02</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0.02</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0.02</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0.02</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0.02</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0.02</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0.02</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0.02</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0.02</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0.02</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0.02</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0.02</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0.02</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0.02</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0.02</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0.02</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0.02</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0.02</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0.02</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0.02</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0.02</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0.02</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0.02</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0.02</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0.02</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0.02</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0.02</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0.02</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0.02</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0.02</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0.02</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0.02</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0.02</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0.02</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0.02</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0.02</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0.02</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0.02</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0.02</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0.02</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0.02</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0.02</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0.02</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0.02</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0.02</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0.02</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0.02</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0.02</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0.02</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0.02</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0.02</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0.02</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0.02</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0.02</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0.02</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0.02</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0.02</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0.02</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0.02</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0.02</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0.02</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0.02</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0.02</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0.02</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0.02</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0.02</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0.02</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0.02</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0.02</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0.02</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0.02</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0.02</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0.02</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0.02</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0.02</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0.02</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0.02</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0.02</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0.02</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0.02</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0.02</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0.02</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0.02</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0.02</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0.02</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0.02</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0.02</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0.02</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0.02</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0.02</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0.02</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0.02</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0.02</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0.02</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0.02</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0.02</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0.02</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0.02</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0.02</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0.02</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0.02</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0.02</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0.02</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0.02</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0.02</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0.02</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0.02</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0.02</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94.78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860"/>
      <c r="M4" s="861"/>
      <c r="N4" s="861"/>
      <c r="O4" s="861"/>
      <c r="P4" s="3454" t="s">
        <v>1775</v>
      </c>
      <c r="Q4" s="3455"/>
      <c r="R4" s="3450" t="s">
        <v>1771</v>
      </c>
      <c r="S4" s="3451"/>
      <c r="T4" s="3450" t="s">
        <v>1772</v>
      </c>
      <c r="U4" s="3451"/>
      <c r="V4" s="3412" t="s">
        <v>1773</v>
      </c>
      <c r="W4" s="3412"/>
      <c r="X4" s="1265"/>
      <c r="Y4" s="3450" t="s">
        <v>1775</v>
      </c>
      <c r="Z4" s="3451"/>
      <c r="AA4" s="3449" t="s">
        <v>1771</v>
      </c>
      <c r="AB4" s="3380" t="s">
        <v>1772</v>
      </c>
      <c r="AC4" s="3449" t="s">
        <v>1773</v>
      </c>
    </row>
    <row r="5" spans="1:29">
      <c r="A5" s="348"/>
      <c r="B5" s="349"/>
      <c r="C5" s="3392" t="s">
        <v>1673</v>
      </c>
      <c r="D5" s="3389"/>
      <c r="E5" s="3452" t="s">
        <v>1674</v>
      </c>
      <c r="F5" s="3453"/>
      <c r="G5" s="3392" t="s">
        <v>1675</v>
      </c>
      <c r="H5" s="3389"/>
      <c r="I5" s="3392" t="s">
        <v>1676</v>
      </c>
      <c r="J5" s="3389"/>
      <c r="K5" s="537"/>
      <c r="L5" s="860"/>
      <c r="M5" s="861"/>
      <c r="N5" s="861"/>
      <c r="O5" s="861"/>
      <c r="P5" s="3456"/>
      <c r="Q5" s="3406"/>
      <c r="R5" s="3386"/>
      <c r="S5" s="3387"/>
      <c r="T5" s="3386"/>
      <c r="U5" s="3387"/>
      <c r="V5" s="3412"/>
      <c r="W5" s="3412"/>
      <c r="X5" s="1265"/>
      <c r="Y5" s="3386"/>
      <c r="Z5" s="3387"/>
      <c r="AA5" s="3380"/>
      <c r="AB5" s="3380"/>
      <c r="AC5" s="3380"/>
    </row>
    <row r="6" spans="1:29" ht="15" thickBot="1">
      <c r="A6" s="350"/>
      <c r="B6" s="351"/>
      <c r="C6" s="3390" t="s">
        <v>1677</v>
      </c>
      <c r="D6" s="3391"/>
      <c r="E6" s="3393" t="s">
        <v>1677</v>
      </c>
      <c r="F6" s="3394"/>
      <c r="G6" s="3390" t="s">
        <v>1677</v>
      </c>
      <c r="H6" s="3391"/>
      <c r="I6" s="3390" t="s">
        <v>1677</v>
      </c>
      <c r="J6" s="3391"/>
      <c r="K6" s="537" t="s">
        <v>1678</v>
      </c>
      <c r="L6" s="860"/>
      <c r="M6" s="861"/>
      <c r="N6" s="861"/>
      <c r="O6" s="861"/>
      <c r="P6" s="3457"/>
      <c r="Q6" s="3408"/>
      <c r="R6" s="3386"/>
      <c r="S6" s="3387"/>
      <c r="T6" s="3409"/>
      <c r="U6" s="3410"/>
      <c r="V6" s="3412"/>
      <c r="W6" s="3412"/>
      <c r="X6" s="1265"/>
      <c r="Y6" s="3409"/>
      <c r="Z6" s="3410"/>
      <c r="AA6" s="3381"/>
      <c r="AB6" s="3381"/>
      <c r="AC6" s="3381"/>
    </row>
    <row r="7" spans="1:29" s="102" customFormat="1" ht="15" thickBot="1">
      <c r="A7" s="352" t="s">
        <v>1679</v>
      </c>
      <c r="B7" s="353"/>
      <c r="C7" s="354">
        <f>'数据-取费表'!B2</f>
        <v>45828</v>
      </c>
      <c r="D7" s="355">
        <v>100</v>
      </c>
      <c r="E7" s="356"/>
      <c r="F7" s="357">
        <f>SUMIF(52:52,YEAR(E7)&amp;"-"&amp;MONTH(E7),53:53)</f>
        <v>0</v>
      </c>
      <c r="G7" s="356"/>
      <c r="H7" s="355">
        <f>SUMIF(52:52,YEAR(G7)&amp;"-"&amp;MONTH(G7),53:53)</f>
        <v>0</v>
      </c>
      <c r="I7" s="356"/>
      <c r="J7" s="355">
        <f>SUMIF(52:52,YEAR(I7)&amp;"-"&amp;MONTH(I7),53:53)</f>
        <v>0</v>
      </c>
      <c r="K7" s="38"/>
      <c r="L7" s="862"/>
      <c r="M7" s="863"/>
      <c r="N7" s="863"/>
      <c r="O7" s="863"/>
      <c r="P7" s="3382" t="s">
        <v>1680</v>
      </c>
      <c r="Q7" s="3414"/>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2" t="s">
        <v>1683</v>
      </c>
      <c r="Q8" s="3383"/>
      <c r="R8" s="664" t="s">
        <v>14</v>
      </c>
      <c r="S8" s="665">
        <f t="shared" si="0"/>
        <v>100</v>
      </c>
      <c r="T8" s="664" t="s">
        <v>14</v>
      </c>
      <c r="U8" s="665">
        <f t="shared" si="1"/>
        <v>100</v>
      </c>
      <c r="V8" s="664" t="s">
        <v>14</v>
      </c>
      <c r="W8" s="665">
        <f t="shared" si="2"/>
        <v>100</v>
      </c>
      <c r="X8" s="666"/>
      <c r="Y8" s="3382" t="s">
        <v>1683</v>
      </c>
      <c r="Z8" s="338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4" t="s">
        <v>1686</v>
      </c>
      <c r="Q9" s="530" t="str">
        <f t="shared" ref="Q9:Q15" si="6">B9</f>
        <v>用途</v>
      </c>
      <c r="R9" s="664" t="s">
        <v>14</v>
      </c>
      <c r="S9" s="665">
        <f t="shared" si="0"/>
        <v>100</v>
      </c>
      <c r="T9" s="664" t="s">
        <v>14</v>
      </c>
      <c r="U9" s="665">
        <f t="shared" si="1"/>
        <v>100</v>
      </c>
      <c r="V9" s="664" t="s">
        <v>14</v>
      </c>
      <c r="W9" s="665">
        <f t="shared" si="2"/>
        <v>100</v>
      </c>
      <c r="X9" s="666"/>
      <c r="Y9" s="3347"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424"/>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4"/>
      <c r="Q11" s="530" t="str">
        <f t="shared" si="6"/>
        <v>容积率</v>
      </c>
      <c r="R11" s="664" t="s">
        <v>14</v>
      </c>
      <c r="S11" s="665">
        <f t="shared" si="0"/>
        <v>100</v>
      </c>
      <c r="T11" s="664" t="s">
        <v>14</v>
      </c>
      <c r="U11" s="665">
        <f t="shared" si="1"/>
        <v>100</v>
      </c>
      <c r="V11" s="664" t="s">
        <v>14</v>
      </c>
      <c r="W11" s="665">
        <f t="shared" si="2"/>
        <v>100</v>
      </c>
      <c r="X11" s="666"/>
      <c r="Y11" s="334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4"/>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4"/>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4"/>
      <c r="Q14" s="530">
        <f t="shared" si="6"/>
        <v>111</v>
      </c>
      <c r="R14" s="664" t="s">
        <v>14</v>
      </c>
      <c r="S14" s="665">
        <f t="shared" si="0"/>
        <v>100</v>
      </c>
      <c r="T14" s="664" t="s">
        <v>14</v>
      </c>
      <c r="U14" s="665">
        <f t="shared" si="1"/>
        <v>100</v>
      </c>
      <c r="V14" s="664" t="s">
        <v>14</v>
      </c>
      <c r="W14" s="665">
        <f t="shared" si="2"/>
        <v>100</v>
      </c>
      <c r="X14" s="666"/>
      <c r="Y14" s="3347"/>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7" t="s">
        <v>1691</v>
      </c>
      <c r="Q15" s="1263" t="str">
        <f t="shared" si="6"/>
        <v>产业集聚程度</v>
      </c>
      <c r="R15" s="667" t="s">
        <v>14</v>
      </c>
      <c r="S15" s="668">
        <f t="shared" si="0"/>
        <v>100</v>
      </c>
      <c r="T15" s="667" t="s">
        <v>14</v>
      </c>
      <c r="U15" s="668">
        <f t="shared" si="1"/>
        <v>100</v>
      </c>
      <c r="V15" s="667" t="s">
        <v>14</v>
      </c>
      <c r="W15" s="668">
        <f t="shared" si="2"/>
        <v>100</v>
      </c>
      <c r="X15" s="1265"/>
      <c r="Y15" s="341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8"/>
      <c r="Q16" s="1263"/>
      <c r="R16" s="667"/>
      <c r="S16" s="668"/>
      <c r="T16" s="667"/>
      <c r="U16" s="668"/>
      <c r="V16" s="667"/>
      <c r="W16" s="668"/>
      <c r="X16" s="1265"/>
      <c r="Y16" s="341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8"/>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8"/>
      <c r="Q18" s="1263"/>
      <c r="R18" s="667"/>
      <c r="S18" s="668"/>
      <c r="T18" s="667"/>
      <c r="U18" s="668"/>
      <c r="V18" s="667"/>
      <c r="W18" s="668"/>
      <c r="X18" s="1265"/>
      <c r="Y18" s="341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8"/>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8"/>
      <c r="Q20" s="1263"/>
      <c r="R20" s="667"/>
      <c r="S20" s="668"/>
      <c r="T20" s="667"/>
      <c r="U20" s="668"/>
      <c r="V20" s="667"/>
      <c r="W20" s="668"/>
      <c r="X20" s="1265"/>
      <c r="Y20" s="341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8"/>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8"/>
      <c r="Q22" s="1263"/>
      <c r="R22" s="667"/>
      <c r="S22" s="668"/>
      <c r="T22" s="667"/>
      <c r="U22" s="668"/>
      <c r="V22" s="667"/>
      <c r="W22" s="668"/>
      <c r="X22" s="1265"/>
      <c r="Y22" s="341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8"/>
      <c r="Q23" s="1263" t="str">
        <f>B23</f>
        <v>环境质量</v>
      </c>
      <c r="R23" s="667" t="s">
        <v>14</v>
      </c>
      <c r="S23" s="668">
        <f>F23</f>
        <v>100</v>
      </c>
      <c r="T23" s="667" t="s">
        <v>14</v>
      </c>
      <c r="U23" s="668">
        <f>H23</f>
        <v>100</v>
      </c>
      <c r="V23" s="667" t="s">
        <v>14</v>
      </c>
      <c r="W23" s="668">
        <f>J23</f>
        <v>100</v>
      </c>
      <c r="X23" s="1265"/>
      <c r="Y23" s="341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8"/>
      <c r="Q24" s="1263"/>
      <c r="R24" s="667"/>
      <c r="S24" s="668"/>
      <c r="T24" s="667"/>
      <c r="U24" s="668"/>
      <c r="V24" s="667"/>
      <c r="W24" s="668"/>
      <c r="X24" s="1265"/>
      <c r="Y24" s="341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8"/>
      <c r="Q25" s="1263">
        <f>B25</f>
        <v>111</v>
      </c>
      <c r="R25" s="667" t="s">
        <v>14</v>
      </c>
      <c r="S25" s="668">
        <f>F25</f>
        <v>100</v>
      </c>
      <c r="T25" s="667" t="s">
        <v>14</v>
      </c>
      <c r="U25" s="668">
        <f>H25</f>
        <v>100</v>
      </c>
      <c r="V25" s="667" t="s">
        <v>14</v>
      </c>
      <c r="W25" s="668">
        <f>J25</f>
        <v>100</v>
      </c>
      <c r="X25" s="1265"/>
      <c r="Y25" s="341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8"/>
      <c r="Q26" s="1263">
        <f t="shared" ref="Q26:Q40" si="11">B26</f>
        <v>111</v>
      </c>
      <c r="R26" s="667" t="s">
        <v>14</v>
      </c>
      <c r="S26" s="668">
        <f>F26</f>
        <v>100</v>
      </c>
      <c r="T26" s="667" t="s">
        <v>14</v>
      </c>
      <c r="U26" s="668">
        <f>H26</f>
        <v>100</v>
      </c>
      <c r="V26" s="667" t="s">
        <v>14</v>
      </c>
      <c r="W26" s="668">
        <f>J26</f>
        <v>100</v>
      </c>
      <c r="X26" s="1265"/>
      <c r="Y26" s="341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8"/>
      <c r="Q27" s="530">
        <f t="shared" si="11"/>
        <v>111</v>
      </c>
      <c r="R27" s="664" t="s">
        <v>14</v>
      </c>
      <c r="S27" s="665">
        <f>F27</f>
        <v>100</v>
      </c>
      <c r="T27" s="664" t="s">
        <v>14</v>
      </c>
      <c r="U27" s="665">
        <f>H27</f>
        <v>100</v>
      </c>
      <c r="V27" s="664" t="s">
        <v>14</v>
      </c>
      <c r="W27" s="665">
        <f>J27</f>
        <v>100</v>
      </c>
      <c r="X27" s="666"/>
      <c r="Y27" s="341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8"/>
      <c r="Q28" s="1263">
        <f t="shared" si="11"/>
        <v>111</v>
      </c>
      <c r="R28" s="667" t="s">
        <v>14</v>
      </c>
      <c r="S28" s="668">
        <f t="shared" ref="S28:S40" si="12">F28</f>
        <v>100</v>
      </c>
      <c r="T28" s="667" t="s">
        <v>14</v>
      </c>
      <c r="U28" s="668">
        <f t="shared" ref="U28:U40" si="13">H28</f>
        <v>100</v>
      </c>
      <c r="V28" s="667" t="s">
        <v>14</v>
      </c>
      <c r="W28" s="668">
        <f t="shared" ref="W28:W40" si="14">J28</f>
        <v>100</v>
      </c>
      <c r="X28" s="1265"/>
      <c r="Y28" s="341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7" t="s">
        <v>1696</v>
      </c>
      <c r="Q29" s="1263" t="str">
        <f t="shared" si="11"/>
        <v>建筑类型</v>
      </c>
      <c r="R29" s="667" t="s">
        <v>14</v>
      </c>
      <c r="S29" s="668">
        <f t="shared" si="12"/>
        <v>100</v>
      </c>
      <c r="T29" s="667" t="s">
        <v>14</v>
      </c>
      <c r="U29" s="668">
        <f t="shared" si="13"/>
        <v>100</v>
      </c>
      <c r="V29" s="667" t="s">
        <v>14</v>
      </c>
      <c r="W29" s="668">
        <f t="shared" si="14"/>
        <v>100</v>
      </c>
      <c r="X29" s="1265"/>
      <c r="Y29" s="342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2"/>
      <c r="Q30" s="531" t="str">
        <f t="shared" si="11"/>
        <v>项目建筑规模</v>
      </c>
      <c r="R30" s="669" t="s">
        <v>14</v>
      </c>
      <c r="S30" s="670" t="e">
        <f t="shared" si="12"/>
        <v>#N/A</v>
      </c>
      <c r="T30" s="669" t="s">
        <v>14</v>
      </c>
      <c r="U30" s="670" t="e">
        <f t="shared" si="13"/>
        <v>#N/A</v>
      </c>
      <c r="V30" s="669" t="s">
        <v>14</v>
      </c>
      <c r="W30" s="670" t="e">
        <f t="shared" si="14"/>
        <v>#N/A</v>
      </c>
      <c r="X30" s="671"/>
      <c r="Y30" s="342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2"/>
      <c r="Q31" s="1263" t="str">
        <f t="shared" si="11"/>
        <v>建筑结构</v>
      </c>
      <c r="R31" s="667" t="s">
        <v>14</v>
      </c>
      <c r="S31" s="668">
        <f t="shared" si="12"/>
        <v>100</v>
      </c>
      <c r="T31" s="667" t="s">
        <v>14</v>
      </c>
      <c r="U31" s="668">
        <f t="shared" si="13"/>
        <v>100</v>
      </c>
      <c r="V31" s="667" t="s">
        <v>14</v>
      </c>
      <c r="W31" s="668">
        <f t="shared" si="14"/>
        <v>100</v>
      </c>
      <c r="X31" s="1265"/>
      <c r="Y31" s="342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2"/>
      <c r="Q32" s="1263" t="str">
        <f t="shared" si="11"/>
        <v>公共部分装修</v>
      </c>
      <c r="R32" s="667" t="s">
        <v>14</v>
      </c>
      <c r="S32" s="668">
        <f t="shared" si="12"/>
        <v>100</v>
      </c>
      <c r="T32" s="667" t="s">
        <v>14</v>
      </c>
      <c r="U32" s="668">
        <f t="shared" si="13"/>
        <v>100</v>
      </c>
      <c r="V32" s="667" t="s">
        <v>14</v>
      </c>
      <c r="W32" s="668">
        <f t="shared" si="14"/>
        <v>100</v>
      </c>
      <c r="X32" s="1265"/>
      <c r="Y32" s="342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2"/>
      <c r="Q33" s="1263" t="str">
        <f t="shared" si="11"/>
        <v>成新度</v>
      </c>
      <c r="R33" s="667" t="s">
        <v>14</v>
      </c>
      <c r="S33" s="668" t="e">
        <f t="shared" si="12"/>
        <v>#N/A</v>
      </c>
      <c r="T33" s="667" t="s">
        <v>14</v>
      </c>
      <c r="U33" s="668" t="e">
        <f t="shared" si="13"/>
        <v>#N/A</v>
      </c>
      <c r="V33" s="667" t="s">
        <v>14</v>
      </c>
      <c r="W33" s="668" t="e">
        <f t="shared" si="14"/>
        <v>#N/A</v>
      </c>
      <c r="X33" s="1265"/>
      <c r="Y33" s="342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2"/>
      <c r="Q34" s="530" t="str">
        <f t="shared" si="11"/>
        <v>物业管理</v>
      </c>
      <c r="R34" s="664" t="s">
        <v>14</v>
      </c>
      <c r="S34" s="665">
        <f t="shared" si="12"/>
        <v>100</v>
      </c>
      <c r="T34" s="664" t="s">
        <v>14</v>
      </c>
      <c r="U34" s="665">
        <f t="shared" si="13"/>
        <v>100</v>
      </c>
      <c r="V34" s="664" t="s">
        <v>14</v>
      </c>
      <c r="W34" s="665">
        <f t="shared" si="14"/>
        <v>100</v>
      </c>
      <c r="X34" s="666"/>
      <c r="Y34" s="342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2" t="s">
        <v>1696</v>
      </c>
      <c r="Q35" s="1263" t="str">
        <f t="shared" si="11"/>
        <v>市政基础设施</v>
      </c>
      <c r="R35" s="667" t="s">
        <v>14</v>
      </c>
      <c r="S35" s="668">
        <f t="shared" si="12"/>
        <v>100</v>
      </c>
      <c r="T35" s="667" t="s">
        <v>14</v>
      </c>
      <c r="U35" s="668">
        <f t="shared" si="13"/>
        <v>100</v>
      </c>
      <c r="V35" s="667" t="s">
        <v>14</v>
      </c>
      <c r="W35" s="668">
        <f t="shared" si="14"/>
        <v>100</v>
      </c>
      <c r="X35" s="1265"/>
      <c r="Y35" s="342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2"/>
      <c r="Q36" s="1263" t="str">
        <f t="shared" si="11"/>
        <v>内部装修</v>
      </c>
      <c r="R36" s="667" t="s">
        <v>14</v>
      </c>
      <c r="S36" s="668">
        <f t="shared" si="12"/>
        <v>100</v>
      </c>
      <c r="T36" s="667" t="s">
        <v>14</v>
      </c>
      <c r="U36" s="668">
        <f t="shared" si="13"/>
        <v>100</v>
      </c>
      <c r="V36" s="667" t="s">
        <v>14</v>
      </c>
      <c r="W36" s="668">
        <f t="shared" si="14"/>
        <v>100</v>
      </c>
      <c r="X36" s="1265"/>
      <c r="Y36" s="342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2"/>
      <c r="Q37" s="1263" t="str">
        <f t="shared" si="11"/>
        <v>内部装修状况</v>
      </c>
      <c r="R37" s="667" t="s">
        <v>14</v>
      </c>
      <c r="S37" s="668">
        <f t="shared" si="12"/>
        <v>100</v>
      </c>
      <c r="T37" s="667" t="s">
        <v>14</v>
      </c>
      <c r="U37" s="668">
        <f t="shared" si="13"/>
        <v>100</v>
      </c>
      <c r="V37" s="667" t="s">
        <v>14</v>
      </c>
      <c r="W37" s="668">
        <f t="shared" si="14"/>
        <v>100</v>
      </c>
      <c r="X37" s="1265"/>
      <c r="Y37" s="342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2"/>
      <c r="Q38" s="531">
        <f t="shared" si="11"/>
        <v>111</v>
      </c>
      <c r="R38" s="669" t="s">
        <v>14</v>
      </c>
      <c r="S38" s="670">
        <f t="shared" si="12"/>
        <v>100</v>
      </c>
      <c r="T38" s="669" t="s">
        <v>14</v>
      </c>
      <c r="U38" s="670">
        <f t="shared" si="13"/>
        <v>100</v>
      </c>
      <c r="V38" s="669" t="s">
        <v>14</v>
      </c>
      <c r="W38" s="670">
        <f t="shared" si="14"/>
        <v>100</v>
      </c>
      <c r="X38" s="671"/>
      <c r="Y38" s="342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2"/>
      <c r="Q39" s="1263">
        <f t="shared" si="11"/>
        <v>111</v>
      </c>
      <c r="R39" s="667" t="s">
        <v>14</v>
      </c>
      <c r="S39" s="668">
        <f t="shared" si="12"/>
        <v>100</v>
      </c>
      <c r="T39" s="667" t="s">
        <v>14</v>
      </c>
      <c r="U39" s="668">
        <f t="shared" si="13"/>
        <v>100</v>
      </c>
      <c r="V39" s="667" t="s">
        <v>14</v>
      </c>
      <c r="W39" s="668">
        <f t="shared" si="14"/>
        <v>100</v>
      </c>
      <c r="X39" s="1265"/>
      <c r="Y39" s="342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3"/>
      <c r="Q40" s="1263">
        <f t="shared" si="11"/>
        <v>111</v>
      </c>
      <c r="R40" s="667" t="s">
        <v>14</v>
      </c>
      <c r="S40" s="668">
        <f t="shared" si="12"/>
        <v>100</v>
      </c>
      <c r="T40" s="667" t="s">
        <v>14</v>
      </c>
      <c r="U40" s="668">
        <f t="shared" si="13"/>
        <v>100</v>
      </c>
      <c r="V40" s="667" t="s">
        <v>14</v>
      </c>
      <c r="W40" s="668">
        <f t="shared" si="14"/>
        <v>100</v>
      </c>
      <c r="X40" s="1265"/>
      <c r="Y40" s="342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24" t="str">
        <f>A41</f>
        <v>成交单价（元/平方米）</v>
      </c>
      <c r="Q41" s="3424"/>
      <c r="R41" s="3412">
        <f>E41</f>
        <v>0</v>
      </c>
      <c r="S41" s="3412"/>
      <c r="T41" s="3412">
        <f>G41</f>
        <v>0</v>
      </c>
      <c r="U41" s="3412"/>
      <c r="V41" s="3412">
        <f>I41</f>
        <v>0</v>
      </c>
      <c r="W41" s="3412"/>
      <c r="X41" s="385"/>
      <c r="Y41" s="673"/>
      <c r="Z41" s="385"/>
      <c r="AA41" s="385"/>
      <c r="AB41" s="385"/>
      <c r="AC41" s="385"/>
    </row>
    <row r="42" spans="1:29" ht="15" thickBot="1">
      <c r="A42" s="423" t="s">
        <v>1793</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424" t="str">
        <f>A42</f>
        <v>比较价值（元/平方米）</v>
      </c>
      <c r="Q42" s="3424"/>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58" t="str">
        <f>A43</f>
        <v>估价对象XX用房的比较价值（楼面单价，元/平方米）</v>
      </c>
      <c r="Q43" s="3459"/>
      <c r="R43" s="3460" t="e">
        <f>IF(F1="售价",ROUND(IF(D42="简单平均",AVERAGE(R42:V42),R42*F42+T42*H42+V42*J42),0),ROUND(IF(D42="简单平均",AVERAGE(R42:V42),R42*F42+T42*H42+V42*J42),1))</f>
        <v>#DIV/0!</v>
      </c>
      <c r="S43" s="3460"/>
      <c r="T43" s="3460"/>
      <c r="U43" s="3460"/>
      <c r="V43" s="3460"/>
      <c r="W43" s="3460"/>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7.399999999999999">
      <c r="A3" s="3195" t="str">
        <f>IF(项目基本情况!B9="房地产市场价值","估价结果一览表（市场价值不需“结果表-1”）","估价结果一览表")</f>
        <v>估价结果一览表</v>
      </c>
      <c r="B3" s="3195"/>
      <c r="C3" s="3195"/>
      <c r="D3" s="3195"/>
      <c r="E3" s="3195"/>
    </row>
    <row r="4" spans="1:5" ht="18" thickBot="1">
      <c r="A4" s="1391"/>
      <c r="B4" s="3193" t="s">
        <v>917</v>
      </c>
      <c r="C4" s="3193"/>
      <c r="D4" s="3193"/>
      <c r="E4" s="1391"/>
    </row>
    <row r="5" spans="1:5" ht="16.2" thickTop="1">
      <c r="B5" s="3191" t="s">
        <v>909</v>
      </c>
      <c r="C5" s="1392" t="s">
        <v>910</v>
      </c>
      <c r="D5" s="797">
        <f ca="1">结果表1001!H101</f>
        <v>95.784700000000001</v>
      </c>
    </row>
    <row r="6" spans="1:5" ht="15.6">
      <c r="B6" s="3191"/>
      <c r="C6" s="1392" t="s">
        <v>911</v>
      </c>
      <c r="D6" s="797" t="str">
        <f ca="1">NUMBERSTRING(INT(D5*10000),2)&amp;"元整"</f>
        <v>玖拾伍万柒仟捌佰肆拾柒元整</v>
      </c>
    </row>
    <row r="7" spans="1:5" ht="15.6">
      <c r="B7" s="3196"/>
      <c r="C7" s="1393" t="s">
        <v>912</v>
      </c>
      <c r="D7" s="798">
        <f ca="1">结果表1001!H102</f>
        <v>10106</v>
      </c>
    </row>
    <row r="8" spans="1:5" ht="15.6">
      <c r="B8" s="3197" t="str">
        <f>结果表1001!E103</f>
        <v>2.估价师知悉的法定优先受偿款</v>
      </c>
      <c r="C8" s="1394" t="s">
        <v>913</v>
      </c>
      <c r="D8" s="798">
        <f>结果表1001!H103</f>
        <v>0</v>
      </c>
    </row>
    <row r="9" spans="1:5" ht="15.6">
      <c r="B9" s="3199"/>
      <c r="C9" s="1392" t="s">
        <v>911</v>
      </c>
      <c r="D9" s="797" t="str">
        <f>NUMBERSTRING(INT(D8*10000),2)&amp;"元整"</f>
        <v>零元整</v>
      </c>
    </row>
    <row r="10" spans="1:5" ht="15.6">
      <c r="B10" s="1395" t="s">
        <v>916</v>
      </c>
      <c r="C10" s="1396" t="s">
        <v>914</v>
      </c>
      <c r="D10" s="799">
        <f>结果表1001!H104</f>
        <v>0</v>
      </c>
    </row>
    <row r="11" spans="1:5" ht="15.6">
      <c r="B11" s="1395" t="s">
        <v>918</v>
      </c>
      <c r="C11" s="1396" t="s">
        <v>919</v>
      </c>
      <c r="D11" s="799">
        <f>结果表1001!H105</f>
        <v>0</v>
      </c>
    </row>
    <row r="12" spans="1:5" ht="15.6">
      <c r="B12" s="1395" t="s">
        <v>920</v>
      </c>
      <c r="C12" s="1396" t="s">
        <v>919</v>
      </c>
      <c r="D12" s="799">
        <f>结果表1001!H106</f>
        <v>0</v>
      </c>
    </row>
    <row r="13" spans="1:5" ht="15.6">
      <c r="B13" s="3190" t="str">
        <f>结果表1001!E107</f>
        <v>3.房地产抵押价值</v>
      </c>
      <c r="C13" s="1397" t="s">
        <v>910</v>
      </c>
      <c r="D13" s="800">
        <f ca="1">结果表1001!H107</f>
        <v>95.784700000000001</v>
      </c>
    </row>
    <row r="14" spans="1:5" ht="15.6">
      <c r="B14" s="3191"/>
      <c r="C14" s="1392" t="s">
        <v>911</v>
      </c>
      <c r="D14" s="797" t="str">
        <f ca="1">NUMBERSTRING(INT(D13*10000),2)&amp;"元整"</f>
        <v>玖拾伍万柒仟捌佰肆拾柒元整</v>
      </c>
    </row>
    <row r="15" spans="1:5" ht="15.6">
      <c r="B15" s="3196"/>
      <c r="C15" s="1393" t="s">
        <v>921</v>
      </c>
      <c r="D15" s="806">
        <f ca="1">结果表1001!H108</f>
        <v>10106</v>
      </c>
    </row>
    <row r="16" spans="1:5" ht="15.6">
      <c r="B16" s="3197" t="str">
        <f>结果表1001!E109</f>
        <v>——</v>
      </c>
      <c r="C16" s="1397" t="s">
        <v>922</v>
      </c>
      <c r="D16" s="1398" t="str">
        <f>结果表1001!H109</f>
        <v>——</v>
      </c>
    </row>
    <row r="17" spans="1:5" ht="15.6">
      <c r="B17" s="3198"/>
      <c r="C17" s="1392" t="s">
        <v>923</v>
      </c>
      <c r="D17" s="797" t="e">
        <f>NUMBERSTRING(INT(D16*10000),2)&amp;"元整"</f>
        <v>#VALUE!</v>
      </c>
    </row>
    <row r="18" spans="1:5" ht="15.6">
      <c r="B18" s="3199"/>
      <c r="C18" s="1393" t="s">
        <v>912</v>
      </c>
      <c r="D18" s="806" t="str">
        <f>结果表1001!H110</f>
        <v>——</v>
      </c>
    </row>
    <row r="19" spans="1:5" ht="15.6">
      <c r="B19" s="3190" t="str">
        <f>结果表1001!E111</f>
        <v>4.抵押净值</v>
      </c>
      <c r="C19" s="1397" t="s">
        <v>910</v>
      </c>
      <c r="D19" s="798">
        <f ca="1">结果表1001!H111</f>
        <v>95.736800000000002</v>
      </c>
    </row>
    <row r="20" spans="1:5" ht="15.6">
      <c r="B20" s="3191"/>
      <c r="C20" s="1392" t="s">
        <v>923</v>
      </c>
      <c r="D20" s="797" t="str">
        <f ca="1">NUMBERSTRING(INT(D19*10000),2)&amp;"元整"</f>
        <v>玖拾伍万柒仟叁佰陆拾捌元整</v>
      </c>
    </row>
    <row r="21" spans="1:5" ht="16.2" thickBot="1">
      <c r="B21" s="3192"/>
      <c r="C21" s="1399" t="s">
        <v>921</v>
      </c>
      <c r="D21" s="807">
        <f ca="1">结果表1001!H112</f>
        <v>10101</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7"/>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2"/>
      <c r="M4" s="2483"/>
      <c r="N4" s="2483"/>
      <c r="O4" s="2483"/>
      <c r="P4" s="3454" t="s">
        <v>1775</v>
      </c>
      <c r="Q4" s="3455"/>
      <c r="R4" s="3450" t="s">
        <v>1771</v>
      </c>
      <c r="S4" s="3451"/>
      <c r="T4" s="3450" t="s">
        <v>1772</v>
      </c>
      <c r="U4" s="3451"/>
      <c r="V4" s="3412" t="s">
        <v>1773</v>
      </c>
      <c r="W4" s="3412"/>
      <c r="X4" s="1265"/>
      <c r="Y4" s="3450" t="s">
        <v>1775</v>
      </c>
      <c r="Z4" s="3451"/>
      <c r="AA4" s="3449" t="s">
        <v>1771</v>
      </c>
      <c r="AB4" s="3380" t="s">
        <v>1772</v>
      </c>
      <c r="AC4" s="3449" t="s">
        <v>1773</v>
      </c>
    </row>
    <row r="5" spans="1:29">
      <c r="A5" s="348"/>
      <c r="B5" s="349"/>
      <c r="C5" s="3392" t="s">
        <v>1673</v>
      </c>
      <c r="D5" s="3389"/>
      <c r="E5" s="3452" t="s">
        <v>1674</v>
      </c>
      <c r="F5" s="3453"/>
      <c r="G5" s="3392" t="s">
        <v>1675</v>
      </c>
      <c r="H5" s="3389"/>
      <c r="I5" s="3392" t="s">
        <v>1676</v>
      </c>
      <c r="J5" s="3389"/>
      <c r="K5" s="537"/>
      <c r="L5" s="2482"/>
      <c r="M5" s="2483"/>
      <c r="N5" s="2483"/>
      <c r="O5" s="2483"/>
      <c r="P5" s="3456"/>
      <c r="Q5" s="3406"/>
      <c r="R5" s="3386"/>
      <c r="S5" s="3387"/>
      <c r="T5" s="3386"/>
      <c r="U5" s="3387"/>
      <c r="V5" s="3412"/>
      <c r="W5" s="3412"/>
      <c r="X5" s="1265"/>
      <c r="Y5" s="3386"/>
      <c r="Z5" s="3387"/>
      <c r="AA5" s="3380"/>
      <c r="AB5" s="3380"/>
      <c r="AC5" s="3380"/>
    </row>
    <row r="6" spans="1:29" ht="15" thickBot="1">
      <c r="A6" s="350"/>
      <c r="B6" s="351"/>
      <c r="C6" s="3390" t="s">
        <v>1677</v>
      </c>
      <c r="D6" s="3391"/>
      <c r="E6" s="3393" t="s">
        <v>1677</v>
      </c>
      <c r="F6" s="3394"/>
      <c r="G6" s="3390" t="s">
        <v>1677</v>
      </c>
      <c r="H6" s="3391"/>
      <c r="I6" s="3390" t="s">
        <v>1677</v>
      </c>
      <c r="J6" s="3391"/>
      <c r="K6" s="537" t="s">
        <v>1678</v>
      </c>
      <c r="L6" s="2482"/>
      <c r="M6" s="2483"/>
      <c r="N6" s="2483"/>
      <c r="O6" s="2483"/>
      <c r="P6" s="3457"/>
      <c r="Q6" s="3408"/>
      <c r="R6" s="3386"/>
      <c r="S6" s="3387"/>
      <c r="T6" s="3409"/>
      <c r="U6" s="3410"/>
      <c r="V6" s="3412"/>
      <c r="W6" s="3412"/>
      <c r="X6" s="1265"/>
      <c r="Y6" s="3409"/>
      <c r="Z6" s="3410"/>
      <c r="AA6" s="3381"/>
      <c r="AB6" s="3381"/>
      <c r="AC6" s="3381"/>
    </row>
    <row r="7" spans="1:29" s="102" customFormat="1" ht="15" thickBot="1">
      <c r="A7" s="352" t="s">
        <v>1679</v>
      </c>
      <c r="B7" s="353"/>
      <c r="C7" s="354">
        <f>'数据-取费表'!B2</f>
        <v>45828</v>
      </c>
      <c r="D7" s="355">
        <v>100</v>
      </c>
      <c r="E7" s="356"/>
      <c r="F7" s="357">
        <f>SUMIF(48:48,YEAR(E7)&amp;"-"&amp;MONTH(E7),49:49)</f>
        <v>0</v>
      </c>
      <c r="G7" s="356"/>
      <c r="H7" s="355">
        <f>SUMIF(48:48,YEAR(G7)&amp;"-"&amp;MONTH(G7),49:49)</f>
        <v>0</v>
      </c>
      <c r="I7" s="356"/>
      <c r="J7" s="355">
        <f>SUMIF(48:48,YEAR(I7)&amp;"-"&amp;MONTH(I7),49:49)</f>
        <v>0</v>
      </c>
      <c r="K7" s="38"/>
      <c r="L7" s="2484"/>
      <c r="M7" s="2436"/>
      <c r="N7" s="2436"/>
      <c r="O7" s="2436"/>
      <c r="P7" s="3382" t="s">
        <v>1680</v>
      </c>
      <c r="Q7" s="3414"/>
      <c r="R7" s="664" t="s">
        <v>14</v>
      </c>
      <c r="S7" s="665">
        <f t="shared" ref="S7:S14" si="0">F7</f>
        <v>0</v>
      </c>
      <c r="T7" s="664" t="s">
        <v>14</v>
      </c>
      <c r="U7" s="665">
        <f t="shared" ref="U7:U14" si="1">H7</f>
        <v>0</v>
      </c>
      <c r="V7" s="664" t="s">
        <v>14</v>
      </c>
      <c r="W7" s="665">
        <f t="shared" ref="W7:W14" si="2">J7</f>
        <v>0</v>
      </c>
      <c r="X7" s="666"/>
      <c r="Y7" s="3382" t="s">
        <v>1680</v>
      </c>
      <c r="Z7" s="338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382" t="s">
        <v>1683</v>
      </c>
      <c r="Q8" s="3383"/>
      <c r="R8" s="664" t="s">
        <v>14</v>
      </c>
      <c r="S8" s="665">
        <f t="shared" si="0"/>
        <v>100</v>
      </c>
      <c r="T8" s="664" t="s">
        <v>14</v>
      </c>
      <c r="U8" s="665">
        <f t="shared" si="1"/>
        <v>100</v>
      </c>
      <c r="V8" s="664" t="s">
        <v>14</v>
      </c>
      <c r="W8" s="665">
        <f t="shared" si="2"/>
        <v>100</v>
      </c>
      <c r="X8" s="666"/>
      <c r="Y8" s="3382" t="s">
        <v>1683</v>
      </c>
      <c r="Z8" s="338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424" t="s">
        <v>1686</v>
      </c>
      <c r="Q9" s="530" t="str">
        <f t="shared" ref="Q9:Q14" si="6">B9</f>
        <v>用途</v>
      </c>
      <c r="R9" s="664" t="s">
        <v>14</v>
      </c>
      <c r="S9" s="665">
        <f t="shared" si="0"/>
        <v>100</v>
      </c>
      <c r="T9" s="664" t="s">
        <v>14</v>
      </c>
      <c r="U9" s="665">
        <f t="shared" si="1"/>
        <v>100</v>
      </c>
      <c r="V9" s="664" t="s">
        <v>14</v>
      </c>
      <c r="W9" s="665">
        <f t="shared" si="2"/>
        <v>100</v>
      </c>
      <c r="X9" s="666"/>
      <c r="Y9" s="3347"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424"/>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24"/>
      <c r="Q11" s="530">
        <f t="shared" si="6"/>
        <v>111</v>
      </c>
      <c r="R11" s="664" t="s">
        <v>14</v>
      </c>
      <c r="S11" s="665">
        <f t="shared" si="0"/>
        <v>100</v>
      </c>
      <c r="T11" s="664" t="s">
        <v>14</v>
      </c>
      <c r="U11" s="665">
        <f t="shared" si="1"/>
        <v>100</v>
      </c>
      <c r="V11" s="664" t="s">
        <v>14</v>
      </c>
      <c r="W11" s="665">
        <f t="shared" si="2"/>
        <v>100</v>
      </c>
      <c r="X11" s="666"/>
      <c r="Y11" s="334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424"/>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24"/>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17" t="s">
        <v>1691</v>
      </c>
      <c r="Q14" s="1263" t="str">
        <f t="shared" si="6"/>
        <v>交通便捷度</v>
      </c>
      <c r="R14" s="667" t="s">
        <v>14</v>
      </c>
      <c r="S14" s="668">
        <f t="shared" si="0"/>
        <v>100</v>
      </c>
      <c r="T14" s="667" t="s">
        <v>14</v>
      </c>
      <c r="U14" s="668">
        <f t="shared" si="1"/>
        <v>100</v>
      </c>
      <c r="V14" s="667" t="s">
        <v>14</v>
      </c>
      <c r="W14" s="668">
        <f t="shared" si="2"/>
        <v>100</v>
      </c>
      <c r="X14" s="1265"/>
      <c r="Y14" s="341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8"/>
      <c r="M15" s="2483"/>
      <c r="N15" s="2483"/>
      <c r="O15" s="2483"/>
      <c r="P15" s="3418"/>
      <c r="Q15" s="1263"/>
      <c r="R15" s="667"/>
      <c r="S15" s="668"/>
      <c r="T15" s="667"/>
      <c r="U15" s="668"/>
      <c r="V15" s="667"/>
      <c r="W15" s="668"/>
      <c r="X15" s="1265"/>
      <c r="Y15" s="3418"/>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18"/>
      <c r="Q16" s="1263" t="str">
        <f>B16</f>
        <v>公共配套设施</v>
      </c>
      <c r="R16" s="667" t="s">
        <v>14</v>
      </c>
      <c r="S16" s="668">
        <f>F16</f>
        <v>100</v>
      </c>
      <c r="T16" s="667" t="s">
        <v>14</v>
      </c>
      <c r="U16" s="668">
        <f>H16</f>
        <v>100</v>
      </c>
      <c r="V16" s="667" t="s">
        <v>14</v>
      </c>
      <c r="W16" s="668">
        <f>J16</f>
        <v>100</v>
      </c>
      <c r="X16" s="1265"/>
      <c r="Y16" s="341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8"/>
      <c r="M17" s="2483"/>
      <c r="N17" s="2483"/>
      <c r="O17" s="2483"/>
      <c r="P17" s="3418"/>
      <c r="Q17" s="1263"/>
      <c r="R17" s="667"/>
      <c r="S17" s="668"/>
      <c r="T17" s="667"/>
      <c r="U17" s="668"/>
      <c r="V17" s="667"/>
      <c r="W17" s="668"/>
      <c r="X17" s="1265"/>
      <c r="Y17" s="341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18"/>
      <c r="Q18" s="1263" t="str">
        <f>B18</f>
        <v>基础设施水平</v>
      </c>
      <c r="R18" s="667" t="s">
        <v>14</v>
      </c>
      <c r="S18" s="668">
        <f>F18</f>
        <v>100</v>
      </c>
      <c r="T18" s="667" t="s">
        <v>14</v>
      </c>
      <c r="U18" s="668">
        <f>H18</f>
        <v>100</v>
      </c>
      <c r="V18" s="667" t="s">
        <v>14</v>
      </c>
      <c r="W18" s="668">
        <f>J18</f>
        <v>100</v>
      </c>
      <c r="X18" s="1265"/>
      <c r="Y18" s="341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8"/>
      <c r="M19" s="2483"/>
      <c r="N19" s="2483"/>
      <c r="O19" s="2483"/>
      <c r="P19" s="3418"/>
      <c r="Q19" s="1263"/>
      <c r="R19" s="667"/>
      <c r="S19" s="668"/>
      <c r="T19" s="667"/>
      <c r="U19" s="668"/>
      <c r="V19" s="667"/>
      <c r="W19" s="668"/>
      <c r="X19" s="1265"/>
      <c r="Y19" s="3418"/>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18"/>
      <c r="Q20" s="1263" t="str">
        <f>B20</f>
        <v>自然及人文环境</v>
      </c>
      <c r="R20" s="667" t="s">
        <v>14</v>
      </c>
      <c r="S20" s="668">
        <f>F20</f>
        <v>100</v>
      </c>
      <c r="T20" s="667" t="s">
        <v>14</v>
      </c>
      <c r="U20" s="668">
        <f>H20</f>
        <v>100</v>
      </c>
      <c r="V20" s="667" t="s">
        <v>14</v>
      </c>
      <c r="W20" s="668">
        <f>J20</f>
        <v>100</v>
      </c>
      <c r="X20" s="1265"/>
      <c r="Y20" s="341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8"/>
      <c r="M21" s="2483"/>
      <c r="N21" s="2483"/>
      <c r="O21" s="2483"/>
      <c r="P21" s="3418"/>
      <c r="Q21" s="1263"/>
      <c r="R21" s="667"/>
      <c r="S21" s="668"/>
      <c r="T21" s="667"/>
      <c r="U21" s="668"/>
      <c r="V21" s="667"/>
      <c r="W21" s="668"/>
      <c r="X21" s="1265"/>
      <c r="Y21" s="341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18"/>
      <c r="Q22" s="1263" t="str">
        <f>B22</f>
        <v>楼层</v>
      </c>
      <c r="R22" s="667" t="s">
        <v>14</v>
      </c>
      <c r="S22" s="668">
        <f>F22</f>
        <v>100</v>
      </c>
      <c r="T22" s="667" t="s">
        <v>14</v>
      </c>
      <c r="U22" s="668">
        <f>H22</f>
        <v>100</v>
      </c>
      <c r="V22" s="667" t="s">
        <v>14</v>
      </c>
      <c r="W22" s="668">
        <f>J22</f>
        <v>100</v>
      </c>
      <c r="X22" s="1265"/>
      <c r="Y22" s="341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18"/>
      <c r="Q23" s="1263">
        <f>B23</f>
        <v>111</v>
      </c>
      <c r="R23" s="667" t="s">
        <v>14</v>
      </c>
      <c r="S23" s="668">
        <f>F23</f>
        <v>100</v>
      </c>
      <c r="T23" s="667" t="s">
        <v>14</v>
      </c>
      <c r="U23" s="668">
        <f>H23</f>
        <v>100</v>
      </c>
      <c r="V23" s="667" t="s">
        <v>14</v>
      </c>
      <c r="W23" s="668">
        <f>J23</f>
        <v>100</v>
      </c>
      <c r="X23" s="1265"/>
      <c r="Y23" s="341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18"/>
      <c r="Q24" s="1263">
        <f t="shared" ref="Q24:Q36" si="11">B24</f>
        <v>111</v>
      </c>
      <c r="R24" s="667" t="s">
        <v>14</v>
      </c>
      <c r="S24" s="668">
        <f>F24</f>
        <v>100</v>
      </c>
      <c r="T24" s="667" t="s">
        <v>14</v>
      </c>
      <c r="U24" s="668">
        <f>H24</f>
        <v>100</v>
      </c>
      <c r="V24" s="667" t="s">
        <v>14</v>
      </c>
      <c r="W24" s="668">
        <f>J24</f>
        <v>100</v>
      </c>
      <c r="X24" s="1265"/>
      <c r="Y24" s="341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418"/>
      <c r="Q25" s="530">
        <f t="shared" si="11"/>
        <v>111</v>
      </c>
      <c r="R25" s="664" t="s">
        <v>14</v>
      </c>
      <c r="S25" s="665">
        <f>F25</f>
        <v>100</v>
      </c>
      <c r="T25" s="664" t="s">
        <v>14</v>
      </c>
      <c r="U25" s="665">
        <f>H25</f>
        <v>100</v>
      </c>
      <c r="V25" s="664" t="s">
        <v>14</v>
      </c>
      <c r="W25" s="665">
        <f>J25</f>
        <v>100</v>
      </c>
      <c r="X25" s="666"/>
      <c r="Y25" s="341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6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22"/>
      <c r="Q27" s="531" t="str">
        <f t="shared" si="11"/>
        <v>项目停车位配比</v>
      </c>
      <c r="R27" s="669" t="s">
        <v>14</v>
      </c>
      <c r="S27" s="670">
        <f t="shared" si="12"/>
        <v>100</v>
      </c>
      <c r="T27" s="669" t="s">
        <v>14</v>
      </c>
      <c r="U27" s="670">
        <f t="shared" si="13"/>
        <v>100</v>
      </c>
      <c r="V27" s="669" t="s">
        <v>14</v>
      </c>
      <c r="W27" s="670">
        <f t="shared" si="14"/>
        <v>100</v>
      </c>
      <c r="X27" s="671"/>
      <c r="Y27" s="342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22"/>
      <c r="Q28" s="1263" t="str">
        <f t="shared" si="11"/>
        <v>公共部分装修</v>
      </c>
      <c r="R28" s="667" t="s">
        <v>14</v>
      </c>
      <c r="S28" s="668">
        <f t="shared" si="12"/>
        <v>100</v>
      </c>
      <c r="T28" s="667" t="s">
        <v>14</v>
      </c>
      <c r="U28" s="668">
        <f t="shared" si="13"/>
        <v>100</v>
      </c>
      <c r="V28" s="667" t="s">
        <v>14</v>
      </c>
      <c r="W28" s="668">
        <f t="shared" si="14"/>
        <v>100</v>
      </c>
      <c r="X28" s="1265"/>
      <c r="Y28" s="342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22"/>
      <c r="Q29" s="1263" t="str">
        <f t="shared" si="11"/>
        <v>成新率</v>
      </c>
      <c r="R29" s="667" t="s">
        <v>14</v>
      </c>
      <c r="S29" s="668" t="e">
        <f t="shared" si="12"/>
        <v>#N/A</v>
      </c>
      <c r="T29" s="667" t="s">
        <v>14</v>
      </c>
      <c r="U29" s="668" t="e">
        <f t="shared" si="13"/>
        <v>#N/A</v>
      </c>
      <c r="V29" s="667" t="s">
        <v>14</v>
      </c>
      <c r="W29" s="668" t="e">
        <f t="shared" si="14"/>
        <v>#N/A</v>
      </c>
      <c r="X29" s="1265"/>
      <c r="Y29" s="342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22"/>
      <c r="Q30" s="1263" t="str">
        <f t="shared" si="11"/>
        <v>物业等级</v>
      </c>
      <c r="R30" s="667" t="s">
        <v>14</v>
      </c>
      <c r="S30" s="668">
        <f t="shared" si="12"/>
        <v>100</v>
      </c>
      <c r="T30" s="667" t="s">
        <v>14</v>
      </c>
      <c r="U30" s="668">
        <f t="shared" si="13"/>
        <v>100</v>
      </c>
      <c r="V30" s="667" t="s">
        <v>14</v>
      </c>
      <c r="W30" s="668">
        <f t="shared" si="14"/>
        <v>100</v>
      </c>
      <c r="X30" s="1265"/>
      <c r="Y30" s="342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422"/>
      <c r="Q31" s="530" t="str">
        <f t="shared" si="11"/>
        <v>停车位面积</v>
      </c>
      <c r="R31" s="664" t="s">
        <v>14</v>
      </c>
      <c r="S31" s="665" t="e">
        <f t="shared" si="12"/>
        <v>#N/A</v>
      </c>
      <c r="T31" s="664" t="s">
        <v>14</v>
      </c>
      <c r="U31" s="665" t="e">
        <f t="shared" si="13"/>
        <v>#N/A</v>
      </c>
      <c r="V31" s="664" t="s">
        <v>14</v>
      </c>
      <c r="W31" s="665" t="e">
        <f t="shared" si="14"/>
        <v>#N/A</v>
      </c>
      <c r="X31" s="666"/>
      <c r="Y31" s="342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22" t="s">
        <v>1696</v>
      </c>
      <c r="Q32" s="1263" t="str">
        <f t="shared" si="11"/>
        <v>车位类型</v>
      </c>
      <c r="R32" s="667" t="s">
        <v>14</v>
      </c>
      <c r="S32" s="668">
        <f t="shared" si="12"/>
        <v>100</v>
      </c>
      <c r="T32" s="667" t="s">
        <v>14</v>
      </c>
      <c r="U32" s="668">
        <f t="shared" si="13"/>
        <v>100</v>
      </c>
      <c r="V32" s="667" t="s">
        <v>14</v>
      </c>
      <c r="W32" s="668">
        <f t="shared" si="14"/>
        <v>100</v>
      </c>
      <c r="X32" s="1265"/>
      <c r="Y32" s="342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22"/>
      <c r="Q33" s="1263" t="str">
        <f t="shared" si="11"/>
        <v>是否直接入户</v>
      </c>
      <c r="R33" s="667" t="s">
        <v>14</v>
      </c>
      <c r="S33" s="668">
        <f t="shared" si="12"/>
        <v>100</v>
      </c>
      <c r="T33" s="667" t="s">
        <v>14</v>
      </c>
      <c r="U33" s="668">
        <f t="shared" si="13"/>
        <v>100</v>
      </c>
      <c r="V33" s="667" t="s">
        <v>14</v>
      </c>
      <c r="W33" s="668">
        <f t="shared" si="14"/>
        <v>100</v>
      </c>
      <c r="X33" s="1265"/>
      <c r="Y33" s="342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22"/>
      <c r="Q34" s="1263">
        <f t="shared" si="11"/>
        <v>111</v>
      </c>
      <c r="R34" s="667" t="s">
        <v>14</v>
      </c>
      <c r="S34" s="668">
        <f t="shared" si="12"/>
        <v>100</v>
      </c>
      <c r="T34" s="667" t="s">
        <v>14</v>
      </c>
      <c r="U34" s="668">
        <f t="shared" si="13"/>
        <v>100</v>
      </c>
      <c r="V34" s="667" t="s">
        <v>14</v>
      </c>
      <c r="W34" s="668">
        <f t="shared" si="14"/>
        <v>100</v>
      </c>
      <c r="X34" s="1265"/>
      <c r="Y34" s="342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22"/>
      <c r="Q35" s="531">
        <f t="shared" si="11"/>
        <v>111</v>
      </c>
      <c r="R35" s="669" t="s">
        <v>14</v>
      </c>
      <c r="S35" s="670">
        <f t="shared" si="12"/>
        <v>100</v>
      </c>
      <c r="T35" s="669" t="s">
        <v>14</v>
      </c>
      <c r="U35" s="670">
        <f t="shared" si="13"/>
        <v>100</v>
      </c>
      <c r="V35" s="669" t="s">
        <v>14</v>
      </c>
      <c r="W35" s="670">
        <f t="shared" si="14"/>
        <v>100</v>
      </c>
      <c r="X35" s="671"/>
      <c r="Y35" s="342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22"/>
      <c r="Q36" s="1263">
        <f t="shared" si="11"/>
        <v>111</v>
      </c>
      <c r="R36" s="667" t="s">
        <v>14</v>
      </c>
      <c r="S36" s="668">
        <f t="shared" si="12"/>
        <v>100</v>
      </c>
      <c r="T36" s="667" t="s">
        <v>14</v>
      </c>
      <c r="U36" s="668">
        <f t="shared" si="13"/>
        <v>100</v>
      </c>
      <c r="V36" s="667" t="s">
        <v>14</v>
      </c>
      <c r="W36" s="668">
        <f t="shared" si="14"/>
        <v>100</v>
      </c>
      <c r="X36" s="1265"/>
      <c r="Y36" s="3422"/>
      <c r="Z36" s="1264">
        <f t="shared" si="15"/>
        <v>111</v>
      </c>
      <c r="AA36" s="1264">
        <f t="shared" si="3"/>
        <v>1</v>
      </c>
      <c r="AB36" s="1264">
        <f t="shared" si="4"/>
        <v>1</v>
      </c>
      <c r="AC36" s="1264">
        <f t="shared" si="5"/>
        <v>1</v>
      </c>
    </row>
    <row r="37" spans="1:29" ht="14.4">
      <c r="A37" s="416" t="s">
        <v>1844</v>
      </c>
      <c r="B37" s="1821" t="s">
        <v>3351</v>
      </c>
      <c r="C37" s="1081" t="s">
        <v>0</v>
      </c>
      <c r="D37" s="418"/>
      <c r="E37" s="419"/>
      <c r="F37" s="420"/>
      <c r="G37" s="421"/>
      <c r="H37" s="422"/>
      <c r="I37" s="419"/>
      <c r="J37" s="422"/>
      <c r="K37" s="545"/>
      <c r="L37" s="2490"/>
      <c r="M37" s="2483"/>
      <c r="N37" s="2483"/>
      <c r="O37" s="2483"/>
      <c r="P37" s="3424" t="str">
        <f>A37</f>
        <v>成交单价</v>
      </c>
      <c r="Q37" s="3424"/>
      <c r="R37" s="3412">
        <f>E37</f>
        <v>0</v>
      </c>
      <c r="S37" s="3412"/>
      <c r="T37" s="3412">
        <f>G37</f>
        <v>0</v>
      </c>
      <c r="U37" s="3412"/>
      <c r="V37" s="3412">
        <f>I37</f>
        <v>0</v>
      </c>
      <c r="W37" s="3412"/>
      <c r="X37" s="385"/>
      <c r="Y37" s="673"/>
      <c r="Z37" s="385"/>
      <c r="AA37" s="385"/>
      <c r="AB37" s="385"/>
      <c r="AC37" s="385"/>
    </row>
    <row r="38" spans="1:29" ht="15" thickBot="1">
      <c r="A38" s="423" t="s">
        <v>1845</v>
      </c>
      <c r="B38" s="424" t="str">
        <f>B37</f>
        <v>元/平方米</v>
      </c>
      <c r="C38" s="1082" t="e">
        <f>R39</f>
        <v>#DIV/0!</v>
      </c>
      <c r="D38" s="2141" t="s">
        <v>2136</v>
      </c>
      <c r="E38" s="1083" t="e">
        <f>R38</f>
        <v>#DIV/0!</v>
      </c>
      <c r="F38" s="2142"/>
      <c r="G38" s="1082" t="e">
        <f>T38</f>
        <v>#DIV/0!</v>
      </c>
      <c r="H38" s="2142"/>
      <c r="I38" s="1083" t="e">
        <f>V38</f>
        <v>#DIV/0!</v>
      </c>
      <c r="J38" s="2142"/>
      <c r="K38" s="2144">
        <f>F38+H38+J38</f>
        <v>0</v>
      </c>
      <c r="L38" s="2490"/>
      <c r="M38" s="2483"/>
      <c r="N38" s="2483"/>
      <c r="O38" s="2483"/>
      <c r="P38" s="3424" t="str">
        <f>A38</f>
        <v>比较价值（元/平方米）</v>
      </c>
      <c r="Q38" s="3424"/>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0"/>
      <c r="M39" s="2483"/>
      <c r="N39" s="2483"/>
      <c r="O39" s="2483"/>
      <c r="P39" s="3458" t="str">
        <f>A39</f>
        <v>估价对象XX用房的比较价值（楼面单价，元/平方米）</v>
      </c>
      <c r="Q39" s="3459"/>
      <c r="R39" s="3468" t="e">
        <f>IF(F1="售价",ROUND(IF(D38="简单平均",AVERAGE(R38:W38),R38*F38+T38*H38+V38*J38),0),ROUND(IF(D38="简单平均",AVERAGE(R38:V38),R38*F38+T38*H38+V38*J38),1))</f>
        <v>#DIV/0!</v>
      </c>
      <c r="S39" s="3468"/>
      <c r="T39" s="3468"/>
      <c r="U39" s="3468"/>
      <c r="V39" s="3468"/>
      <c r="W39" s="3468"/>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7" t="s">
        <v>1850</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3"/>
      <c r="Q48" s="2506"/>
      <c r="R48" s="2506"/>
      <c r="S48" s="2506"/>
      <c r="T48" s="2506"/>
      <c r="U48" s="2506"/>
      <c r="V48" s="2506"/>
      <c r="W48" s="2506"/>
      <c r="X48" s="2506"/>
      <c r="Y48" s="2506"/>
      <c r="Z48" s="2506"/>
      <c r="AA48" s="2506"/>
      <c r="AB48" s="2506"/>
      <c r="AC48" s="2506"/>
    </row>
    <row r="49" spans="1:29" s="102" customFormat="1">
      <c r="A49" s="443"/>
      <c r="B49" s="444"/>
      <c r="C49" s="1097">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4.4">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ht="14.4">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1813</v>
      </c>
      <c r="C67" s="581" t="s">
        <v>1799</v>
      </c>
      <c r="D67" s="581" t="s">
        <v>1800</v>
      </c>
      <c r="E67" s="581" t="s">
        <v>1801</v>
      </c>
      <c r="F67" s="581" t="s">
        <v>1802</v>
      </c>
      <c r="G67" s="581" t="s">
        <v>1803</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2"/>
      <c r="M4" s="2483"/>
      <c r="N4" s="2483"/>
      <c r="O4" s="2483"/>
      <c r="P4" s="3454" t="s">
        <v>1775</v>
      </c>
      <c r="Q4" s="3455"/>
      <c r="R4" s="3450" t="s">
        <v>1771</v>
      </c>
      <c r="S4" s="3451"/>
      <c r="T4" s="3450" t="s">
        <v>1772</v>
      </c>
      <c r="U4" s="3451"/>
      <c r="V4" s="3412" t="s">
        <v>1773</v>
      </c>
      <c r="W4" s="3412"/>
      <c r="X4" s="1265"/>
      <c r="Y4" s="3450" t="s">
        <v>1775</v>
      </c>
      <c r="Z4" s="3451"/>
      <c r="AA4" s="3449" t="s">
        <v>1771</v>
      </c>
      <c r="AB4" s="3380" t="s">
        <v>1772</v>
      </c>
      <c r="AC4" s="3449" t="s">
        <v>1773</v>
      </c>
    </row>
    <row r="5" spans="1:29">
      <c r="A5" s="348"/>
      <c r="B5" s="349"/>
      <c r="C5" s="3392" t="s">
        <v>1673</v>
      </c>
      <c r="D5" s="3389"/>
      <c r="E5" s="3452" t="s">
        <v>1674</v>
      </c>
      <c r="F5" s="3453"/>
      <c r="G5" s="3392" t="s">
        <v>1675</v>
      </c>
      <c r="H5" s="3389"/>
      <c r="I5" s="3392" t="s">
        <v>1676</v>
      </c>
      <c r="J5" s="3389"/>
      <c r="K5" s="537"/>
      <c r="L5" s="2482"/>
      <c r="M5" s="2483"/>
      <c r="N5" s="2483"/>
      <c r="O5" s="2483"/>
      <c r="P5" s="3456"/>
      <c r="Q5" s="3406"/>
      <c r="R5" s="3386"/>
      <c r="S5" s="3387"/>
      <c r="T5" s="3386"/>
      <c r="U5" s="3387"/>
      <c r="V5" s="3412"/>
      <c r="W5" s="3412"/>
      <c r="X5" s="1265"/>
      <c r="Y5" s="3386"/>
      <c r="Z5" s="3387"/>
      <c r="AA5" s="3380"/>
      <c r="AB5" s="3380"/>
      <c r="AC5" s="3380"/>
    </row>
    <row r="6" spans="1:29" ht="15" thickBot="1">
      <c r="A6" s="350"/>
      <c r="B6" s="351"/>
      <c r="C6" s="3390" t="s">
        <v>1677</v>
      </c>
      <c r="D6" s="3391"/>
      <c r="E6" s="3393" t="s">
        <v>1677</v>
      </c>
      <c r="F6" s="3394"/>
      <c r="G6" s="3390" t="s">
        <v>1677</v>
      </c>
      <c r="H6" s="3391"/>
      <c r="I6" s="3390" t="s">
        <v>1677</v>
      </c>
      <c r="J6" s="3391"/>
      <c r="K6" s="537" t="s">
        <v>1678</v>
      </c>
      <c r="L6" s="2482"/>
      <c r="M6" s="2483"/>
      <c r="N6" s="2483"/>
      <c r="O6" s="2483"/>
      <c r="P6" s="3457"/>
      <c r="Q6" s="3408"/>
      <c r="R6" s="3386"/>
      <c r="S6" s="3387"/>
      <c r="T6" s="3409"/>
      <c r="U6" s="3410"/>
      <c r="V6" s="3412"/>
      <c r="W6" s="3412"/>
      <c r="X6" s="1265"/>
      <c r="Y6" s="3409"/>
      <c r="Z6" s="3410"/>
      <c r="AA6" s="3381"/>
      <c r="AB6" s="3381"/>
      <c r="AC6" s="3381"/>
    </row>
    <row r="7" spans="1:29" s="102" customFormat="1" ht="15" thickBot="1">
      <c r="A7" s="352" t="s">
        <v>1679</v>
      </c>
      <c r="B7" s="353"/>
      <c r="C7" s="354">
        <f>'数据-取费表'!B2</f>
        <v>45828</v>
      </c>
      <c r="D7" s="355">
        <v>100</v>
      </c>
      <c r="E7" s="356"/>
      <c r="F7" s="357">
        <f>SUMIF(46:46,YEAR(E7)&amp;"-"&amp;MONTH(E7),47:47)</f>
        <v>0</v>
      </c>
      <c r="G7" s="1822"/>
      <c r="H7" s="355">
        <f>SUMIF(46:46,YEAR(G7)&amp;"-"&amp;MONTH(G7),47:47)</f>
        <v>0</v>
      </c>
      <c r="I7" s="356"/>
      <c r="J7" s="355">
        <f>SUMIF(46:46,YEAR(I7)&amp;"-"&amp;MONTH(I7),47:47)</f>
        <v>0</v>
      </c>
      <c r="K7" s="38"/>
      <c r="L7" s="2484"/>
      <c r="M7" s="2436"/>
      <c r="N7" s="2436"/>
      <c r="O7" s="2436"/>
      <c r="P7" s="3382" t="s">
        <v>1680</v>
      </c>
      <c r="Q7" s="3414"/>
      <c r="R7" s="664" t="s">
        <v>14</v>
      </c>
      <c r="S7" s="665">
        <f t="shared" ref="S7:S14" si="0">F7</f>
        <v>0</v>
      </c>
      <c r="T7" s="664" t="s">
        <v>14</v>
      </c>
      <c r="U7" s="665">
        <f t="shared" ref="U7:U14" si="1">H7</f>
        <v>0</v>
      </c>
      <c r="V7" s="664" t="s">
        <v>14</v>
      </c>
      <c r="W7" s="665">
        <f t="shared" ref="W7:W14" si="2">J7</f>
        <v>0</v>
      </c>
      <c r="X7" s="666"/>
      <c r="Y7" s="3382" t="s">
        <v>1680</v>
      </c>
      <c r="Z7" s="338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382" t="s">
        <v>1683</v>
      </c>
      <c r="Q8" s="3383"/>
      <c r="R8" s="664" t="s">
        <v>14</v>
      </c>
      <c r="S8" s="665">
        <f t="shared" si="0"/>
        <v>100</v>
      </c>
      <c r="T8" s="664" t="s">
        <v>14</v>
      </c>
      <c r="U8" s="665">
        <f t="shared" si="1"/>
        <v>100</v>
      </c>
      <c r="V8" s="664" t="s">
        <v>14</v>
      </c>
      <c r="W8" s="665">
        <f t="shared" si="2"/>
        <v>100</v>
      </c>
      <c r="X8" s="666"/>
      <c r="Y8" s="3382" t="s">
        <v>1683</v>
      </c>
      <c r="Z8" s="338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424" t="s">
        <v>1686</v>
      </c>
      <c r="Q9" s="530" t="str">
        <f t="shared" ref="Q9:Q14" si="6">B9</f>
        <v>用途</v>
      </c>
      <c r="R9" s="664" t="s">
        <v>14</v>
      </c>
      <c r="S9" s="665">
        <f t="shared" si="0"/>
        <v>100</v>
      </c>
      <c r="T9" s="664" t="s">
        <v>14</v>
      </c>
      <c r="U9" s="665">
        <f t="shared" si="1"/>
        <v>100</v>
      </c>
      <c r="V9" s="664" t="s">
        <v>14</v>
      </c>
      <c r="W9" s="665">
        <f t="shared" si="2"/>
        <v>100</v>
      </c>
      <c r="X9" s="666"/>
      <c r="Y9" s="3347"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424"/>
      <c r="Q10" s="530" t="str">
        <f t="shared" si="6"/>
        <v>土地使用年限（年）</v>
      </c>
      <c r="R10" s="664" t="s">
        <v>14</v>
      </c>
      <c r="S10" s="665">
        <f t="shared" si="0"/>
        <v>100</v>
      </c>
      <c r="T10" s="664" t="s">
        <v>14</v>
      </c>
      <c r="U10" s="665">
        <f t="shared" si="1"/>
        <v>100</v>
      </c>
      <c r="V10" s="664" t="s">
        <v>14</v>
      </c>
      <c r="W10" s="665">
        <f t="shared" si="2"/>
        <v>100</v>
      </c>
      <c r="X10" s="666"/>
      <c r="Y10" s="334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424"/>
      <c r="Q11" s="530">
        <f t="shared" si="6"/>
        <v>111</v>
      </c>
      <c r="R11" s="664" t="s">
        <v>14</v>
      </c>
      <c r="S11" s="665">
        <f t="shared" si="0"/>
        <v>100</v>
      </c>
      <c r="T11" s="664" t="s">
        <v>14</v>
      </c>
      <c r="U11" s="665">
        <f t="shared" si="1"/>
        <v>100</v>
      </c>
      <c r="V11" s="664" t="s">
        <v>14</v>
      </c>
      <c r="W11" s="665">
        <f t="shared" si="2"/>
        <v>100</v>
      </c>
      <c r="X11" s="666"/>
      <c r="Y11" s="334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424"/>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8"/>
      <c r="M13" s="2483"/>
      <c r="N13" s="2483"/>
      <c r="O13" s="2538"/>
      <c r="P13" s="3424"/>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17" t="s">
        <v>1691</v>
      </c>
      <c r="Q14" s="1263" t="str">
        <f t="shared" si="6"/>
        <v>交通便捷度</v>
      </c>
      <c r="R14" s="667" t="s">
        <v>14</v>
      </c>
      <c r="S14" s="668">
        <f t="shared" si="0"/>
        <v>100</v>
      </c>
      <c r="T14" s="667" t="s">
        <v>14</v>
      </c>
      <c r="U14" s="668">
        <f t="shared" si="1"/>
        <v>100</v>
      </c>
      <c r="V14" s="667" t="s">
        <v>14</v>
      </c>
      <c r="W14" s="668">
        <f t="shared" si="2"/>
        <v>100</v>
      </c>
      <c r="X14" s="1265"/>
      <c r="Y14" s="341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8"/>
      <c r="M15" s="2483"/>
      <c r="N15" s="2483"/>
      <c r="O15" s="2538"/>
      <c r="P15" s="3418"/>
      <c r="Q15" s="1263"/>
      <c r="R15" s="667"/>
      <c r="S15" s="668"/>
      <c r="T15" s="667"/>
      <c r="U15" s="668"/>
      <c r="V15" s="667"/>
      <c r="W15" s="668"/>
      <c r="X15" s="1265"/>
      <c r="Y15" s="3418"/>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18"/>
      <c r="Q16" s="1263" t="str">
        <f>B16</f>
        <v>公共配套设施</v>
      </c>
      <c r="R16" s="667" t="s">
        <v>14</v>
      </c>
      <c r="S16" s="668">
        <f>F16</f>
        <v>100</v>
      </c>
      <c r="T16" s="667" t="s">
        <v>14</v>
      </c>
      <c r="U16" s="668">
        <f>H16</f>
        <v>100</v>
      </c>
      <c r="V16" s="667" t="s">
        <v>14</v>
      </c>
      <c r="W16" s="668">
        <f>J16</f>
        <v>100</v>
      </c>
      <c r="X16" s="1265"/>
      <c r="Y16" s="341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8"/>
      <c r="M17" s="2483"/>
      <c r="N17" s="2483"/>
      <c r="O17" s="2538"/>
      <c r="P17" s="3418"/>
      <c r="Q17" s="1263"/>
      <c r="R17" s="667"/>
      <c r="S17" s="668"/>
      <c r="T17" s="667"/>
      <c r="U17" s="668"/>
      <c r="V17" s="667"/>
      <c r="W17" s="668"/>
      <c r="X17" s="1265"/>
      <c r="Y17" s="341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18"/>
      <c r="Q18" s="1263" t="str">
        <f>B18</f>
        <v>基础设施水平</v>
      </c>
      <c r="R18" s="667" t="s">
        <v>14</v>
      </c>
      <c r="S18" s="668">
        <f>F18</f>
        <v>100</v>
      </c>
      <c r="T18" s="667" t="s">
        <v>14</v>
      </c>
      <c r="U18" s="668">
        <f>H18</f>
        <v>100</v>
      </c>
      <c r="V18" s="667" t="s">
        <v>14</v>
      </c>
      <c r="W18" s="668">
        <f>J18</f>
        <v>100</v>
      </c>
      <c r="X18" s="1265"/>
      <c r="Y18" s="341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8"/>
      <c r="M19" s="2483"/>
      <c r="N19" s="2483"/>
      <c r="O19" s="2538"/>
      <c r="P19" s="3418"/>
      <c r="Q19" s="1263"/>
      <c r="R19" s="667"/>
      <c r="S19" s="668"/>
      <c r="T19" s="667"/>
      <c r="U19" s="668"/>
      <c r="V19" s="667"/>
      <c r="W19" s="668"/>
      <c r="X19" s="1265"/>
      <c r="Y19" s="3418"/>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18"/>
      <c r="Q20" s="1263" t="str">
        <f>B20</f>
        <v>自然及人文环境</v>
      </c>
      <c r="R20" s="667" t="s">
        <v>14</v>
      </c>
      <c r="S20" s="668">
        <f>F20</f>
        <v>100</v>
      </c>
      <c r="T20" s="667" t="s">
        <v>14</v>
      </c>
      <c r="U20" s="668">
        <f>H20</f>
        <v>100</v>
      </c>
      <c r="V20" s="667" t="s">
        <v>14</v>
      </c>
      <c r="W20" s="668">
        <f>J20</f>
        <v>100</v>
      </c>
      <c r="X20" s="1265"/>
      <c r="Y20" s="341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8"/>
      <c r="M21" s="2483"/>
      <c r="N21" s="2483"/>
      <c r="O21" s="2538"/>
      <c r="P21" s="3418"/>
      <c r="Q21" s="1263"/>
      <c r="R21" s="667"/>
      <c r="S21" s="668"/>
      <c r="T21" s="667"/>
      <c r="U21" s="668"/>
      <c r="V21" s="667"/>
      <c r="W21" s="668"/>
      <c r="X21" s="1265"/>
      <c r="Y21" s="341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18"/>
      <c r="Q22" s="1263" t="str">
        <f>B22</f>
        <v>楼层</v>
      </c>
      <c r="R22" s="667" t="s">
        <v>14</v>
      </c>
      <c r="S22" s="668">
        <f>F22</f>
        <v>100</v>
      </c>
      <c r="T22" s="667" t="s">
        <v>14</v>
      </c>
      <c r="U22" s="668">
        <f>H22</f>
        <v>100</v>
      </c>
      <c r="V22" s="667" t="s">
        <v>14</v>
      </c>
      <c r="W22" s="668">
        <f>J22</f>
        <v>100</v>
      </c>
      <c r="X22" s="1265"/>
      <c r="Y22" s="341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18"/>
      <c r="Q23" s="1263">
        <f>B23</f>
        <v>111</v>
      </c>
      <c r="R23" s="667" t="s">
        <v>14</v>
      </c>
      <c r="S23" s="668">
        <f>F23</f>
        <v>100</v>
      </c>
      <c r="T23" s="667" t="s">
        <v>14</v>
      </c>
      <c r="U23" s="668">
        <f>H23</f>
        <v>100</v>
      </c>
      <c r="V23" s="667" t="s">
        <v>14</v>
      </c>
      <c r="W23" s="668">
        <f>J23</f>
        <v>100</v>
      </c>
      <c r="X23" s="1265"/>
      <c r="Y23" s="341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18"/>
      <c r="Q24" s="1263">
        <f t="shared" ref="Q24:Q34" si="11">B24</f>
        <v>111</v>
      </c>
      <c r="R24" s="667" t="s">
        <v>14</v>
      </c>
      <c r="S24" s="668">
        <f>F24</f>
        <v>100</v>
      </c>
      <c r="T24" s="667" t="s">
        <v>14</v>
      </c>
      <c r="U24" s="668">
        <f>H24</f>
        <v>100</v>
      </c>
      <c r="V24" s="667" t="s">
        <v>14</v>
      </c>
      <c r="W24" s="668">
        <f>J24</f>
        <v>100</v>
      </c>
      <c r="X24" s="1265"/>
      <c r="Y24" s="341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4"/>
      <c r="M25" s="2436"/>
      <c r="N25" s="2436"/>
      <c r="O25" s="2536"/>
      <c r="P25" s="3418"/>
      <c r="Q25" s="530">
        <f t="shared" si="11"/>
        <v>111</v>
      </c>
      <c r="R25" s="664" t="s">
        <v>14</v>
      </c>
      <c r="S25" s="665">
        <f>F25</f>
        <v>100</v>
      </c>
      <c r="T25" s="664" t="s">
        <v>14</v>
      </c>
      <c r="U25" s="665">
        <f>H25</f>
        <v>100</v>
      </c>
      <c r="V25" s="664" t="s">
        <v>14</v>
      </c>
      <c r="W25" s="665">
        <f>J25</f>
        <v>100</v>
      </c>
      <c r="X25" s="666"/>
      <c r="Y25" s="341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8"/>
      <c r="M26" s="2483"/>
      <c r="N26" s="2483"/>
      <c r="O26" s="2538"/>
      <c r="P26" s="346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22"/>
      <c r="Q27" s="531" t="str">
        <f t="shared" si="11"/>
        <v>成新率</v>
      </c>
      <c r="R27" s="669" t="s">
        <v>14</v>
      </c>
      <c r="S27" s="670" t="e">
        <f t="shared" si="12"/>
        <v>#N/A</v>
      </c>
      <c r="T27" s="669" t="s">
        <v>14</v>
      </c>
      <c r="U27" s="670" t="e">
        <f t="shared" si="13"/>
        <v>#N/A</v>
      </c>
      <c r="V27" s="669" t="s">
        <v>14</v>
      </c>
      <c r="W27" s="670" t="e">
        <f t="shared" si="14"/>
        <v>#N/A</v>
      </c>
      <c r="X27" s="671"/>
      <c r="Y27" s="342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22"/>
      <c r="Q28" s="1263" t="str">
        <f t="shared" si="11"/>
        <v>物业等级</v>
      </c>
      <c r="R28" s="667" t="s">
        <v>14</v>
      </c>
      <c r="S28" s="668">
        <f t="shared" si="12"/>
        <v>100</v>
      </c>
      <c r="T28" s="667" t="s">
        <v>14</v>
      </c>
      <c r="U28" s="668">
        <f t="shared" si="13"/>
        <v>100</v>
      </c>
      <c r="V28" s="667" t="s">
        <v>14</v>
      </c>
      <c r="W28" s="668">
        <f t="shared" si="14"/>
        <v>100</v>
      </c>
      <c r="X28" s="1265"/>
      <c r="Y28" s="342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22"/>
      <c r="Q29" s="1263" t="str">
        <f t="shared" si="11"/>
        <v>有无电梯</v>
      </c>
      <c r="R29" s="667" t="s">
        <v>14</v>
      </c>
      <c r="S29" s="668">
        <f t="shared" si="12"/>
        <v>100</v>
      </c>
      <c r="T29" s="667" t="s">
        <v>14</v>
      </c>
      <c r="U29" s="668">
        <f t="shared" si="13"/>
        <v>100</v>
      </c>
      <c r="V29" s="667" t="s">
        <v>14</v>
      </c>
      <c r="W29" s="668">
        <f t="shared" si="14"/>
        <v>100</v>
      </c>
      <c r="X29" s="1265"/>
      <c r="Y29" s="342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22"/>
      <c r="Q30" s="1263" t="str">
        <f t="shared" si="11"/>
        <v>建筑面积</v>
      </c>
      <c r="R30" s="667" t="s">
        <v>14</v>
      </c>
      <c r="S30" s="668" t="e">
        <f t="shared" si="12"/>
        <v>#N/A</v>
      </c>
      <c r="T30" s="667" t="s">
        <v>14</v>
      </c>
      <c r="U30" s="668" t="e">
        <f t="shared" si="13"/>
        <v>#N/A</v>
      </c>
      <c r="V30" s="667" t="s">
        <v>14</v>
      </c>
      <c r="W30" s="668" t="e">
        <f t="shared" si="14"/>
        <v>#N/A</v>
      </c>
      <c r="X30" s="1265"/>
      <c r="Y30" s="342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422"/>
      <c r="Q31" s="530" t="str">
        <f t="shared" si="11"/>
        <v>是否封闭</v>
      </c>
      <c r="R31" s="664" t="s">
        <v>14</v>
      </c>
      <c r="S31" s="665">
        <f t="shared" si="12"/>
        <v>100</v>
      </c>
      <c r="T31" s="664" t="s">
        <v>14</v>
      </c>
      <c r="U31" s="665">
        <f t="shared" si="13"/>
        <v>100</v>
      </c>
      <c r="V31" s="664" t="s">
        <v>14</v>
      </c>
      <c r="W31" s="665">
        <f t="shared" si="14"/>
        <v>100</v>
      </c>
      <c r="X31" s="666"/>
      <c r="Y31" s="342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22" t="s">
        <v>1696</v>
      </c>
      <c r="Q32" s="1263">
        <f t="shared" si="11"/>
        <v>111</v>
      </c>
      <c r="R32" s="667" t="s">
        <v>14</v>
      </c>
      <c r="S32" s="668">
        <f t="shared" si="12"/>
        <v>100</v>
      </c>
      <c r="T32" s="667" t="s">
        <v>14</v>
      </c>
      <c r="U32" s="668">
        <f t="shared" si="13"/>
        <v>100</v>
      </c>
      <c r="V32" s="667" t="s">
        <v>14</v>
      </c>
      <c r="W32" s="668">
        <f t="shared" si="14"/>
        <v>100</v>
      </c>
      <c r="X32" s="1265"/>
      <c r="Y32" s="342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22"/>
      <c r="Q33" s="1263">
        <f t="shared" si="11"/>
        <v>111</v>
      </c>
      <c r="R33" s="667" t="s">
        <v>14</v>
      </c>
      <c r="S33" s="668">
        <f t="shared" si="12"/>
        <v>100</v>
      </c>
      <c r="T33" s="667" t="s">
        <v>14</v>
      </c>
      <c r="U33" s="668">
        <f t="shared" si="13"/>
        <v>100</v>
      </c>
      <c r="V33" s="667" t="s">
        <v>14</v>
      </c>
      <c r="W33" s="668">
        <f t="shared" si="14"/>
        <v>100</v>
      </c>
      <c r="X33" s="1265"/>
      <c r="Y33" s="342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8"/>
      <c r="M34" s="2483"/>
      <c r="N34" s="2483"/>
      <c r="O34" s="2538"/>
      <c r="P34" s="3422"/>
      <c r="Q34" s="1263">
        <f t="shared" si="11"/>
        <v>111</v>
      </c>
      <c r="R34" s="667" t="s">
        <v>14</v>
      </c>
      <c r="S34" s="668">
        <f t="shared" si="12"/>
        <v>100</v>
      </c>
      <c r="T34" s="667" t="s">
        <v>14</v>
      </c>
      <c r="U34" s="668">
        <f t="shared" si="13"/>
        <v>100</v>
      </c>
      <c r="V34" s="667" t="s">
        <v>14</v>
      </c>
      <c r="W34" s="668">
        <f t="shared" si="14"/>
        <v>100</v>
      </c>
      <c r="X34" s="1265"/>
      <c r="Y34" s="342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0"/>
      <c r="M35" s="2483"/>
      <c r="N35" s="2483"/>
      <c r="O35" s="2483"/>
      <c r="P35" s="3424" t="str">
        <f>A35</f>
        <v>成交单价（元/平方米）</v>
      </c>
      <c r="Q35" s="3424"/>
      <c r="R35" s="3412">
        <f>E35</f>
        <v>0</v>
      </c>
      <c r="S35" s="3412"/>
      <c r="T35" s="3412">
        <f>G35</f>
        <v>0</v>
      </c>
      <c r="U35" s="3412"/>
      <c r="V35" s="3412">
        <f>I35</f>
        <v>0</v>
      </c>
      <c r="W35" s="3412"/>
      <c r="X35" s="385"/>
      <c r="Y35" s="673"/>
      <c r="Z35" s="385"/>
      <c r="AA35" s="385"/>
      <c r="AB35" s="385"/>
      <c r="AC35" s="385"/>
    </row>
    <row r="36" spans="1:30" ht="15" thickBot="1">
      <c r="A36" s="423" t="s">
        <v>1793</v>
      </c>
      <c r="B36" s="424"/>
      <c r="C36" s="1082" t="e">
        <f>R37</f>
        <v>#DIV/0!</v>
      </c>
      <c r="D36" s="2141" t="s">
        <v>2136</v>
      </c>
      <c r="E36" s="1083" t="e">
        <f>R36</f>
        <v>#DIV/0!</v>
      </c>
      <c r="F36" s="2142"/>
      <c r="G36" s="1082" t="e">
        <f>T36</f>
        <v>#DIV/0!</v>
      </c>
      <c r="H36" s="2142"/>
      <c r="I36" s="1083" t="e">
        <f>V36</f>
        <v>#DIV/0!</v>
      </c>
      <c r="J36" s="2142"/>
      <c r="K36" s="2144">
        <f>F36+H36+J36</f>
        <v>0</v>
      </c>
      <c r="L36" s="2490"/>
      <c r="M36" s="2483"/>
      <c r="N36" s="2483"/>
      <c r="O36" s="2483"/>
      <c r="P36" s="3424" t="str">
        <f>A36</f>
        <v>比较价值（元/平方米）</v>
      </c>
      <c r="Q36" s="3424"/>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0"/>
      <c r="M37" s="2483"/>
      <c r="N37" s="2483"/>
      <c r="O37" s="2483"/>
      <c r="P37" s="3458" t="str">
        <f>A37</f>
        <v>估价对象XX用房的比较价值（楼面单价，元/平方米）</v>
      </c>
      <c r="Q37" s="3459"/>
      <c r="R37" s="3468" t="e">
        <f>IF(F1="售价",ROUND(IF(D36="简单平均",AVERAGE(R36:W36),R36*F36+T36*H36+V36*J36),0),ROUND(IF(D36="简单平均",AVERAGE(R36:V36),R36*F36+T36*H36+V36*J36),1))</f>
        <v>#DIV/0!</v>
      </c>
      <c r="S37" s="3468"/>
      <c r="T37" s="3468"/>
      <c r="U37" s="3468"/>
      <c r="V37" s="3468"/>
      <c r="W37" s="3468"/>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6"/>
      <c r="Q46" s="2506"/>
      <c r="R46" s="2506"/>
      <c r="S46" s="2506"/>
      <c r="T46" s="2506"/>
      <c r="U46" s="2506"/>
      <c r="V46" s="2506"/>
      <c r="W46" s="2506"/>
      <c r="X46" s="2506"/>
      <c r="Y46" s="2506"/>
      <c r="Z46" s="2506"/>
      <c r="AA46" s="2506"/>
      <c r="AB46" s="2506"/>
      <c r="AC46" s="2506"/>
      <c r="AD46" s="2506"/>
    </row>
    <row r="47" spans="1:30" s="102" customFormat="1">
      <c r="A47" s="443"/>
      <c r="B47" s="444"/>
      <c r="C47" s="1102">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4.4">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ht="14.4">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1813</v>
      </c>
      <c r="C65" s="581" t="s">
        <v>1799</v>
      </c>
      <c r="D65" s="581" t="s">
        <v>1800</v>
      </c>
      <c r="E65" s="581" t="s">
        <v>1801</v>
      </c>
      <c r="F65" s="581" t="s">
        <v>1802</v>
      </c>
      <c r="G65" s="581" t="s">
        <v>1803</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2"/>
      <c r="M4" s="2483"/>
      <c r="N4" s="2483"/>
      <c r="O4" s="2483"/>
      <c r="P4" s="3454" t="s">
        <v>1775</v>
      </c>
      <c r="Q4" s="3455"/>
      <c r="R4" s="3450" t="s">
        <v>1771</v>
      </c>
      <c r="S4" s="3451"/>
      <c r="T4" s="3450" t="s">
        <v>1772</v>
      </c>
      <c r="U4" s="3451"/>
      <c r="V4" s="3412" t="s">
        <v>1773</v>
      </c>
      <c r="W4" s="3412"/>
      <c r="X4" s="1265"/>
      <c r="Y4" s="3450" t="s">
        <v>1775</v>
      </c>
      <c r="Z4" s="3451"/>
      <c r="AA4" s="3449" t="s">
        <v>1771</v>
      </c>
      <c r="AB4" s="3380" t="s">
        <v>1772</v>
      </c>
      <c r="AC4" s="3449" t="s">
        <v>1773</v>
      </c>
    </row>
    <row r="5" spans="1:29">
      <c r="A5" s="348"/>
      <c r="B5" s="349"/>
      <c r="C5" s="3392" t="s">
        <v>1673</v>
      </c>
      <c r="D5" s="3389"/>
      <c r="E5" s="3452" t="s">
        <v>1674</v>
      </c>
      <c r="F5" s="3453"/>
      <c r="G5" s="3392" t="s">
        <v>1675</v>
      </c>
      <c r="H5" s="3389"/>
      <c r="I5" s="3392" t="s">
        <v>1676</v>
      </c>
      <c r="J5" s="3389"/>
      <c r="K5" s="537"/>
      <c r="L5" s="2482"/>
      <c r="M5" s="2483"/>
      <c r="N5" s="2483"/>
      <c r="O5" s="2483"/>
      <c r="P5" s="3456"/>
      <c r="Q5" s="3406"/>
      <c r="R5" s="3386"/>
      <c r="S5" s="3387"/>
      <c r="T5" s="3386"/>
      <c r="U5" s="3387"/>
      <c r="V5" s="3412"/>
      <c r="W5" s="3412"/>
      <c r="X5" s="1265"/>
      <c r="Y5" s="3386"/>
      <c r="Z5" s="3387"/>
      <c r="AA5" s="3380"/>
      <c r="AB5" s="3380"/>
      <c r="AC5" s="3380"/>
    </row>
    <row r="6" spans="1:29" ht="15" thickBot="1">
      <c r="A6" s="350"/>
      <c r="B6" s="351"/>
      <c r="C6" s="3390" t="s">
        <v>1677</v>
      </c>
      <c r="D6" s="3391"/>
      <c r="E6" s="3393" t="s">
        <v>1677</v>
      </c>
      <c r="F6" s="3394"/>
      <c r="G6" s="3390" t="s">
        <v>1677</v>
      </c>
      <c r="H6" s="3391"/>
      <c r="I6" s="3390" t="s">
        <v>1677</v>
      </c>
      <c r="J6" s="3391"/>
      <c r="K6" s="537" t="s">
        <v>1678</v>
      </c>
      <c r="L6" s="2482"/>
      <c r="M6" s="2483"/>
      <c r="N6" s="2483"/>
      <c r="O6" s="2483"/>
      <c r="P6" s="3457"/>
      <c r="Q6" s="3408"/>
      <c r="R6" s="3386"/>
      <c r="S6" s="3387"/>
      <c r="T6" s="3409"/>
      <c r="U6" s="3410"/>
      <c r="V6" s="3412"/>
      <c r="W6" s="3412"/>
      <c r="X6" s="1265"/>
      <c r="Y6" s="3409"/>
      <c r="Z6" s="3410"/>
      <c r="AA6" s="3381"/>
      <c r="AB6" s="3381"/>
      <c r="AC6" s="3381"/>
    </row>
    <row r="7" spans="1:29" s="102" customFormat="1" ht="15" thickBot="1">
      <c r="A7" s="352" t="s">
        <v>1679</v>
      </c>
      <c r="B7" s="353"/>
      <c r="C7" s="354">
        <f>'数据-取费表'!B2</f>
        <v>45828</v>
      </c>
      <c r="D7" s="355">
        <v>100</v>
      </c>
      <c r="E7" s="356"/>
      <c r="F7" s="357">
        <f>SUMIF(69:69,YEAR(E7)&amp;"-"&amp;INT((MONTH(E7)+2)/3),70:70)</f>
        <v>0</v>
      </c>
      <c r="G7" s="1822"/>
      <c r="H7" s="355">
        <f>SUMIF(69:69,YEAR(G7)&amp;"-"&amp;INT((MONTH(G7)+2)/3),70:70)</f>
        <v>0</v>
      </c>
      <c r="I7" s="1822"/>
      <c r="J7" s="355">
        <f>SUMIF(69:69,YEAR(I7)&amp;"-"&amp;INT((MONTH(I7)+2)/3),70:70)</f>
        <v>0</v>
      </c>
      <c r="K7" s="38"/>
      <c r="L7" s="2484"/>
      <c r="M7" s="2436"/>
      <c r="N7" s="2436"/>
      <c r="O7" s="2436"/>
      <c r="P7" s="3382" t="s">
        <v>1680</v>
      </c>
      <c r="Q7" s="3414"/>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382" t="s">
        <v>1683</v>
      </c>
      <c r="Q8" s="3383"/>
      <c r="R8" s="664" t="s">
        <v>14</v>
      </c>
      <c r="S8" s="665">
        <f t="shared" si="0"/>
        <v>0</v>
      </c>
      <c r="T8" s="664" t="s">
        <v>14</v>
      </c>
      <c r="U8" s="665">
        <f t="shared" si="1"/>
        <v>0</v>
      </c>
      <c r="V8" s="664" t="s">
        <v>14</v>
      </c>
      <c r="W8" s="665">
        <f t="shared" si="2"/>
        <v>0</v>
      </c>
      <c r="X8" s="666"/>
      <c r="Y8" s="3382" t="s">
        <v>1683</v>
      </c>
      <c r="Z8" s="3383"/>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4"/>
      <c r="M9" s="2436"/>
      <c r="N9" s="2436"/>
      <c r="O9" s="2536"/>
      <c r="P9" s="3424" t="s">
        <v>1686</v>
      </c>
      <c r="Q9" s="530" t="str">
        <f t="shared" ref="Q9:Q15" si="6">B9</f>
        <v>用途</v>
      </c>
      <c r="R9" s="664" t="s">
        <v>14</v>
      </c>
      <c r="S9" s="665">
        <f t="shared" si="0"/>
        <v>100</v>
      </c>
      <c r="T9" s="664" t="s">
        <v>14</v>
      </c>
      <c r="U9" s="665">
        <f t="shared" si="1"/>
        <v>100</v>
      </c>
      <c r="V9" s="664" t="s">
        <v>14</v>
      </c>
      <c r="W9" s="665">
        <f t="shared" si="2"/>
        <v>100</v>
      </c>
      <c r="X9" s="666"/>
      <c r="Y9" s="334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108</v>
      </c>
      <c r="G10" s="402"/>
      <c r="H10" s="119">
        <f>ROUND(100/'数据-取费表'!G16,0)</f>
        <v>108</v>
      </c>
      <c r="I10" s="402"/>
      <c r="J10" s="119">
        <f>ROUND(100/'数据-取费表'!G16,0)</f>
        <v>108</v>
      </c>
      <c r="K10" s="592"/>
      <c r="L10" s="2485"/>
      <c r="M10" s="2486"/>
      <c r="N10" s="2486"/>
      <c r="O10" s="2537"/>
      <c r="P10" s="3424"/>
      <c r="Q10" s="530" t="str">
        <f t="shared" si="6"/>
        <v>土地使用年限（年）</v>
      </c>
      <c r="R10" s="664" t="s">
        <v>14</v>
      </c>
      <c r="S10" s="665">
        <f t="shared" si="0"/>
        <v>108</v>
      </c>
      <c r="T10" s="664" t="s">
        <v>14</v>
      </c>
      <c r="U10" s="665">
        <f t="shared" si="1"/>
        <v>108</v>
      </c>
      <c r="V10" s="664" t="s">
        <v>14</v>
      </c>
      <c r="W10" s="665">
        <f t="shared" si="2"/>
        <v>108</v>
      </c>
      <c r="X10" s="666"/>
      <c r="Y10" s="3347"/>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424"/>
      <c r="Q11" s="530" t="str">
        <f t="shared" si="6"/>
        <v>容积率</v>
      </c>
      <c r="R11" s="664" t="s">
        <v>14</v>
      </c>
      <c r="S11" s="665" t="e">
        <f t="shared" si="0"/>
        <v>#N/A</v>
      </c>
      <c r="T11" s="664" t="s">
        <v>14</v>
      </c>
      <c r="U11" s="665" t="e">
        <f t="shared" si="1"/>
        <v>#N/A</v>
      </c>
      <c r="V11" s="664" t="s">
        <v>14</v>
      </c>
      <c r="W11" s="665" t="e">
        <f t="shared" si="2"/>
        <v>#N/A</v>
      </c>
      <c r="X11" s="666"/>
      <c r="Y11" s="334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424"/>
      <c r="Q12" s="530" t="str">
        <f t="shared" si="6"/>
        <v>配建</v>
      </c>
      <c r="R12" s="664" t="s">
        <v>14</v>
      </c>
      <c r="S12" s="665">
        <f t="shared" si="0"/>
        <v>100</v>
      </c>
      <c r="T12" s="664" t="s">
        <v>14</v>
      </c>
      <c r="U12" s="665">
        <f t="shared" si="1"/>
        <v>100</v>
      </c>
      <c r="V12" s="664" t="s">
        <v>14</v>
      </c>
      <c r="W12" s="665">
        <f t="shared" si="2"/>
        <v>100</v>
      </c>
      <c r="X12" s="666"/>
      <c r="Y12" s="334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424"/>
      <c r="Q13" s="530">
        <f t="shared" si="6"/>
        <v>111</v>
      </c>
      <c r="R13" s="664" t="s">
        <v>14</v>
      </c>
      <c r="S13" s="665">
        <f t="shared" si="0"/>
        <v>100</v>
      </c>
      <c r="T13" s="664" t="s">
        <v>14</v>
      </c>
      <c r="U13" s="665">
        <f t="shared" si="1"/>
        <v>100</v>
      </c>
      <c r="V13" s="664" t="s">
        <v>14</v>
      </c>
      <c r="W13" s="665">
        <f t="shared" si="2"/>
        <v>100</v>
      </c>
      <c r="X13" s="666"/>
      <c r="Y13" s="3347"/>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424"/>
      <c r="Q14" s="530">
        <f t="shared" si="6"/>
        <v>111</v>
      </c>
      <c r="R14" s="664" t="s">
        <v>14</v>
      </c>
      <c r="S14" s="665">
        <f t="shared" si="0"/>
        <v>100</v>
      </c>
      <c r="T14" s="664" t="s">
        <v>14</v>
      </c>
      <c r="U14" s="665">
        <f t="shared" si="1"/>
        <v>100</v>
      </c>
      <c r="V14" s="664" t="s">
        <v>14</v>
      </c>
      <c r="W14" s="665">
        <f t="shared" si="2"/>
        <v>100</v>
      </c>
      <c r="X14" s="666"/>
      <c r="Y14" s="3347"/>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417" t="s">
        <v>1691</v>
      </c>
      <c r="Q15" s="1263" t="str">
        <f t="shared" si="6"/>
        <v>居住社区成熟度</v>
      </c>
      <c r="R15" s="667" t="s">
        <v>14</v>
      </c>
      <c r="S15" s="668">
        <f t="shared" si="0"/>
        <v>100</v>
      </c>
      <c r="T15" s="667" t="s">
        <v>14</v>
      </c>
      <c r="U15" s="668">
        <f t="shared" si="1"/>
        <v>100</v>
      </c>
      <c r="V15" s="667" t="s">
        <v>14</v>
      </c>
      <c r="W15" s="668">
        <f t="shared" si="2"/>
        <v>100</v>
      </c>
      <c r="X15" s="1265"/>
      <c r="Y15" s="341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8"/>
      <c r="M16" s="2483"/>
      <c r="N16" s="2483"/>
      <c r="O16" s="2538"/>
      <c r="P16" s="3418"/>
      <c r="Q16" s="1263"/>
      <c r="R16" s="667"/>
      <c r="S16" s="668"/>
      <c r="T16" s="667"/>
      <c r="U16" s="668"/>
      <c r="V16" s="667"/>
      <c r="W16" s="668"/>
      <c r="X16" s="1265"/>
      <c r="Y16" s="341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18"/>
      <c r="Q17" s="1263" t="str">
        <f>B17</f>
        <v>商业繁华度</v>
      </c>
      <c r="R17" s="667" t="s">
        <v>14</v>
      </c>
      <c r="S17" s="668">
        <f>F17</f>
        <v>100</v>
      </c>
      <c r="T17" s="667" t="s">
        <v>14</v>
      </c>
      <c r="U17" s="668">
        <f>H17</f>
        <v>100</v>
      </c>
      <c r="V17" s="667" t="s">
        <v>14</v>
      </c>
      <c r="W17" s="668">
        <f>J17</f>
        <v>100</v>
      </c>
      <c r="X17" s="1265"/>
      <c r="Y17" s="341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8"/>
      <c r="M18" s="2483"/>
      <c r="N18" s="2483"/>
      <c r="O18" s="2538"/>
      <c r="P18" s="3418"/>
      <c r="Q18" s="1263"/>
      <c r="R18" s="667"/>
      <c r="S18" s="668"/>
      <c r="T18" s="667"/>
      <c r="U18" s="668"/>
      <c r="V18" s="667"/>
      <c r="W18" s="668"/>
      <c r="X18" s="1265"/>
      <c r="Y18" s="3418"/>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18"/>
      <c r="Q19" s="1263" t="str">
        <f>B19</f>
        <v>办公集聚程度</v>
      </c>
      <c r="R19" s="667" t="s">
        <v>14</v>
      </c>
      <c r="S19" s="668">
        <f>F19</f>
        <v>100</v>
      </c>
      <c r="T19" s="667" t="s">
        <v>14</v>
      </c>
      <c r="U19" s="668">
        <f>H19</f>
        <v>100</v>
      </c>
      <c r="V19" s="667" t="s">
        <v>14</v>
      </c>
      <c r="W19" s="668">
        <f>J19</f>
        <v>100</v>
      </c>
      <c r="X19" s="1265"/>
      <c r="Y19" s="341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8"/>
      <c r="M20" s="2483"/>
      <c r="N20" s="2483"/>
      <c r="O20" s="2538"/>
      <c r="P20" s="3418"/>
      <c r="Q20" s="1263"/>
      <c r="R20" s="667"/>
      <c r="S20" s="668"/>
      <c r="T20" s="667"/>
      <c r="U20" s="668"/>
      <c r="V20" s="667"/>
      <c r="W20" s="668"/>
      <c r="X20" s="1265"/>
      <c r="Y20" s="3418"/>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418"/>
      <c r="Q21" s="1263" t="str">
        <f>B21</f>
        <v>交通便捷度</v>
      </c>
      <c r="R21" s="667" t="s">
        <v>14</v>
      </c>
      <c r="S21" s="668">
        <f>F21</f>
        <v>100</v>
      </c>
      <c r="T21" s="667" t="s">
        <v>14</v>
      </c>
      <c r="U21" s="668">
        <f>H21</f>
        <v>100</v>
      </c>
      <c r="V21" s="667" t="s">
        <v>14</v>
      </c>
      <c r="W21" s="668">
        <f>J21</f>
        <v>100</v>
      </c>
      <c r="X21" s="1265"/>
      <c r="Y21" s="341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8"/>
      <c r="M22" s="2483"/>
      <c r="N22" s="2483"/>
      <c r="O22" s="2538"/>
      <c r="P22" s="3418"/>
      <c r="Q22" s="1263"/>
      <c r="R22" s="667"/>
      <c r="S22" s="668"/>
      <c r="T22" s="667"/>
      <c r="U22" s="668"/>
      <c r="V22" s="667"/>
      <c r="W22" s="668"/>
      <c r="X22" s="1265"/>
      <c r="Y22" s="341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18"/>
      <c r="Q23" s="1263" t="str">
        <f t="shared" ref="Q23:Q37" si="8">B23</f>
        <v>区域土地利用方向</v>
      </c>
      <c r="R23" s="667" t="s">
        <v>14</v>
      </c>
      <c r="S23" s="668">
        <f>F23</f>
        <v>100</v>
      </c>
      <c r="T23" s="667" t="s">
        <v>14</v>
      </c>
      <c r="U23" s="668">
        <f>H23</f>
        <v>100</v>
      </c>
      <c r="V23" s="667" t="s">
        <v>14</v>
      </c>
      <c r="W23" s="668">
        <f>J23</f>
        <v>100</v>
      </c>
      <c r="X23" s="1265"/>
      <c r="Y23" s="341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8"/>
      <c r="M24" s="2483"/>
      <c r="N24" s="2483"/>
      <c r="O24" s="2538"/>
      <c r="P24" s="3418"/>
      <c r="Q24" s="1263"/>
      <c r="R24" s="667"/>
      <c r="S24" s="668"/>
      <c r="T24" s="667"/>
      <c r="U24" s="668"/>
      <c r="V24" s="667"/>
      <c r="W24" s="668"/>
      <c r="X24" s="1265"/>
      <c r="Y24" s="3418"/>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418"/>
      <c r="Q25" s="1263" t="str">
        <f t="shared" si="8"/>
        <v>自然及人文环境状况</v>
      </c>
      <c r="R25" s="667" t="s">
        <v>14</v>
      </c>
      <c r="S25" s="668">
        <f>F25</f>
        <v>100</v>
      </c>
      <c r="T25" s="667" t="s">
        <v>14</v>
      </c>
      <c r="U25" s="668">
        <f>H25</f>
        <v>100</v>
      </c>
      <c r="V25" s="667" t="s">
        <v>14</v>
      </c>
      <c r="W25" s="668">
        <f>J25</f>
        <v>100</v>
      </c>
      <c r="X25" s="1265"/>
      <c r="Y25" s="341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8"/>
      <c r="M26" s="2483"/>
      <c r="N26" s="2483"/>
      <c r="O26" s="2538"/>
      <c r="P26" s="3418"/>
      <c r="Q26" s="1263"/>
      <c r="R26" s="667"/>
      <c r="S26" s="668"/>
      <c r="T26" s="667"/>
      <c r="U26" s="668"/>
      <c r="V26" s="667"/>
      <c r="W26" s="668"/>
      <c r="X26" s="1265"/>
      <c r="Y26" s="341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418"/>
      <c r="Q27" s="530" t="str">
        <f t="shared" si="8"/>
        <v>公共配套设施</v>
      </c>
      <c r="R27" s="664" t="s">
        <v>14</v>
      </c>
      <c r="S27" s="665">
        <f>F27</f>
        <v>100</v>
      </c>
      <c r="T27" s="664" t="s">
        <v>14</v>
      </c>
      <c r="U27" s="665">
        <f>H27</f>
        <v>100</v>
      </c>
      <c r="V27" s="664" t="s">
        <v>14</v>
      </c>
      <c r="W27" s="665">
        <f>J27</f>
        <v>100</v>
      </c>
      <c r="X27" s="666"/>
      <c r="Y27" s="341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4"/>
      <c r="M28" s="2436"/>
      <c r="N28" s="2436"/>
      <c r="O28" s="2536"/>
      <c r="P28" s="3418"/>
      <c r="Q28" s="530"/>
      <c r="R28" s="664"/>
      <c r="S28" s="665"/>
      <c r="T28" s="664"/>
      <c r="U28" s="665"/>
      <c r="V28" s="664"/>
      <c r="W28" s="665"/>
      <c r="X28" s="666"/>
      <c r="Y28" s="341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418"/>
      <c r="Q29" s="530" t="str">
        <f t="shared" ref="Q29" si="9">B29</f>
        <v>基础设施水平</v>
      </c>
      <c r="R29" s="664" t="s">
        <v>14</v>
      </c>
      <c r="S29" s="665">
        <f>F29</f>
        <v>100</v>
      </c>
      <c r="T29" s="664" t="s">
        <v>14</v>
      </c>
      <c r="U29" s="665">
        <f>H29</f>
        <v>100</v>
      </c>
      <c r="V29" s="664" t="s">
        <v>14</v>
      </c>
      <c r="W29" s="665">
        <f>J29</f>
        <v>100</v>
      </c>
      <c r="X29" s="666"/>
      <c r="Y29" s="341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4"/>
      <c r="M30" s="2436"/>
      <c r="N30" s="2436"/>
      <c r="O30" s="2536"/>
      <c r="P30" s="3418"/>
      <c r="Q30" s="530"/>
      <c r="R30" s="664"/>
      <c r="S30" s="665"/>
      <c r="T30" s="664"/>
      <c r="U30" s="665"/>
      <c r="V30" s="664"/>
      <c r="W30" s="665"/>
      <c r="X30" s="666"/>
      <c r="Y30" s="341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41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18"/>
      <c r="Q32" s="1263" t="str">
        <f t="shared" si="8"/>
        <v>毗邻道路的类型与等级</v>
      </c>
      <c r="R32" s="667" t="s">
        <v>14</v>
      </c>
      <c r="S32" s="668">
        <f t="shared" si="10"/>
        <v>100</v>
      </c>
      <c r="T32" s="667" t="s">
        <v>14</v>
      </c>
      <c r="U32" s="668">
        <f t="shared" si="11"/>
        <v>100</v>
      </c>
      <c r="V32" s="667" t="s">
        <v>14</v>
      </c>
      <c r="W32" s="668">
        <f t="shared" si="12"/>
        <v>100</v>
      </c>
      <c r="X32" s="1265"/>
      <c r="Y32" s="341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8"/>
      <c r="M33" s="2483"/>
      <c r="N33" s="2483"/>
      <c r="O33" s="2538"/>
      <c r="P33" s="3418"/>
      <c r="Q33" s="1263"/>
      <c r="R33" s="667"/>
      <c r="S33" s="668"/>
      <c r="T33" s="667"/>
      <c r="U33" s="668"/>
      <c r="V33" s="667"/>
      <c r="W33" s="668"/>
      <c r="X33" s="1265"/>
      <c r="Y33" s="341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18"/>
      <c r="Q34" s="1263" t="str">
        <f t="shared" si="8"/>
        <v>土地级别</v>
      </c>
      <c r="R34" s="667" t="s">
        <v>14</v>
      </c>
      <c r="S34" s="668">
        <f t="shared" si="10"/>
        <v>100</v>
      </c>
      <c r="T34" s="667" t="s">
        <v>14</v>
      </c>
      <c r="U34" s="668">
        <f t="shared" si="11"/>
        <v>100</v>
      </c>
      <c r="V34" s="667" t="s">
        <v>14</v>
      </c>
      <c r="W34" s="668">
        <f t="shared" si="12"/>
        <v>100</v>
      </c>
      <c r="X34" s="1265"/>
      <c r="Y34" s="341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18"/>
      <c r="Q35" s="1263">
        <f t="shared" si="8"/>
        <v>111</v>
      </c>
      <c r="R35" s="667" t="s">
        <v>14</v>
      </c>
      <c r="S35" s="668">
        <f t="shared" si="10"/>
        <v>100</v>
      </c>
      <c r="T35" s="667" t="s">
        <v>14</v>
      </c>
      <c r="U35" s="668">
        <f t="shared" si="11"/>
        <v>100</v>
      </c>
      <c r="V35" s="667" t="s">
        <v>14</v>
      </c>
      <c r="W35" s="668">
        <f t="shared" si="12"/>
        <v>100</v>
      </c>
      <c r="X35" s="1265"/>
      <c r="Y35" s="341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67" t="s">
        <v>1696</v>
      </c>
      <c r="Q36" s="1263">
        <f t="shared" si="8"/>
        <v>111</v>
      </c>
      <c r="R36" s="667" t="s">
        <v>14</v>
      </c>
      <c r="S36" s="668">
        <f t="shared" si="10"/>
        <v>100</v>
      </c>
      <c r="T36" s="667" t="s">
        <v>14</v>
      </c>
      <c r="U36" s="668">
        <f t="shared" si="11"/>
        <v>100</v>
      </c>
      <c r="V36" s="667" t="s">
        <v>14</v>
      </c>
      <c r="W36" s="668">
        <f t="shared" si="12"/>
        <v>100</v>
      </c>
      <c r="X36" s="1265"/>
      <c r="Y36" s="342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22"/>
      <c r="Q37" s="1263">
        <f t="shared" si="8"/>
        <v>111</v>
      </c>
      <c r="R37" s="669" t="s">
        <v>14</v>
      </c>
      <c r="S37" s="670">
        <f t="shared" si="10"/>
        <v>100</v>
      </c>
      <c r="T37" s="669" t="s">
        <v>14</v>
      </c>
      <c r="U37" s="670">
        <f t="shared" si="11"/>
        <v>100</v>
      </c>
      <c r="V37" s="669" t="s">
        <v>14</v>
      </c>
      <c r="W37" s="670">
        <f t="shared" si="12"/>
        <v>100</v>
      </c>
      <c r="X37" s="671"/>
      <c r="Y37" s="342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22"/>
      <c r="Q38" s="1263" t="str">
        <f>B38</f>
        <v>宗地面积</v>
      </c>
      <c r="R38" s="667" t="s">
        <v>14</v>
      </c>
      <c r="S38" s="668" t="e">
        <f t="shared" si="10"/>
        <v>#N/A</v>
      </c>
      <c r="T38" s="667" t="s">
        <v>14</v>
      </c>
      <c r="U38" s="668" t="e">
        <f t="shared" si="11"/>
        <v>#N/A</v>
      </c>
      <c r="V38" s="667" t="s">
        <v>14</v>
      </c>
      <c r="W38" s="668" t="e">
        <f t="shared" si="12"/>
        <v>#N/A</v>
      </c>
      <c r="X38" s="1265"/>
      <c r="Y38" s="342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8"/>
      <c r="M39" s="2483"/>
      <c r="N39" s="2483"/>
      <c r="O39" s="2538"/>
      <c r="P39" s="3422"/>
      <c r="Q39" s="1263" t="str">
        <f t="shared" ref="Q39:Q45" si="14">B39</f>
        <v>宗地形状</v>
      </c>
      <c r="R39" s="667" t="s">
        <v>14</v>
      </c>
      <c r="S39" s="668">
        <f t="shared" si="10"/>
        <v>100</v>
      </c>
      <c r="T39" s="667" t="s">
        <v>14</v>
      </c>
      <c r="U39" s="668">
        <f t="shared" si="11"/>
        <v>100</v>
      </c>
      <c r="V39" s="667" t="s">
        <v>14</v>
      </c>
      <c r="W39" s="668">
        <f t="shared" si="12"/>
        <v>100</v>
      </c>
      <c r="X39" s="1265"/>
      <c r="Y39" s="342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8"/>
      <c r="M40" s="2483"/>
      <c r="N40" s="2483"/>
      <c r="O40" s="2538"/>
      <c r="P40" s="3422"/>
      <c r="Q40" s="1263" t="str">
        <f t="shared" si="14"/>
        <v>临街宽度及深度</v>
      </c>
      <c r="R40" s="667" t="s">
        <v>14</v>
      </c>
      <c r="S40" s="668">
        <f t="shared" si="10"/>
        <v>100</v>
      </c>
      <c r="T40" s="667" t="s">
        <v>14</v>
      </c>
      <c r="U40" s="668">
        <f t="shared" si="11"/>
        <v>100</v>
      </c>
      <c r="V40" s="667" t="s">
        <v>14</v>
      </c>
      <c r="W40" s="668">
        <f t="shared" si="12"/>
        <v>100</v>
      </c>
      <c r="X40" s="1265"/>
      <c r="Y40" s="342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4"/>
      <c r="M41" s="2436"/>
      <c r="N41" s="2436"/>
      <c r="O41" s="2536"/>
      <c r="P41" s="3422"/>
      <c r="Q41" s="1263" t="str">
        <f t="shared" si="14"/>
        <v>宗地开发程度</v>
      </c>
      <c r="R41" s="664" t="s">
        <v>14</v>
      </c>
      <c r="S41" s="665">
        <f t="shared" si="10"/>
        <v>100</v>
      </c>
      <c r="T41" s="664" t="s">
        <v>14</v>
      </c>
      <c r="U41" s="665">
        <f t="shared" si="11"/>
        <v>100</v>
      </c>
      <c r="V41" s="664" t="s">
        <v>14</v>
      </c>
      <c r="W41" s="665">
        <f t="shared" si="12"/>
        <v>100</v>
      </c>
      <c r="X41" s="666"/>
      <c r="Y41" s="342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8"/>
      <c r="M42" s="2483"/>
      <c r="N42" s="2483"/>
      <c r="O42" s="2538"/>
      <c r="P42" s="3422" t="s">
        <v>1696</v>
      </c>
      <c r="Q42" s="1263" t="str">
        <f t="shared" si="14"/>
        <v>工程地质条件</v>
      </c>
      <c r="R42" s="667" t="s">
        <v>14</v>
      </c>
      <c r="S42" s="668">
        <f t="shared" si="10"/>
        <v>100</v>
      </c>
      <c r="T42" s="667" t="s">
        <v>14</v>
      </c>
      <c r="U42" s="668">
        <f t="shared" si="11"/>
        <v>100</v>
      </c>
      <c r="V42" s="667" t="s">
        <v>14</v>
      </c>
      <c r="W42" s="668">
        <f t="shared" si="12"/>
        <v>100</v>
      </c>
      <c r="X42" s="1265"/>
      <c r="Y42" s="342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22"/>
      <c r="Q43" s="1263">
        <f t="shared" si="14"/>
        <v>111</v>
      </c>
      <c r="R43" s="667" t="s">
        <v>14</v>
      </c>
      <c r="S43" s="668">
        <f t="shared" si="10"/>
        <v>100</v>
      </c>
      <c r="T43" s="667" t="s">
        <v>14</v>
      </c>
      <c r="U43" s="668">
        <f t="shared" si="11"/>
        <v>100</v>
      </c>
      <c r="V43" s="667" t="s">
        <v>14</v>
      </c>
      <c r="W43" s="668">
        <f t="shared" si="12"/>
        <v>100</v>
      </c>
      <c r="X43" s="1265"/>
      <c r="Y43" s="342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22"/>
      <c r="Q44" s="1263">
        <f t="shared" si="14"/>
        <v>111</v>
      </c>
      <c r="R44" s="667" t="s">
        <v>14</v>
      </c>
      <c r="S44" s="668">
        <f t="shared" si="10"/>
        <v>100</v>
      </c>
      <c r="T44" s="667" t="s">
        <v>14</v>
      </c>
      <c r="U44" s="668">
        <f t="shared" si="11"/>
        <v>100</v>
      </c>
      <c r="V44" s="667" t="s">
        <v>14</v>
      </c>
      <c r="W44" s="668">
        <f t="shared" si="12"/>
        <v>100</v>
      </c>
      <c r="X44" s="1265"/>
      <c r="Y44" s="342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22"/>
      <c r="Q45" s="1263">
        <f t="shared" si="14"/>
        <v>111</v>
      </c>
      <c r="R45" s="669" t="s">
        <v>14</v>
      </c>
      <c r="S45" s="670">
        <f t="shared" si="10"/>
        <v>100</v>
      </c>
      <c r="T45" s="669" t="s">
        <v>14</v>
      </c>
      <c r="U45" s="670">
        <f t="shared" si="11"/>
        <v>100</v>
      </c>
      <c r="V45" s="669" t="s">
        <v>14</v>
      </c>
      <c r="W45" s="670">
        <f t="shared" si="12"/>
        <v>100</v>
      </c>
      <c r="X45" s="671"/>
      <c r="Y45" s="342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0"/>
      <c r="M46" s="2483"/>
      <c r="N46" s="2483"/>
      <c r="O46" s="2483"/>
      <c r="P46" s="3424" t="str">
        <f>A46</f>
        <v>成交单价</v>
      </c>
      <c r="Q46" s="3424"/>
      <c r="R46" s="3412">
        <f>E46</f>
        <v>0</v>
      </c>
      <c r="S46" s="3412"/>
      <c r="T46" s="3412">
        <f>G46</f>
        <v>0</v>
      </c>
      <c r="U46" s="3412"/>
      <c r="V46" s="3412">
        <f>I46</f>
        <v>0</v>
      </c>
      <c r="W46" s="3412"/>
      <c r="X46" s="385"/>
      <c r="Y46" s="673"/>
      <c r="Z46" s="385"/>
      <c r="AA46" s="385"/>
      <c r="AB46" s="385"/>
      <c r="AC46" s="385"/>
    </row>
    <row r="47" spans="1:29" ht="15" thickBot="1">
      <c r="A47" s="423" t="s">
        <v>1793</v>
      </c>
      <c r="B47" s="603"/>
      <c r="C47" s="426" t="e">
        <f>R48</f>
        <v>#DIV/0!</v>
      </c>
      <c r="D47" s="2141" t="s">
        <v>2136</v>
      </c>
      <c r="E47" s="426" t="e">
        <f>R47</f>
        <v>#DIV/0!</v>
      </c>
      <c r="F47" s="2142"/>
      <c r="G47" s="425" t="e">
        <f>T47</f>
        <v>#DIV/0!</v>
      </c>
      <c r="H47" s="2142"/>
      <c r="I47" s="426" t="e">
        <f>V47</f>
        <v>#DIV/0!</v>
      </c>
      <c r="J47" s="2142"/>
      <c r="K47" s="2144">
        <f>F47+H47+J47</f>
        <v>0</v>
      </c>
      <c r="L47" s="2490"/>
      <c r="M47" s="2483"/>
      <c r="N47" s="2483"/>
      <c r="O47" s="2483"/>
      <c r="P47" s="3424" t="str">
        <f>A47</f>
        <v>比较价值（元/平方米）</v>
      </c>
      <c r="Q47" s="3424"/>
      <c r="R47" s="3469" t="e">
        <f>ROUND(PRODUCT(R46,AA7:AA45),0)</f>
        <v>#DIV/0!</v>
      </c>
      <c r="S47" s="3469"/>
      <c r="T47" s="3469" t="e">
        <f>ROUND(PRODUCT(T46,AB7:AB45),0)</f>
        <v>#DIV/0!</v>
      </c>
      <c r="U47" s="3469"/>
      <c r="V47" s="3469" t="e">
        <f>ROUND(PRODUCT(V46,AC7:AC45),0)</f>
        <v>#DIV/0!</v>
      </c>
      <c r="W47" s="346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0"/>
      <c r="M48" s="2483"/>
      <c r="N48" s="2483"/>
      <c r="O48" s="2483"/>
      <c r="P48" s="3458" t="str">
        <f>A48</f>
        <v>估价对象XX用房的比较价值（楼面单价，元/平方米）</v>
      </c>
      <c r="Q48" s="3459"/>
      <c r="R48" s="3470" t="e">
        <f>ROUND(IF(D47="简单平均",AVERAGE(R47:W47),R47*F47+T47*H47+V47*J47),0)</f>
        <v>#DIV/0!</v>
      </c>
      <c r="S48" s="3470"/>
      <c r="T48" s="3470"/>
      <c r="U48" s="3470"/>
      <c r="V48" s="3470"/>
      <c r="W48" s="3470"/>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1" t="s">
        <v>1883</v>
      </c>
      <c r="D55" s="1832" t="s">
        <v>1884</v>
      </c>
      <c r="E55" s="606" t="s">
        <v>1885</v>
      </c>
      <c r="F55" s="837" t="s">
        <v>1886</v>
      </c>
      <c r="G55" s="3399" t="s">
        <v>1887</v>
      </c>
      <c r="H55" s="3471"/>
      <c r="I55" s="127" t="s">
        <v>1888</v>
      </c>
      <c r="J55" s="1833">
        <f>项目基本情况!F35</f>
        <v>0</v>
      </c>
      <c r="K55" s="1834"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90">
        <v>1</v>
      </c>
      <c r="E56" s="610">
        <f>'数据-汇总表'!E8+'数据-汇总表'!E9</f>
        <v>94.78</v>
      </c>
      <c r="F56" s="833" t="e">
        <f t="shared" ref="F56:F64" si="15">ROUND(B56*E56/10000,0)</f>
        <v>#DIV/0!</v>
      </c>
      <c r="G56" s="3395"/>
      <c r="H56" s="3424"/>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1">
        <v>0.25</v>
      </c>
      <c r="E57" s="614"/>
      <c r="F57" s="833" t="e">
        <f t="shared" si="15"/>
        <v>#DIV/0!</v>
      </c>
      <c r="G57" s="2746" t="s">
        <v>1892</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SUMIF(修正!A57:A68,H60,修正!E57:E68)</f>
        <v>0.25</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SUMIF(修正!A57:A68,H61,修正!F57:F68)</f>
        <v>0.25</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SUMIF(修正!A57:A68,H64,修正!G57:G68)</f>
        <v>0.15</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94.78</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3"/>
      <c r="Q67" s="2483"/>
      <c r="R67" s="2483"/>
      <c r="S67" s="2483"/>
      <c r="T67" s="2483"/>
      <c r="U67" s="2483"/>
      <c r="V67" s="2483"/>
      <c r="W67" s="2483"/>
      <c r="X67" s="2483"/>
      <c r="Y67" s="2483"/>
      <c r="Z67" s="2483"/>
      <c r="AA67" s="2483"/>
      <c r="AB67" s="2483"/>
      <c r="AC67" s="2483"/>
    </row>
    <row r="68" spans="1:29" ht="22.2" thickBot="1">
      <c r="A68" s="658" t="s">
        <v>1798</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4"/>
      <c r="Q70" s="2436"/>
      <c r="R70" s="2436"/>
      <c r="S70" s="2436"/>
      <c r="T70" s="2436"/>
      <c r="U70" s="2436"/>
      <c r="V70" s="2436"/>
      <c r="W70" s="2436"/>
      <c r="X70" s="2436"/>
      <c r="Y70" s="2436"/>
      <c r="Z70" s="2436"/>
      <c r="AA70" s="2436"/>
      <c r="AB70" s="2436"/>
      <c r="AC70" s="2436"/>
    </row>
    <row r="71" spans="1:29" s="102" customFormat="1" ht="15" thickBot="1">
      <c r="A71" s="449" t="s">
        <v>1716</v>
      </c>
      <c r="B71" s="450"/>
      <c r="C71" s="451"/>
      <c r="D71" s="452"/>
      <c r="E71" s="452"/>
      <c r="F71" s="452"/>
      <c r="G71" s="452"/>
      <c r="H71" s="452"/>
      <c r="I71" s="452"/>
      <c r="J71" s="452"/>
      <c r="K71" s="452"/>
      <c r="L71" s="452"/>
      <c r="M71" s="453"/>
      <c r="N71" s="452"/>
      <c r="O71" s="889"/>
      <c r="P71" s="2504"/>
      <c r="Q71" s="2504"/>
      <c r="R71" s="2436"/>
      <c r="S71" s="2436"/>
      <c r="T71" s="2436"/>
      <c r="U71" s="2436"/>
      <c r="V71" s="2436"/>
      <c r="W71" s="2436"/>
      <c r="X71" s="2436"/>
      <c r="Y71" s="2436"/>
      <c r="Z71" s="2436"/>
      <c r="AA71" s="2436"/>
      <c r="AB71" s="2436"/>
      <c r="AC71" s="2436"/>
    </row>
    <row r="72" spans="1:29" s="102" customFormat="1" ht="14.4">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ht="14.4">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2"/>
      <c r="M4" s="2483"/>
      <c r="N4" s="2483"/>
      <c r="O4" s="2483"/>
      <c r="P4" s="3454" t="s">
        <v>1775</v>
      </c>
      <c r="Q4" s="3455"/>
      <c r="R4" s="3450" t="s">
        <v>1771</v>
      </c>
      <c r="S4" s="3451"/>
      <c r="T4" s="3450" t="s">
        <v>1772</v>
      </c>
      <c r="U4" s="3451"/>
      <c r="V4" s="3412" t="s">
        <v>1773</v>
      </c>
      <c r="W4" s="3412"/>
      <c r="X4" s="1265"/>
      <c r="Y4" s="3450" t="s">
        <v>1775</v>
      </c>
      <c r="Z4" s="3451"/>
      <c r="AA4" s="3449" t="s">
        <v>1771</v>
      </c>
      <c r="AB4" s="3380" t="s">
        <v>1772</v>
      </c>
      <c r="AC4" s="3449" t="s">
        <v>1773</v>
      </c>
    </row>
    <row r="5" spans="1:29">
      <c r="A5" s="348"/>
      <c r="B5" s="349"/>
      <c r="C5" s="3392" t="s">
        <v>1673</v>
      </c>
      <c r="D5" s="3389"/>
      <c r="E5" s="3452" t="s">
        <v>1674</v>
      </c>
      <c r="F5" s="3453"/>
      <c r="G5" s="3392" t="s">
        <v>1675</v>
      </c>
      <c r="H5" s="3389"/>
      <c r="I5" s="3392" t="s">
        <v>1676</v>
      </c>
      <c r="J5" s="3389"/>
      <c r="K5" s="537"/>
      <c r="L5" s="2482"/>
      <c r="M5" s="2483"/>
      <c r="N5" s="2483"/>
      <c r="O5" s="2483"/>
      <c r="P5" s="3456"/>
      <c r="Q5" s="3406"/>
      <c r="R5" s="3386"/>
      <c r="S5" s="3387"/>
      <c r="T5" s="3386"/>
      <c r="U5" s="3387"/>
      <c r="V5" s="3412"/>
      <c r="W5" s="3412"/>
      <c r="X5" s="1265"/>
      <c r="Y5" s="3386"/>
      <c r="Z5" s="3387"/>
      <c r="AA5" s="3380"/>
      <c r="AB5" s="3380"/>
      <c r="AC5" s="3380"/>
    </row>
    <row r="6" spans="1:29" ht="15" thickBot="1">
      <c r="A6" s="350"/>
      <c r="B6" s="351"/>
      <c r="C6" s="3472" t="s">
        <v>1919</v>
      </c>
      <c r="D6" s="3473"/>
      <c r="E6" s="3474" t="s">
        <v>1919</v>
      </c>
      <c r="F6" s="3475"/>
      <c r="G6" s="3472" t="s">
        <v>1919</v>
      </c>
      <c r="H6" s="3473"/>
      <c r="I6" s="3472" t="s">
        <v>1919</v>
      </c>
      <c r="J6" s="3473"/>
      <c r="K6" s="537" t="s">
        <v>1678</v>
      </c>
      <c r="L6" s="2482"/>
      <c r="M6" s="2483"/>
      <c r="N6" s="2483"/>
      <c r="O6" s="2483"/>
      <c r="P6" s="3457"/>
      <c r="Q6" s="3408"/>
      <c r="R6" s="3386"/>
      <c r="S6" s="3387"/>
      <c r="T6" s="3409"/>
      <c r="U6" s="3410"/>
      <c r="V6" s="3412"/>
      <c r="W6" s="3412"/>
      <c r="X6" s="1265"/>
      <c r="Y6" s="3409"/>
      <c r="Z6" s="3410"/>
      <c r="AA6" s="3381"/>
      <c r="AB6" s="3381"/>
      <c r="AC6" s="3381"/>
    </row>
    <row r="7" spans="1:29" s="102" customFormat="1" ht="15" thickBot="1">
      <c r="A7" s="352" t="s">
        <v>1679</v>
      </c>
      <c r="B7" s="353"/>
      <c r="C7" s="354">
        <f>'数据-取费表'!B2</f>
        <v>45828</v>
      </c>
      <c r="D7" s="355">
        <v>100</v>
      </c>
      <c r="E7" s="356"/>
      <c r="F7" s="357">
        <f>SUMIF(65:65,YEAR(E7)&amp;"-"&amp;INT((MONTH(E7)+2)/3),66:66)</f>
        <v>0</v>
      </c>
      <c r="G7" s="1822"/>
      <c r="H7" s="355">
        <f>SUMIF(65:65,YEAR(G7)&amp;"-"&amp;INT((MONTH(G7)+2)/3),66:66)</f>
        <v>0</v>
      </c>
      <c r="I7" s="1822"/>
      <c r="J7" s="355">
        <f>SUMIF(65:65,YEAR(I7)&amp;"-"&amp;INT((MONTH(I7)+2)/3),66:66)</f>
        <v>0</v>
      </c>
      <c r="K7" s="38"/>
      <c r="L7" s="2484"/>
      <c r="M7" s="2436"/>
      <c r="N7" s="2436"/>
      <c r="O7" s="2436"/>
      <c r="P7" s="3382" t="s">
        <v>1680</v>
      </c>
      <c r="Q7" s="3414"/>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382" t="s">
        <v>1683</v>
      </c>
      <c r="Q8" s="3383"/>
      <c r="R8" s="664" t="s">
        <v>14</v>
      </c>
      <c r="S8" s="665">
        <f t="shared" si="0"/>
        <v>0</v>
      </c>
      <c r="T8" s="664" t="s">
        <v>14</v>
      </c>
      <c r="U8" s="665">
        <f t="shared" si="1"/>
        <v>0</v>
      </c>
      <c r="V8" s="664" t="s">
        <v>14</v>
      </c>
      <c r="W8" s="665">
        <f t="shared" si="2"/>
        <v>0</v>
      </c>
      <c r="X8" s="666"/>
      <c r="Y8" s="3382" t="s">
        <v>1683</v>
      </c>
      <c r="Z8" s="3383"/>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4"/>
      <c r="M9" s="2436"/>
      <c r="N9" s="2436"/>
      <c r="O9" s="2536"/>
      <c r="P9" s="3424" t="s">
        <v>1686</v>
      </c>
      <c r="Q9" s="530" t="str">
        <f t="shared" ref="Q9:Q15" si="6">B9</f>
        <v>用途</v>
      </c>
      <c r="R9" s="664" t="s">
        <v>14</v>
      </c>
      <c r="S9" s="665">
        <f t="shared" si="0"/>
        <v>100</v>
      </c>
      <c r="T9" s="664" t="s">
        <v>14</v>
      </c>
      <c r="U9" s="665">
        <f t="shared" si="1"/>
        <v>100</v>
      </c>
      <c r="V9" s="664" t="s">
        <v>14</v>
      </c>
      <c r="W9" s="665">
        <f t="shared" si="2"/>
        <v>100</v>
      </c>
      <c r="X9" s="666"/>
      <c r="Y9" s="334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108</v>
      </c>
      <c r="G10" s="371"/>
      <c r="H10" s="119">
        <f>ROUND(100/'数据-取费表'!G16,0)</f>
        <v>108</v>
      </c>
      <c r="I10" s="371"/>
      <c r="J10" s="119">
        <f>ROUND(100/'数据-取费表'!G16,0)</f>
        <v>108</v>
      </c>
      <c r="K10" s="592"/>
      <c r="L10" s="2485"/>
      <c r="M10" s="2486"/>
      <c r="N10" s="2486"/>
      <c r="O10" s="2537"/>
      <c r="P10" s="3424"/>
      <c r="Q10" s="530" t="str">
        <f t="shared" si="6"/>
        <v>土地使用年限（年）</v>
      </c>
      <c r="R10" s="664" t="s">
        <v>14</v>
      </c>
      <c r="S10" s="665">
        <f t="shared" si="0"/>
        <v>108</v>
      </c>
      <c r="T10" s="664" t="s">
        <v>14</v>
      </c>
      <c r="U10" s="665">
        <f t="shared" si="1"/>
        <v>108</v>
      </c>
      <c r="V10" s="664" t="s">
        <v>14</v>
      </c>
      <c r="W10" s="665">
        <f t="shared" si="2"/>
        <v>108</v>
      </c>
      <c r="X10" s="666"/>
      <c r="Y10" s="3347"/>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424"/>
      <c r="Q11" s="530" t="str">
        <f t="shared" si="6"/>
        <v>容积率</v>
      </c>
      <c r="R11" s="664" t="s">
        <v>14</v>
      </c>
      <c r="S11" s="665" t="e">
        <f t="shared" si="0"/>
        <v>#N/A</v>
      </c>
      <c r="T11" s="664" t="s">
        <v>14</v>
      </c>
      <c r="U11" s="665" t="e">
        <f t="shared" si="1"/>
        <v>#N/A</v>
      </c>
      <c r="V11" s="664" t="s">
        <v>14</v>
      </c>
      <c r="W11" s="665" t="e">
        <f t="shared" si="2"/>
        <v>#N/A</v>
      </c>
      <c r="X11" s="666"/>
      <c r="Y11" s="334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424"/>
      <c r="Q12" s="530">
        <f t="shared" si="6"/>
        <v>111</v>
      </c>
      <c r="R12" s="664" t="s">
        <v>14</v>
      </c>
      <c r="S12" s="665">
        <f t="shared" si="0"/>
        <v>100</v>
      </c>
      <c r="T12" s="664" t="s">
        <v>14</v>
      </c>
      <c r="U12" s="665">
        <f t="shared" si="1"/>
        <v>100</v>
      </c>
      <c r="V12" s="664" t="s">
        <v>14</v>
      </c>
      <c r="W12" s="665">
        <f t="shared" si="2"/>
        <v>100</v>
      </c>
      <c r="X12" s="666"/>
      <c r="Y12" s="334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424"/>
      <c r="Q13" s="530">
        <f t="shared" si="6"/>
        <v>111</v>
      </c>
      <c r="R13" s="664" t="s">
        <v>14</v>
      </c>
      <c r="S13" s="665">
        <f t="shared" si="0"/>
        <v>100</v>
      </c>
      <c r="T13" s="664" t="s">
        <v>14</v>
      </c>
      <c r="U13" s="665">
        <f t="shared" si="1"/>
        <v>100</v>
      </c>
      <c r="V13" s="664" t="s">
        <v>14</v>
      </c>
      <c r="W13" s="665">
        <f t="shared" si="2"/>
        <v>100</v>
      </c>
      <c r="X13" s="666"/>
      <c r="Y13" s="3347"/>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424"/>
      <c r="Q14" s="530">
        <f t="shared" si="6"/>
        <v>111</v>
      </c>
      <c r="R14" s="664" t="s">
        <v>14</v>
      </c>
      <c r="S14" s="665">
        <f t="shared" si="0"/>
        <v>100</v>
      </c>
      <c r="T14" s="664" t="s">
        <v>14</v>
      </c>
      <c r="U14" s="665">
        <f t="shared" si="1"/>
        <v>100</v>
      </c>
      <c r="V14" s="664" t="s">
        <v>14</v>
      </c>
      <c r="W14" s="665">
        <f t="shared" si="2"/>
        <v>100</v>
      </c>
      <c r="X14" s="666"/>
      <c r="Y14" s="3347"/>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17" t="s">
        <v>1691</v>
      </c>
      <c r="Q15" s="1263" t="str">
        <f t="shared" si="6"/>
        <v>产业集聚程度</v>
      </c>
      <c r="R15" s="667" t="s">
        <v>14</v>
      </c>
      <c r="S15" s="668">
        <f t="shared" si="0"/>
        <v>100</v>
      </c>
      <c r="T15" s="667" t="s">
        <v>14</v>
      </c>
      <c r="U15" s="668">
        <f t="shared" si="1"/>
        <v>100</v>
      </c>
      <c r="V15" s="667" t="s">
        <v>14</v>
      </c>
      <c r="W15" s="668">
        <f t="shared" si="2"/>
        <v>100</v>
      </c>
      <c r="X15" s="1265"/>
      <c r="Y15" s="341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8"/>
      <c r="M16" s="2483"/>
      <c r="N16" s="2483"/>
      <c r="O16" s="2538"/>
      <c r="P16" s="3418"/>
      <c r="Q16" s="1263"/>
      <c r="R16" s="667"/>
      <c r="S16" s="668"/>
      <c r="T16" s="667"/>
      <c r="U16" s="668"/>
      <c r="V16" s="667"/>
      <c r="W16" s="668"/>
      <c r="X16" s="1265"/>
      <c r="Y16" s="341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18"/>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8"/>
      <c r="M18" s="2483"/>
      <c r="N18" s="2483"/>
      <c r="O18" s="2538"/>
      <c r="P18" s="3418"/>
      <c r="Q18" s="1263"/>
      <c r="R18" s="667"/>
      <c r="S18" s="668"/>
      <c r="T18" s="667"/>
      <c r="U18" s="668"/>
      <c r="V18" s="667"/>
      <c r="W18" s="668"/>
      <c r="X18" s="1265"/>
      <c r="Y18" s="341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18"/>
      <c r="Q19" s="1263" t="str">
        <f t="shared" ref="Q19:Q33" si="8">B19</f>
        <v>区域土地利用方向</v>
      </c>
      <c r="R19" s="667" t="s">
        <v>14</v>
      </c>
      <c r="S19" s="668">
        <f>F19</f>
        <v>100</v>
      </c>
      <c r="T19" s="667" t="s">
        <v>14</v>
      </c>
      <c r="U19" s="668">
        <f>H19</f>
        <v>100</v>
      </c>
      <c r="V19" s="667" t="s">
        <v>14</v>
      </c>
      <c r="W19" s="668">
        <f>J19</f>
        <v>100</v>
      </c>
      <c r="X19" s="1265"/>
      <c r="Y19" s="341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8"/>
      <c r="M20" s="2483"/>
      <c r="N20" s="2483"/>
      <c r="O20" s="2538"/>
      <c r="P20" s="3418"/>
      <c r="Q20" s="1263"/>
      <c r="R20" s="667"/>
      <c r="S20" s="668"/>
      <c r="T20" s="667"/>
      <c r="U20" s="668"/>
      <c r="V20" s="667"/>
      <c r="W20" s="668"/>
      <c r="X20" s="1265"/>
      <c r="Y20" s="341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18"/>
      <c r="Q21" s="1263" t="str">
        <f t="shared" si="8"/>
        <v>环境状况</v>
      </c>
      <c r="R21" s="667" t="s">
        <v>14</v>
      </c>
      <c r="S21" s="668">
        <f>F21</f>
        <v>100</v>
      </c>
      <c r="T21" s="667" t="s">
        <v>14</v>
      </c>
      <c r="U21" s="668">
        <f>H21</f>
        <v>100</v>
      </c>
      <c r="V21" s="667" t="s">
        <v>14</v>
      </c>
      <c r="W21" s="668">
        <f>J21</f>
        <v>100</v>
      </c>
      <c r="X21" s="1265"/>
      <c r="Y21" s="341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8"/>
      <c r="M22" s="2483"/>
      <c r="N22" s="2483"/>
      <c r="O22" s="2538"/>
      <c r="P22" s="3418"/>
      <c r="Q22" s="1263"/>
      <c r="R22" s="667"/>
      <c r="S22" s="668"/>
      <c r="T22" s="667"/>
      <c r="U22" s="668"/>
      <c r="V22" s="667"/>
      <c r="W22" s="668"/>
      <c r="X22" s="1265"/>
      <c r="Y22" s="341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418"/>
      <c r="Q23" s="530" t="str">
        <f t="shared" si="8"/>
        <v>公共配套设施</v>
      </c>
      <c r="R23" s="664" t="s">
        <v>14</v>
      </c>
      <c r="S23" s="665">
        <f>F23</f>
        <v>100</v>
      </c>
      <c r="T23" s="664" t="s">
        <v>14</v>
      </c>
      <c r="U23" s="665">
        <f>H23</f>
        <v>100</v>
      </c>
      <c r="V23" s="664" t="s">
        <v>14</v>
      </c>
      <c r="W23" s="665">
        <f>J23</f>
        <v>100</v>
      </c>
      <c r="X23" s="666"/>
      <c r="Y23" s="341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4"/>
      <c r="M24" s="2436"/>
      <c r="N24" s="2436"/>
      <c r="O24" s="2536"/>
      <c r="P24" s="3418"/>
      <c r="Q24" s="530"/>
      <c r="R24" s="664"/>
      <c r="S24" s="665"/>
      <c r="T24" s="664"/>
      <c r="U24" s="665"/>
      <c r="V24" s="664"/>
      <c r="W24" s="665"/>
      <c r="X24" s="666"/>
      <c r="Y24" s="341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418"/>
      <c r="Q25" s="530" t="str">
        <f t="shared" ref="Q25" si="9">B25</f>
        <v>基础设施水平</v>
      </c>
      <c r="R25" s="664" t="s">
        <v>14</v>
      </c>
      <c r="S25" s="665">
        <f>F25</f>
        <v>100</v>
      </c>
      <c r="T25" s="664" t="s">
        <v>14</v>
      </c>
      <c r="U25" s="665">
        <f>H25</f>
        <v>100</v>
      </c>
      <c r="V25" s="664" t="s">
        <v>14</v>
      </c>
      <c r="W25" s="665">
        <f>J25</f>
        <v>100</v>
      </c>
      <c r="X25" s="666"/>
      <c r="Y25" s="341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4"/>
      <c r="M26" s="2436"/>
      <c r="N26" s="2436"/>
      <c r="O26" s="2536"/>
      <c r="P26" s="3418"/>
      <c r="Q26" s="530"/>
      <c r="R26" s="664"/>
      <c r="S26" s="665"/>
      <c r="T26" s="664"/>
      <c r="U26" s="665"/>
      <c r="V26" s="664"/>
      <c r="W26" s="665"/>
      <c r="X26" s="666"/>
      <c r="Y26" s="341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1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18"/>
      <c r="Q28" s="1263" t="str">
        <f t="shared" si="8"/>
        <v>毗邻道路的类型与等级</v>
      </c>
      <c r="R28" s="667" t="s">
        <v>14</v>
      </c>
      <c r="S28" s="668">
        <f t="shared" si="10"/>
        <v>100</v>
      </c>
      <c r="T28" s="667" t="s">
        <v>14</v>
      </c>
      <c r="U28" s="668">
        <f t="shared" si="11"/>
        <v>100</v>
      </c>
      <c r="V28" s="667" t="s">
        <v>14</v>
      </c>
      <c r="W28" s="668">
        <f t="shared" si="12"/>
        <v>100</v>
      </c>
      <c r="X28" s="1265"/>
      <c r="Y28" s="341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8"/>
      <c r="M29" s="2483"/>
      <c r="N29" s="2483"/>
      <c r="O29" s="2538"/>
      <c r="P29" s="3418"/>
      <c r="Q29" s="1263"/>
      <c r="R29" s="667"/>
      <c r="S29" s="668"/>
      <c r="T29" s="667"/>
      <c r="U29" s="668"/>
      <c r="V29" s="667"/>
      <c r="W29" s="668"/>
      <c r="X29" s="1265"/>
      <c r="Y29" s="341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18"/>
      <c r="Q30" s="1263" t="str">
        <f t="shared" si="8"/>
        <v>土地级别</v>
      </c>
      <c r="R30" s="667" t="s">
        <v>14</v>
      </c>
      <c r="S30" s="668">
        <f t="shared" si="10"/>
        <v>100</v>
      </c>
      <c r="T30" s="667" t="s">
        <v>14</v>
      </c>
      <c r="U30" s="668">
        <f t="shared" si="11"/>
        <v>100</v>
      </c>
      <c r="V30" s="667" t="s">
        <v>14</v>
      </c>
      <c r="W30" s="668">
        <f t="shared" si="12"/>
        <v>100</v>
      </c>
      <c r="X30" s="1265"/>
      <c r="Y30" s="341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18"/>
      <c r="Q31" s="1263">
        <f t="shared" si="8"/>
        <v>111</v>
      </c>
      <c r="R31" s="667" t="s">
        <v>14</v>
      </c>
      <c r="S31" s="668">
        <f t="shared" si="10"/>
        <v>100</v>
      </c>
      <c r="T31" s="667" t="s">
        <v>14</v>
      </c>
      <c r="U31" s="668">
        <f t="shared" si="11"/>
        <v>100</v>
      </c>
      <c r="V31" s="667" t="s">
        <v>14</v>
      </c>
      <c r="W31" s="668">
        <f t="shared" si="12"/>
        <v>100</v>
      </c>
      <c r="X31" s="1265"/>
      <c r="Y31" s="341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67" t="s">
        <v>1696</v>
      </c>
      <c r="Q32" s="1263">
        <f t="shared" si="8"/>
        <v>111</v>
      </c>
      <c r="R32" s="667" t="s">
        <v>14</v>
      </c>
      <c r="S32" s="668">
        <f t="shared" si="10"/>
        <v>100</v>
      </c>
      <c r="T32" s="667" t="s">
        <v>14</v>
      </c>
      <c r="U32" s="668">
        <f t="shared" si="11"/>
        <v>100</v>
      </c>
      <c r="V32" s="667" t="s">
        <v>14</v>
      </c>
      <c r="W32" s="668">
        <f t="shared" si="12"/>
        <v>100</v>
      </c>
      <c r="X32" s="1265"/>
      <c r="Y32" s="342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22"/>
      <c r="Q33" s="1263">
        <f t="shared" si="8"/>
        <v>111</v>
      </c>
      <c r="R33" s="669" t="s">
        <v>14</v>
      </c>
      <c r="S33" s="670">
        <f t="shared" si="10"/>
        <v>100</v>
      </c>
      <c r="T33" s="669" t="s">
        <v>14</v>
      </c>
      <c r="U33" s="670">
        <f t="shared" si="11"/>
        <v>100</v>
      </c>
      <c r="V33" s="669" t="s">
        <v>14</v>
      </c>
      <c r="W33" s="670">
        <f t="shared" si="12"/>
        <v>100</v>
      </c>
      <c r="X33" s="671"/>
      <c r="Y33" s="342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22"/>
      <c r="Q34" s="1263" t="str">
        <f>B34</f>
        <v>宗地面积</v>
      </c>
      <c r="R34" s="667" t="s">
        <v>14</v>
      </c>
      <c r="S34" s="668" t="e">
        <f t="shared" si="10"/>
        <v>#N/A</v>
      </c>
      <c r="T34" s="667" t="s">
        <v>14</v>
      </c>
      <c r="U34" s="668" t="e">
        <f t="shared" si="11"/>
        <v>#N/A</v>
      </c>
      <c r="V34" s="667" t="s">
        <v>14</v>
      </c>
      <c r="W34" s="668" t="e">
        <f t="shared" si="12"/>
        <v>#N/A</v>
      </c>
      <c r="X34" s="1265"/>
      <c r="Y34" s="342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8"/>
      <c r="M35" s="2483"/>
      <c r="N35" s="2483"/>
      <c r="O35" s="2538"/>
      <c r="P35" s="3422"/>
      <c r="Q35" s="1263" t="str">
        <f t="shared" ref="Q35:Q40" si="14">B35</f>
        <v>宗地形状</v>
      </c>
      <c r="R35" s="667" t="s">
        <v>14</v>
      </c>
      <c r="S35" s="668">
        <f t="shared" si="10"/>
        <v>100</v>
      </c>
      <c r="T35" s="667" t="s">
        <v>14</v>
      </c>
      <c r="U35" s="668">
        <f t="shared" si="11"/>
        <v>100</v>
      </c>
      <c r="V35" s="667" t="s">
        <v>14</v>
      </c>
      <c r="W35" s="668">
        <f t="shared" si="12"/>
        <v>100</v>
      </c>
      <c r="X35" s="1265"/>
      <c r="Y35" s="342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4"/>
      <c r="M36" s="2436"/>
      <c r="N36" s="2436"/>
      <c r="O36" s="2536"/>
      <c r="P36" s="3422"/>
      <c r="Q36" s="1263" t="str">
        <f t="shared" si="14"/>
        <v>宗地开发程度</v>
      </c>
      <c r="R36" s="664" t="s">
        <v>14</v>
      </c>
      <c r="S36" s="665">
        <f t="shared" si="10"/>
        <v>100</v>
      </c>
      <c r="T36" s="664" t="s">
        <v>14</v>
      </c>
      <c r="U36" s="665">
        <f t="shared" si="11"/>
        <v>100</v>
      </c>
      <c r="V36" s="664" t="s">
        <v>14</v>
      </c>
      <c r="W36" s="665">
        <f t="shared" si="12"/>
        <v>100</v>
      </c>
      <c r="X36" s="666"/>
      <c r="Y36" s="342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8"/>
      <c r="M37" s="2483"/>
      <c r="N37" s="2483"/>
      <c r="O37" s="2538"/>
      <c r="P37" s="3422" t="s">
        <v>1696</v>
      </c>
      <c r="Q37" s="1263" t="str">
        <f t="shared" si="14"/>
        <v>工程地质条件</v>
      </c>
      <c r="R37" s="667" t="s">
        <v>14</v>
      </c>
      <c r="S37" s="668">
        <f t="shared" si="10"/>
        <v>100</v>
      </c>
      <c r="T37" s="667" t="s">
        <v>14</v>
      </c>
      <c r="U37" s="668">
        <f t="shared" si="11"/>
        <v>100</v>
      </c>
      <c r="V37" s="667" t="s">
        <v>14</v>
      </c>
      <c r="W37" s="668">
        <f t="shared" si="12"/>
        <v>100</v>
      </c>
      <c r="X37" s="1265"/>
      <c r="Y37" s="342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22"/>
      <c r="Q38" s="1263">
        <f t="shared" si="14"/>
        <v>111</v>
      </c>
      <c r="R38" s="667" t="s">
        <v>14</v>
      </c>
      <c r="S38" s="668">
        <f t="shared" si="10"/>
        <v>100</v>
      </c>
      <c r="T38" s="667" t="s">
        <v>14</v>
      </c>
      <c r="U38" s="668">
        <f t="shared" si="11"/>
        <v>100</v>
      </c>
      <c r="V38" s="667" t="s">
        <v>14</v>
      </c>
      <c r="W38" s="668">
        <f t="shared" si="12"/>
        <v>100</v>
      </c>
      <c r="X38" s="1265"/>
      <c r="Y38" s="342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22"/>
      <c r="Q39" s="1263">
        <f t="shared" si="14"/>
        <v>111</v>
      </c>
      <c r="R39" s="667" t="s">
        <v>14</v>
      </c>
      <c r="S39" s="668">
        <f t="shared" si="10"/>
        <v>100</v>
      </c>
      <c r="T39" s="667" t="s">
        <v>14</v>
      </c>
      <c r="U39" s="668">
        <f t="shared" si="11"/>
        <v>100</v>
      </c>
      <c r="V39" s="667" t="s">
        <v>14</v>
      </c>
      <c r="W39" s="668">
        <f t="shared" si="12"/>
        <v>100</v>
      </c>
      <c r="X39" s="1265"/>
      <c r="Y39" s="342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22"/>
      <c r="Q40" s="1263">
        <f t="shared" si="14"/>
        <v>111</v>
      </c>
      <c r="R40" s="669" t="s">
        <v>14</v>
      </c>
      <c r="S40" s="670">
        <f t="shared" si="10"/>
        <v>100</v>
      </c>
      <c r="T40" s="669" t="s">
        <v>14</v>
      </c>
      <c r="U40" s="670">
        <f t="shared" si="11"/>
        <v>100</v>
      </c>
      <c r="V40" s="669" t="s">
        <v>14</v>
      </c>
      <c r="W40" s="670">
        <f t="shared" si="12"/>
        <v>100</v>
      </c>
      <c r="X40" s="671"/>
      <c r="Y40" s="342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0"/>
      <c r="M41" s="2483"/>
      <c r="N41" s="2483"/>
      <c r="O41" s="2483"/>
      <c r="P41" s="3424" t="str">
        <f>A41</f>
        <v>成交单价</v>
      </c>
      <c r="Q41" s="3424"/>
      <c r="R41" s="3412">
        <f>E41</f>
        <v>0</v>
      </c>
      <c r="S41" s="3412"/>
      <c r="T41" s="3412">
        <f>G41</f>
        <v>0</v>
      </c>
      <c r="U41" s="3412"/>
      <c r="V41" s="3412">
        <f>I41</f>
        <v>0</v>
      </c>
      <c r="W41" s="3412"/>
      <c r="X41" s="385"/>
      <c r="Y41" s="673"/>
      <c r="Z41" s="385"/>
      <c r="AA41" s="385"/>
      <c r="AB41" s="385"/>
      <c r="AC41" s="385"/>
    </row>
    <row r="42" spans="1:31" ht="15" thickBot="1">
      <c r="A42" s="423" t="s">
        <v>1793</v>
      </c>
      <c r="B42" s="603"/>
      <c r="C42" s="426" t="e">
        <f>R43</f>
        <v>#DIV/0!</v>
      </c>
      <c r="D42" s="2141" t="s">
        <v>2136</v>
      </c>
      <c r="E42" s="426" t="e">
        <f>R42</f>
        <v>#DIV/0!</v>
      </c>
      <c r="F42" s="2142"/>
      <c r="G42" s="425" t="e">
        <f>T42</f>
        <v>#DIV/0!</v>
      </c>
      <c r="H42" s="2142"/>
      <c r="I42" s="426" t="e">
        <f>V42</f>
        <v>#DIV/0!</v>
      </c>
      <c r="J42" s="2142"/>
      <c r="K42" s="2144">
        <f>F42+H42+J42</f>
        <v>0</v>
      </c>
      <c r="L42" s="2490"/>
      <c r="M42" s="2483"/>
      <c r="N42" s="2483"/>
      <c r="O42" s="2483"/>
      <c r="P42" s="3424" t="str">
        <f>A42</f>
        <v>比较价值（元/平方米）</v>
      </c>
      <c r="Q42" s="3424"/>
      <c r="R42" s="3469" t="e">
        <f>ROUND(PRODUCT(R41,AA7:AA40),0)</f>
        <v>#DIV/0!</v>
      </c>
      <c r="S42" s="3469"/>
      <c r="T42" s="3469" t="e">
        <f>ROUND(PRODUCT(T41,AB7:AB40),0)</f>
        <v>#DIV/0!</v>
      </c>
      <c r="U42" s="3469"/>
      <c r="V42" s="3469" t="e">
        <f>ROUND(PRODUCT(V41,AC7:AC40),0)</f>
        <v>#DIV/0!</v>
      </c>
      <c r="W42" s="346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0"/>
      <c r="M43" s="2483"/>
      <c r="N43" s="2483"/>
      <c r="O43" s="2483"/>
      <c r="P43" s="3458" t="str">
        <f>A43</f>
        <v>估价对象XX用房的比较价值（楼面单价，元/平方米）</v>
      </c>
      <c r="Q43" s="3459"/>
      <c r="R43" s="3470" t="e">
        <f>ROUND(IF(D42="简单平均",AVERAGE(R42:W42),R42*F42+T42*H42+V42*J42),0)</f>
        <v>#DIV/0!</v>
      </c>
      <c r="S43" s="3470"/>
      <c r="T43" s="3470"/>
      <c r="U43" s="3470"/>
      <c r="V43" s="3470"/>
      <c r="W43" s="3470"/>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1881</v>
      </c>
      <c r="B50" s="605" t="s">
        <v>1882</v>
      </c>
      <c r="C50" s="1831" t="s">
        <v>1883</v>
      </c>
      <c r="D50" s="1832" t="s">
        <v>1884</v>
      </c>
      <c r="E50" s="606" t="s">
        <v>1885</v>
      </c>
      <c r="F50" s="607" t="s">
        <v>1886</v>
      </c>
      <c r="G50" s="3399" t="s">
        <v>1887</v>
      </c>
      <c r="H50" s="3471"/>
      <c r="I50" s="1264" t="s">
        <v>1923</v>
      </c>
      <c r="J50" s="1264">
        <f>项目基本情况!F35</f>
        <v>0</v>
      </c>
      <c r="K50" s="1834"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90">
        <v>1</v>
      </c>
      <c r="E51" s="610">
        <f>'数据-汇总表'!E8+'数据-汇总表'!E9</f>
        <v>94.78</v>
      </c>
      <c r="F51" s="611" t="e">
        <f t="shared" ref="F51:F60" si="15">ROUND(B51*E51/10000,0)</f>
        <v>#DIV/0!</v>
      </c>
      <c r="G51" s="3395"/>
      <c r="H51" s="3424"/>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v>
      </c>
      <c r="D52" s="891">
        <v>0.25</v>
      </c>
      <c r="E52" s="614"/>
      <c r="F52" s="611" t="e">
        <f t="shared" si="15"/>
        <v>#DIV/0!</v>
      </c>
      <c r="G52" s="2746" t="s">
        <v>1892</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SUMIF(修正!A57:A68,H56,修正!E57:E68)</f>
        <v>0.25</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SUMIF(修正!A57:A68,H57,修正!F57:F68)</f>
        <v>0.25</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SUMIF(修正!A57:A68,H60,修正!G57:G68)</f>
        <v>0.15</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3"/>
      <c r="Q63" s="2483"/>
      <c r="R63" s="2483"/>
      <c r="S63" s="2483"/>
      <c r="T63" s="2483"/>
      <c r="U63" s="2483"/>
      <c r="V63" s="2483"/>
      <c r="W63" s="2483"/>
      <c r="X63" s="2483"/>
      <c r="Y63" s="2483"/>
      <c r="Z63" s="2483"/>
      <c r="AA63" s="2483"/>
      <c r="AB63" s="2483"/>
      <c r="AC63" s="2483"/>
      <c r="AD63" s="2483"/>
      <c r="AE63" s="2483"/>
    </row>
    <row r="64" spans="1:31" ht="22.2" thickBot="1">
      <c r="A64" s="658" t="s">
        <v>1798</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6"/>
      <c r="R66" s="2436"/>
      <c r="S66" s="2436"/>
      <c r="T66" s="2436"/>
      <c r="U66" s="2436"/>
      <c r="V66" s="2436"/>
      <c r="W66" s="2436"/>
      <c r="X66" s="2436"/>
      <c r="Y66" s="2436"/>
      <c r="Z66" s="2436"/>
      <c r="AA66" s="2436"/>
      <c r="AB66" s="2436"/>
      <c r="AC66" s="2436"/>
      <c r="AD66" s="2436"/>
      <c r="AE66" s="2436"/>
    </row>
    <row r="67" spans="1:31" s="102" customFormat="1" ht="1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4.4">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ht="14.4">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0"/>
      <c r="G1" s="2540"/>
      <c r="H1" s="2540"/>
      <c r="I1" s="2540"/>
      <c r="J1" s="2540"/>
      <c r="K1" s="2540"/>
      <c r="L1" s="2540"/>
      <c r="M1" s="2540"/>
      <c r="N1" s="2540"/>
      <c r="O1" s="2540"/>
      <c r="P1" s="2540"/>
    </row>
    <row r="2" spans="1:16" ht="15.6">
      <c r="A2" s="1984" t="s">
        <v>2073</v>
      </c>
      <c r="B2" s="2384">
        <f ca="1">SUMIF(B6:B13,"&lt;&gt;#ref!",B6:B13)</f>
        <v>73</v>
      </c>
      <c r="C2" s="1984" t="s">
        <v>2074</v>
      </c>
      <c r="D2" s="1984" t="s">
        <v>2075</v>
      </c>
      <c r="E2" s="2394">
        <f ca="1">SUMIF(E6:E13,"&lt;&gt;#ref!",E6:E13)</f>
        <v>94.78</v>
      </c>
      <c r="F2" s="2540"/>
      <c r="G2" s="2540"/>
      <c r="H2" s="2540"/>
      <c r="I2" s="2540"/>
      <c r="J2" s="2540"/>
      <c r="K2" s="2540"/>
      <c r="L2" s="2540"/>
      <c r="M2" s="2540"/>
      <c r="N2" s="2540"/>
      <c r="O2" s="2540"/>
      <c r="P2" s="2540"/>
    </row>
    <row r="3" spans="1:16" ht="15.6">
      <c r="A3" s="1984" t="s">
        <v>2076</v>
      </c>
      <c r="B3" s="2384">
        <f ca="1">ROUND(B2*10000/E2,0)</f>
        <v>7702</v>
      </c>
      <c r="C3" s="1984"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5"/>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73</v>
      </c>
      <c r="C6" s="1984" t="s">
        <v>2074</v>
      </c>
      <c r="D6" s="2540"/>
      <c r="E6" s="2394">
        <f ca="1">SUMIF(INDIRECT("'"&amp;A6&amp;"'"&amp;"!C:C"),"建筑面积",INDIRECT("'"&amp;A6&amp;"'"&amp;"!D:D"))</f>
        <v>94.78</v>
      </c>
      <c r="F6" s="2540"/>
      <c r="G6" s="2540"/>
      <c r="H6" s="2540"/>
      <c r="I6" s="2540"/>
      <c r="J6" s="2540"/>
      <c r="K6" s="2540"/>
      <c r="L6" s="2540"/>
      <c r="M6" s="2540"/>
      <c r="N6" s="2540"/>
      <c r="O6" s="2540"/>
      <c r="P6" s="2540"/>
    </row>
    <row r="7" spans="1:16" ht="15.6">
      <c r="A7" s="2391"/>
      <c r="B7" s="2384" t="e">
        <f ca="1">SUMIF(INDIRECT("'"&amp;A7&amp;"'"&amp;"!A:A"),"总价",INDIRECT("'"&amp;A7&amp;"'"&amp;"!B:B"))</f>
        <v>#REF!</v>
      </c>
      <c r="C7" s="1984"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4"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4"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4"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4"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4"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4"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19" sqref="J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1001</v>
      </c>
      <c r="C1" s="1717" t="s">
        <v>1563</v>
      </c>
      <c r="D1" s="190"/>
      <c r="E1" s="190"/>
      <c r="F1" s="190"/>
      <c r="G1" s="1062">
        <f>MATCH(B1,'数据-取费表'!A6:A16,0)+5</f>
        <v>6</v>
      </c>
      <c r="H1" s="998" t="str">
        <f>IF(ISERROR(FIND("住宅",B1)),"非住宅","住宅")</f>
        <v>非住宅</v>
      </c>
    </row>
    <row r="2" spans="1:8" s="192" customFormat="1" ht="18" customHeight="1">
      <c r="A2" s="193" t="s">
        <v>1462</v>
      </c>
      <c r="B2" s="3118">
        <f ca="1">ROUND(IF(D2="——",C52/10000,C52/10000-E2),4)</f>
        <v>149.06389999999999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15727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771021</v>
      </c>
      <c r="D5" s="203" t="s">
        <v>1469</v>
      </c>
      <c r="E5" s="204" t="s">
        <v>1470</v>
      </c>
      <c r="F5" s="204" t="s">
        <v>1471</v>
      </c>
      <c r="G5" s="205"/>
    </row>
    <row r="6" spans="1:8" s="206" customFormat="1" ht="13.5" customHeight="1">
      <c r="A6" s="732" t="s">
        <v>1472</v>
      </c>
      <c r="B6" s="207" t="s">
        <v>1473</v>
      </c>
      <c r="C6" s="208">
        <f>ROUND(基准地价修正!D33*基准地价修正!C33,0)</f>
        <v>729806</v>
      </c>
      <c r="D6" s="209"/>
      <c r="E6" s="210"/>
      <c r="F6" s="210"/>
      <c r="G6" s="211"/>
    </row>
    <row r="7" spans="1:8" s="206" customFormat="1" ht="13.5" customHeight="1">
      <c r="A7" s="732" t="s">
        <v>1474</v>
      </c>
      <c r="B7" s="207" t="s">
        <v>1475</v>
      </c>
      <c r="C7" s="212">
        <f>ROUND(C6*F7,0)</f>
        <v>22259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18956</v>
      </c>
      <c r="D8" s="214"/>
      <c r="E8" s="212"/>
      <c r="F8" s="213"/>
      <c r="G8" s="1714" t="s">
        <v>3534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18956</v>
      </c>
      <c r="D10" s="795">
        <f ca="1">IF(B1="",'数据-汇总表'!E6,IF(INDIRECT("'数据-取费表'!c"&amp;$G$1)="住宅",INDIRECT("'数据-取费表'!s"&amp;$G$1),INDIRECT("'数据-取费表'!k"&amp;$G$1)+INDIRECT("'数据-取费表'!s"&amp;$G$1)))</f>
        <v>94.78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94.78</v>
      </c>
      <c r="E19" s="203">
        <f>'数据-取费表'!B31</f>
        <v>200</v>
      </c>
      <c r="F19" s="223"/>
      <c r="G19" s="1714" t="s">
        <v>3535</v>
      </c>
    </row>
    <row r="20" spans="1:7" s="206" customFormat="1" ht="13.5" customHeight="1">
      <c r="A20" s="247" t="s">
        <v>1574</v>
      </c>
      <c r="B20" s="202" t="s">
        <v>1575</v>
      </c>
      <c r="C20" s="224">
        <f ca="1">ROUND((C5+C19)*F20,0)</f>
        <v>15420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47418</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46955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463</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117966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117966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1031118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424614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379120</v>
      </c>
      <c r="D34" s="209"/>
      <c r="E34" s="212"/>
      <c r="F34" s="249"/>
      <c r="G34" s="211"/>
    </row>
    <row r="35" spans="1:7" ht="13.5" customHeight="1">
      <c r="A35" s="734" t="s">
        <v>351</v>
      </c>
      <c r="B35" s="207" t="s">
        <v>1527</v>
      </c>
      <c r="C35" s="212">
        <f ca="1">ROUND(C34*F35,0)</f>
        <v>18956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18956</v>
      </c>
      <c r="D37" s="209">
        <f ca="1">D19</f>
        <v>94.78</v>
      </c>
      <c r="E37" s="241">
        <f>'数据-取费表'!B35</f>
        <v>200</v>
      </c>
      <c r="F37" s="251"/>
      <c r="G37" s="253"/>
    </row>
    <row r="38" spans="1:7" ht="13.5" customHeight="1">
      <c r="A38" s="734" t="s">
        <v>354</v>
      </c>
      <c r="B38" s="207" t="s">
        <v>1533</v>
      </c>
      <c r="C38" s="212">
        <f ca="1">ROUND(C34*F38,0)</f>
        <v>7582</v>
      </c>
      <c r="D38" s="212"/>
      <c r="E38" s="212"/>
      <c r="F38" s="251">
        <f>'数据-取费表'!B36</f>
        <v>0.02</v>
      </c>
      <c r="G38" s="211" t="s">
        <v>1528</v>
      </c>
    </row>
    <row r="39" spans="1:7" s="206" customFormat="1" ht="13.5" customHeight="1">
      <c r="A39" s="247" t="s">
        <v>1534</v>
      </c>
      <c r="B39" s="202" t="s">
        <v>1535</v>
      </c>
      <c r="C39" s="224">
        <f ca="1">ROUND(C33*F20,0)</f>
        <v>8492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12993</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12738</v>
      </c>
      <c r="D42" s="230"/>
      <c r="E42" s="230"/>
      <c r="F42" s="231"/>
      <c r="G42" s="3371" t="s">
        <v>1591</v>
      </c>
    </row>
    <row r="43" spans="1:7" ht="13.5" customHeight="1">
      <c r="A43" s="734" t="s">
        <v>347</v>
      </c>
      <c r="B43" s="207" t="s">
        <v>1545</v>
      </c>
      <c r="C43" s="230">
        <f ca="1">ROUND(IF('数据-取费表'!B22&lt;=1,C39*F22*'数据-取费表'!B20/2,C39*(POWER((1+F22),'数据-取费表'!B20/2)-1)),0)</f>
        <v>255</v>
      </c>
      <c r="D43" s="230"/>
      <c r="E43" s="230"/>
      <c r="F43" s="231"/>
      <c r="G43" s="3372"/>
    </row>
    <row r="44" spans="1:7" ht="13.5" customHeight="1">
      <c r="A44" s="734" t="s">
        <v>348</v>
      </c>
      <c r="B44" s="207" t="s">
        <v>1546</v>
      </c>
      <c r="C44" s="230">
        <f ca="1">ROUND(IF('数据-取费表'!B22&lt;=1,C40*F22*'数据-取费表'!B20/2,C40*(POWER((1+F22),'数据-取费表'!B20/2)-1)),4)</f>
        <v>5.9999999999999995E-4</v>
      </c>
      <c r="D44" s="230"/>
      <c r="E44" s="230"/>
      <c r="F44" s="231"/>
      <c r="G44" s="3373"/>
    </row>
    <row r="45" spans="1:7" s="206" customFormat="1" ht="13.5" customHeight="1">
      <c r="A45" s="247" t="s">
        <v>1547</v>
      </c>
      <c r="B45" s="236" t="s">
        <v>1513</v>
      </c>
      <c r="C45" s="237">
        <f ca="1">C46</f>
        <v>64966</v>
      </c>
      <c r="D45" s="227">
        <f ca="1">C47</f>
        <v>3.0000000000000001E-3</v>
      </c>
      <c r="E45" s="228" t="s">
        <v>1539</v>
      </c>
      <c r="F45" s="238">
        <f ca="1">F27</f>
        <v>0.15</v>
      </c>
      <c r="G45" s="239" t="s">
        <v>1548</v>
      </c>
    </row>
    <row r="46" spans="1:7" s="206" customFormat="1" ht="13.5" customHeight="1">
      <c r="A46" s="734" t="s">
        <v>346</v>
      </c>
      <c r="B46" s="240" t="s">
        <v>1549</v>
      </c>
      <c r="C46" s="241">
        <f ca="1">ROUND((C33+C39)*F27,0)</f>
        <v>64966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553640</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459521</v>
      </c>
      <c r="D51" s="224"/>
      <c r="E51" s="224"/>
      <c r="F51" s="256"/>
      <c r="G51" s="226" t="s">
        <v>1560</v>
      </c>
    </row>
    <row r="52" spans="1:7" s="200" customFormat="1" ht="16.8" thickBot="1">
      <c r="A52" s="257" t="s">
        <v>1561</v>
      </c>
      <c r="B52" s="258"/>
      <c r="C52" s="259">
        <f ca="1">C31+C51</f>
        <v>1490639</v>
      </c>
      <c r="D52" s="258"/>
      <c r="E52" s="258"/>
      <c r="F52" s="258"/>
      <c r="G52" s="260"/>
    </row>
    <row r="55" spans="1:7" ht="15">
      <c r="B55" s="262" t="s">
        <v>1562</v>
      </c>
      <c r="C55" s="263"/>
    </row>
    <row r="56" spans="1:7">
      <c r="B56" s="265" t="s">
        <v>802</v>
      </c>
      <c r="C56" s="267">
        <f ca="1">1-C57</f>
        <v>0.69199999999999995</v>
      </c>
    </row>
    <row r="57" spans="1:7">
      <c r="B57" s="265" t="s">
        <v>803</v>
      </c>
      <c r="C57" s="266">
        <f ca="1">ROUND(C51/C52,3)</f>
        <v>0.308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4" zoomScaleNormal="80" zoomScaleSheetLayoutView="100" workbookViewId="0">
      <selection activeCell="G61" sqref="G61:G69"/>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94.78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73</v>
      </c>
      <c r="C2" s="1846" t="s">
        <v>1935</v>
      </c>
      <c r="D2" s="162" t="s">
        <v>1936</v>
      </c>
      <c r="E2" s="3116"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Ⅶ-房1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59">
        <f>ROUND(SUMPRODUCT((B106:B110=R2)*(C105:N105=G2)*(C106:N110)),4)</f>
        <v>1.5019</v>
      </c>
      <c r="T2" s="3059">
        <f t="shared" ref="T2:T16" si="0">ROUND($C$5*$C$22*$C$23*$C$24*S2*$C$28,0)</f>
        <v>12007</v>
      </c>
      <c r="U2" s="1130"/>
      <c r="V2" s="3059">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7702</v>
      </c>
      <c r="C3" s="1846" t="s">
        <v>1941</v>
      </c>
      <c r="D3" s="162" t="s">
        <v>1942</v>
      </c>
      <c r="E3" s="3114" t="s">
        <v>3520</v>
      </c>
      <c r="F3" s="1848" t="s">
        <v>3521</v>
      </c>
      <c r="G3" s="708">
        <f>IF(F3="宗地容积率",'数据-汇总表'!I4,IF(F3="估价对象容积率",'数据-汇总表'!I6,'数据-汇总表'!I7))</f>
        <v>3</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59">
        <f>ROUND(SUMPRODUCT((B106:B110=R3)*(C105:N105=G2)*(C106:N110)),4)</f>
        <v>1.1838</v>
      </c>
      <c r="T3" s="3059">
        <f t="shared" si="0"/>
        <v>9464</v>
      </c>
      <c r="U3" s="1130"/>
      <c r="V3" s="3059">
        <f t="shared" ref="V3:V16" si="1">ROUND(T3*U3/10000,0)</f>
        <v>0</v>
      </c>
      <c r="W3" s="1133"/>
      <c r="X3" s="1133"/>
      <c r="Y3" s="1133"/>
      <c r="Z3" s="1133"/>
      <c r="AA3" s="1133"/>
      <c r="AB3" s="1133"/>
      <c r="AC3" s="1134"/>
      <c r="AD3" s="1135"/>
      <c r="AE3" s="1135"/>
      <c r="AF3" s="1135"/>
      <c r="AG3" s="1135"/>
      <c r="AH3" s="1135"/>
      <c r="AI3" s="1135"/>
      <c r="AJ3" s="1136"/>
    </row>
    <row r="4" spans="1:36" ht="15.6">
      <c r="A4" s="3483"/>
      <c r="B4" s="3484"/>
      <c r="C4" s="3484"/>
      <c r="D4" s="3485"/>
      <c r="E4" s="3485"/>
      <c r="F4" s="3485"/>
      <c r="G4" s="3485"/>
      <c r="H4" s="3485"/>
      <c r="I4" s="3485"/>
      <c r="J4" s="348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59">
        <f>ROUND(SUMPRODUCT((B106:B110=R4)*(C105:N105=G2)*(C106:N110)),4)</f>
        <v>1.0004999999999999</v>
      </c>
      <c r="T4" s="3059">
        <f t="shared" si="0"/>
        <v>7999</v>
      </c>
      <c r="U4" s="1130"/>
      <c r="V4" s="3059">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8374</v>
      </c>
      <c r="D5" s="1252">
        <f>ROUND(C6*C17+C20,0)</f>
        <v>8374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59">
        <f>ROUND(SUMPRODUCT((B106:B110=R5)*(C105:N105=G2)*(C106:N110)),4)</f>
        <v>0.88239999999999996</v>
      </c>
      <c r="T5" s="3059">
        <f t="shared" si="0"/>
        <v>7054</v>
      </c>
      <c r="U5" s="1130"/>
      <c r="V5" s="3059">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8390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59">
        <f>ROUND(SUMPRODUCT((B106:B110=R6)*(C105:N105=G2)*(C106:N110)),4)</f>
        <v>0.84799999999999998</v>
      </c>
      <c r="T6" s="3059">
        <f t="shared" si="0"/>
        <v>6779</v>
      </c>
      <c r="U6" s="1130"/>
      <c r="V6" s="3059">
        <f t="shared" si="1"/>
        <v>0</v>
      </c>
      <c r="W6" s="1133"/>
      <c r="X6" s="1133"/>
      <c r="Y6" s="1133"/>
      <c r="Z6" s="1133"/>
      <c r="AA6" s="1133"/>
      <c r="AB6" s="1133"/>
      <c r="AC6" s="1855"/>
      <c r="AD6" s="1856"/>
      <c r="AE6" s="1856"/>
      <c r="AF6" s="1856"/>
      <c r="AG6" s="1856"/>
      <c r="AH6" s="1856"/>
      <c r="AI6" s="1856"/>
      <c r="AJ6" s="1857"/>
    </row>
    <row r="7" spans="1:36" ht="24.6" thickBot="1">
      <c r="A7" s="3008" t="s">
        <v>3235</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8390</v>
      </c>
      <c r="N7" s="813">
        <f>SUMPRODUCT((因素修正幅度!B190:B233=I2)*(因素修正幅度!C3:G3=E2)*(因素修正幅度!C190:G233))</f>
        <v>0.13</v>
      </c>
      <c r="O7" s="1056"/>
      <c r="P7" s="1056"/>
      <c r="Q7" s="1056"/>
      <c r="R7" s="1129">
        <v>6</v>
      </c>
      <c r="S7" s="3113"/>
      <c r="T7" s="3059">
        <f t="shared" si="0"/>
        <v>0</v>
      </c>
      <c r="U7" s="1130"/>
      <c r="V7" s="3059">
        <f t="shared" si="1"/>
        <v>0</v>
      </c>
      <c r="W7" s="1267" t="s">
        <v>1955</v>
      </c>
      <c r="X7" s="1131" t="str">
        <f>G2</f>
        <v>七级</v>
      </c>
      <c r="Y7" s="1131" t="s">
        <v>1956</v>
      </c>
      <c r="Z7" s="1132">
        <f>G3</f>
        <v>3</v>
      </c>
      <c r="AA7" s="1133"/>
      <c r="AB7" s="1133"/>
      <c r="AC7" s="1134"/>
      <c r="AD7" s="1135"/>
      <c r="AE7" s="1135"/>
      <c r="AF7" s="1135"/>
      <c r="AG7" s="1135"/>
      <c r="AH7" s="1135"/>
      <c r="AI7" s="1135"/>
      <c r="AJ7" s="1136"/>
    </row>
    <row r="8" spans="1:36" ht="15">
      <c r="A8" s="3005"/>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59">
        <f t="shared" si="0"/>
        <v>0</v>
      </c>
      <c r="U8" s="1130"/>
      <c r="V8" s="3059">
        <f t="shared" si="1"/>
        <v>0</v>
      </c>
      <c r="W8" s="3480" t="s">
        <v>1960</v>
      </c>
      <c r="X8" s="348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5"/>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59">
        <f t="shared" si="0"/>
        <v>0</v>
      </c>
      <c r="U9" s="1130"/>
      <c r="V9" s="3059">
        <f t="shared" si="1"/>
        <v>0</v>
      </c>
      <c r="W9" s="3482"/>
      <c r="X9" s="3060" t="s">
        <v>3265</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9">
        <f t="shared" si="0"/>
        <v>0</v>
      </c>
      <c r="U10" s="1130"/>
      <c r="V10" s="3059">
        <f t="shared" si="1"/>
        <v>0</v>
      </c>
      <c r="W10" s="3482"/>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9">
        <f t="shared" si="0"/>
        <v>0</v>
      </c>
      <c r="U11" s="1130"/>
      <c r="V11" s="3059">
        <f t="shared" si="1"/>
        <v>0</v>
      </c>
      <c r="W11" s="1133"/>
      <c r="X11" s="1133"/>
      <c r="Y11" s="1133"/>
      <c r="Z11" s="1133"/>
      <c r="AA11" s="1133"/>
      <c r="AB11" s="1133"/>
      <c r="AC11" s="1134"/>
      <c r="AD11" s="2549"/>
      <c r="AE11" s="2549"/>
      <c r="AF11" s="2549"/>
      <c r="AG11" s="2549"/>
      <c r="AH11" s="2549"/>
      <c r="AI11" s="2549"/>
      <c r="AJ11" s="2550"/>
    </row>
    <row r="12" spans="1:36" ht="25.8" thickBot="1">
      <c r="A12" s="3008" t="s">
        <v>3236</v>
      </c>
      <c r="B12" s="3009" t="s">
        <v>3237</v>
      </c>
      <c r="C12" s="3010">
        <v>1</v>
      </c>
      <c r="D12" s="3011" t="s">
        <v>3238</v>
      </c>
      <c r="E12" s="3012" t="s">
        <v>3239</v>
      </c>
      <c r="F12" s="3013"/>
      <c r="G12" s="3014"/>
      <c r="H12" s="3014"/>
      <c r="I12" s="3014"/>
      <c r="J12" s="3015"/>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9">
        <f t="shared" si="0"/>
        <v>0</v>
      </c>
      <c r="U12" s="1130"/>
      <c r="V12" s="3059">
        <f t="shared" si="1"/>
        <v>0</v>
      </c>
      <c r="W12" s="1133"/>
      <c r="X12" s="1133"/>
      <c r="Y12" s="1133"/>
      <c r="Z12" s="1133"/>
      <c r="AA12" s="1133"/>
      <c r="AB12" s="1133"/>
      <c r="AC12" s="1134"/>
      <c r="AD12" s="2549"/>
      <c r="AE12" s="2549"/>
      <c r="AF12" s="2549"/>
      <c r="AG12" s="2549"/>
      <c r="AH12" s="2549"/>
      <c r="AI12" s="2549"/>
      <c r="AJ12" s="2550"/>
    </row>
    <row r="13" spans="1:36" ht="24.6" thickBot="1">
      <c r="A13" s="3008" t="s">
        <v>3240</v>
      </c>
      <c r="B13" s="1878" t="s">
        <v>1982</v>
      </c>
      <c r="C13" s="711">
        <f>ROUND(C16*D16*E16*F16*G16*H16*I16*J16,4)</f>
        <v>0</v>
      </c>
      <c r="D13" s="1879" t="s">
        <v>1983</v>
      </c>
      <c r="E13" s="1880"/>
      <c r="F13" s="1880"/>
      <c r="G13" s="1881"/>
      <c r="H13" s="1881"/>
      <c r="I13" s="1881"/>
      <c r="J13" s="1882"/>
      <c r="K13" s="1056"/>
      <c r="L13" s="3"/>
      <c r="M13" s="4"/>
      <c r="N13" s="3006"/>
      <c r="O13" s="1056"/>
      <c r="P13" s="1056"/>
      <c r="Q13" s="1056"/>
      <c r="R13" s="1129">
        <v>12</v>
      </c>
      <c r="S13" s="1130"/>
      <c r="T13" s="3059">
        <f t="shared" si="0"/>
        <v>0</v>
      </c>
      <c r="U13" s="1130"/>
      <c r="V13" s="3059">
        <f t="shared" si="1"/>
        <v>0</v>
      </c>
      <c r="W13" s="1133"/>
      <c r="X13" s="1133"/>
      <c r="Y13" s="1133"/>
      <c r="Z13" s="1133"/>
      <c r="AA13" s="1133"/>
      <c r="AB13" s="1133"/>
      <c r="AC13" s="1134"/>
      <c r="AD13" s="2549"/>
      <c r="AE13" s="2549"/>
      <c r="AF13" s="2549"/>
      <c r="AG13" s="2549"/>
      <c r="AH13" s="2549"/>
      <c r="AI13" s="2549"/>
      <c r="AJ13" s="2550"/>
    </row>
    <row r="14" spans="1:36" ht="24">
      <c r="A14" s="3004"/>
      <c r="B14" s="1883" t="s">
        <v>1985</v>
      </c>
      <c r="C14" s="1884" t="s">
        <v>1986</v>
      </c>
      <c r="D14" s="1261" t="s">
        <v>1987</v>
      </c>
      <c r="E14" s="27" t="s">
        <v>1988</v>
      </c>
      <c r="F14" s="3016" t="s">
        <v>3241</v>
      </c>
      <c r="G14" s="3016" t="s">
        <v>3241</v>
      </c>
      <c r="H14" s="3016" t="s">
        <v>3241</v>
      </c>
      <c r="I14" s="3016" t="s">
        <v>3241</v>
      </c>
      <c r="J14" s="3016" t="s">
        <v>3241</v>
      </c>
      <c r="K14" s="1056"/>
      <c r="L14" s="1056"/>
      <c r="M14" s="1056"/>
      <c r="N14" s="1056"/>
      <c r="O14" s="1056"/>
      <c r="P14" s="1056"/>
      <c r="Q14" s="1056"/>
      <c r="R14" s="1129">
        <v>13</v>
      </c>
      <c r="S14" s="1130"/>
      <c r="T14" s="3059">
        <f t="shared" si="0"/>
        <v>0</v>
      </c>
      <c r="U14" s="1130"/>
      <c r="V14" s="3059">
        <f t="shared" si="1"/>
        <v>0</v>
      </c>
      <c r="W14" s="1133"/>
      <c r="X14" s="1133"/>
      <c r="Y14" s="1133"/>
      <c r="Z14" s="1133"/>
      <c r="AA14" s="1133"/>
      <c r="AB14" s="1133"/>
      <c r="AC14" s="1134"/>
      <c r="AD14" s="2549"/>
      <c r="AE14" s="2549"/>
      <c r="AF14" s="2549"/>
      <c r="AG14" s="2549"/>
      <c r="AH14" s="2549"/>
      <c r="AI14" s="2549"/>
      <c r="AJ14" s="2550"/>
    </row>
    <row r="15" spans="1:36" ht="15">
      <c r="A15" s="3004"/>
      <c r="B15" s="1885"/>
      <c r="C15" s="1886"/>
      <c r="D15" s="1887"/>
      <c r="E15" s="1888"/>
      <c r="F15" s="1470" t="s">
        <v>3242</v>
      </c>
      <c r="G15" s="1928"/>
      <c r="H15" s="3017"/>
      <c r="I15" s="3018"/>
      <c r="J15" s="3019"/>
      <c r="K15" s="1056"/>
      <c r="L15" s="1056"/>
      <c r="M15" s="1056"/>
      <c r="N15" s="1056"/>
      <c r="O15" s="1056"/>
      <c r="P15" s="1056"/>
      <c r="Q15" s="1056"/>
      <c r="R15" s="1129">
        <v>14</v>
      </c>
      <c r="S15" s="1130"/>
      <c r="T15" s="3059">
        <f t="shared" si="0"/>
        <v>0</v>
      </c>
      <c r="U15" s="1130"/>
      <c r="V15" s="3059">
        <f t="shared" si="1"/>
        <v>0</v>
      </c>
      <c r="W15" s="1133"/>
      <c r="X15" s="1133"/>
      <c r="Y15" s="1133"/>
      <c r="Z15" s="1133"/>
      <c r="AA15" s="1133"/>
      <c r="AB15" s="1133"/>
      <c r="AC15" s="1134"/>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6"/>
      <c r="L16" s="1844"/>
      <c r="M16" s="1844"/>
      <c r="N16" s="1844"/>
      <c r="O16" s="1844"/>
      <c r="P16" s="1844"/>
      <c r="Q16" s="1056"/>
      <c r="R16" s="1129">
        <v>15</v>
      </c>
      <c r="S16" s="1130"/>
      <c r="T16" s="3059">
        <f t="shared" si="0"/>
        <v>0</v>
      </c>
      <c r="U16" s="1130"/>
      <c r="V16" s="3059">
        <f t="shared" si="1"/>
        <v>0</v>
      </c>
      <c r="W16" s="1133"/>
      <c r="X16" s="1133"/>
      <c r="Y16" s="1133"/>
      <c r="Z16" s="1133"/>
      <c r="AA16" s="1133"/>
      <c r="AB16" s="1133"/>
      <c r="AC16" s="1134"/>
      <c r="AD16" s="2549"/>
      <c r="AE16" s="2549"/>
      <c r="AF16" s="2549"/>
      <c r="AG16" s="2549"/>
      <c r="AH16" s="2549"/>
      <c r="AI16" s="2549"/>
      <c r="AJ16" s="2550"/>
    </row>
    <row r="17" spans="1:37" ht="24">
      <c r="A17" s="3031" t="s">
        <v>3243</v>
      </c>
      <c r="B17" s="3023" t="s">
        <v>3244</v>
      </c>
      <c r="C17" s="3032">
        <f>ROUND(IF(OR(E2="工业",E2="公共服务"),1,IF(AND(E18=0,E19=0),1,IF(AND(E18=J24,E19=G19),0.8,IF(E19=0,1+E17*(-0.2),1+E17*G17*(-0.2))))),4)</f>
        <v>1</v>
      </c>
      <c r="D17" s="3024" t="s">
        <v>3245</v>
      </c>
      <c r="E17" s="3032">
        <f>ROUND(G18/I18,2)</f>
        <v>0</v>
      </c>
      <c r="F17" s="3024" t="s">
        <v>3248</v>
      </c>
      <c r="G17" s="3032" t="e">
        <f>ROUND(E19/G19,2)</f>
        <v>#DIV/0!</v>
      </c>
      <c r="H17" s="3032"/>
      <c r="I17" s="3032"/>
      <c r="J17" s="3033"/>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4"/>
      <c r="B18" s="2309"/>
      <c r="C18" s="3030"/>
      <c r="D18" s="3025" t="s">
        <v>3246</v>
      </c>
      <c r="E18" s="2353"/>
      <c r="F18" s="3026" t="s">
        <v>3249</v>
      </c>
      <c r="G18" s="3030">
        <f>ROUND(1-(1/(POWER(1+G24,E18))),4)</f>
        <v>0</v>
      </c>
      <c r="H18" s="3026" t="s">
        <v>3251</v>
      </c>
      <c r="I18" s="3030">
        <f>ROUND(1-(1/(POWER(1+G24,J24))),4)</f>
        <v>0.93120000000000003</v>
      </c>
      <c r="J18" s="3035"/>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8"/>
    </row>
    <row r="19" spans="1:37" s="1858" customFormat="1" ht="14.4" thickBot="1">
      <c r="A19" s="3036"/>
      <c r="B19" s="3037"/>
      <c r="C19" s="3038"/>
      <c r="D19" s="3038" t="s">
        <v>3247</v>
      </c>
      <c r="E19" s="3039"/>
      <c r="F19" s="3040" t="s">
        <v>3250</v>
      </c>
      <c r="G19" s="3039"/>
      <c r="H19" s="3038"/>
      <c r="I19" s="3038"/>
      <c r="J19" s="3041"/>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1"/>
      <c r="AH19" s="1980"/>
      <c r="AI19" s="561"/>
      <c r="AJ19" s="561"/>
      <c r="AK19" s="1899"/>
    </row>
    <row r="20" spans="1:37" s="1858" customFormat="1" ht="13.8">
      <c r="A20" s="3487" t="s">
        <v>3252</v>
      </c>
      <c r="B20" s="159" t="s">
        <v>1994</v>
      </c>
      <c r="C20" s="3027">
        <f>ROUND(IF(F21="与级别开发程度一致",0,(G21-E21)/C21),0)</f>
        <v>-16</v>
      </c>
      <c r="D20" s="3042" t="s">
        <v>1998</v>
      </c>
      <c r="E20" s="3043"/>
      <c r="F20" s="3493" t="s">
        <v>1995</v>
      </c>
      <c r="G20" s="3494"/>
      <c r="H20" s="3028" t="s">
        <v>3523</v>
      </c>
      <c r="I20" s="3028" t="s">
        <v>3524</v>
      </c>
      <c r="J20" s="3029" t="s">
        <v>3525</v>
      </c>
      <c r="K20" s="1889" t="s">
        <v>3526</v>
      </c>
      <c r="L20" s="1889" t="s">
        <v>3527</v>
      </c>
      <c r="M20" s="1889" t="s">
        <v>3528</v>
      </c>
      <c r="N20" s="1889" t="s">
        <v>3529</v>
      </c>
      <c r="O20" s="1890"/>
      <c r="P20" s="1844"/>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8" customFormat="1" ht="27" thickBot="1">
      <c r="A21" s="3488"/>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3522</v>
      </c>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15</v>
      </c>
      <c r="O21" s="2005">
        <f>SUMPRODUCT((七通一平=O20)*(修正!B1:M1=G2)*(修正!B8:M16))</f>
        <v>0</v>
      </c>
      <c r="P21" s="1844"/>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8" customFormat="1" ht="15" thickBot="1">
      <c r="A22" s="1996" t="s">
        <v>363</v>
      </c>
      <c r="B22" s="1997" t="s">
        <v>2000</v>
      </c>
      <c r="C22" s="1998">
        <f>SUMIF(修正!C20:C51,E3,修正!E20:E51)</f>
        <v>1</v>
      </c>
      <c r="D22" s="1999"/>
      <c r="E22" s="2000"/>
      <c r="F22" s="2000"/>
      <c r="G22" s="2000"/>
      <c r="H22" s="2000"/>
      <c r="I22" s="2000"/>
      <c r="J22" s="2001"/>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1896" t="s">
        <v>2002</v>
      </c>
      <c r="E23" s="717">
        <v>44197</v>
      </c>
      <c r="F23" s="1896" t="s">
        <v>2003</v>
      </c>
      <c r="G23" s="718">
        <f>'数据-取费表'!B2</f>
        <v>45828</v>
      </c>
      <c r="H23" s="3044" t="s">
        <v>3253</v>
      </c>
      <c r="I23" s="3045" t="str">
        <f>IF(H23="季度增幅（自定义）",SUMIF(N25:N28,E2,O25:O28),"")</f>
        <v/>
      </c>
      <c r="J23" s="3137" t="s">
        <v>3530</v>
      </c>
      <c r="K23" s="1061"/>
      <c r="L23" s="1897" t="s">
        <v>2004</v>
      </c>
      <c r="M23" s="1241">
        <f>ROUND(SUMIF(地价!B2:G2,E2,地价!B16:G16),0)</f>
        <v>350</v>
      </c>
      <c r="N23" s="1898" t="s">
        <v>2005</v>
      </c>
      <c r="O23" s="719">
        <f>ROUNDDOWN(DATEDIF(E23,G23,"M")/3,0)</f>
        <v>17</v>
      </c>
      <c r="P23" s="1057"/>
      <c r="Q23" s="2548"/>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0.93220000000000003</v>
      </c>
      <c r="D24" s="1902" t="s">
        <v>2007</v>
      </c>
      <c r="E24" s="1248">
        <f>存贷款利率!E28/100</f>
        <v>4.3499999999999997E-2</v>
      </c>
      <c r="F24" s="1902" t="s">
        <v>1999</v>
      </c>
      <c r="G24" s="724">
        <f>SUMIF(M30:Q30,E2,M33:Q33)</f>
        <v>5.5E-2</v>
      </c>
      <c r="H24" s="1902" t="s">
        <v>2008</v>
      </c>
      <c r="I24" s="725">
        <f>SUMIF('数据-取费表'!C6:C15,E2,'数据-取费表'!F6:F15)/COUNTIF('数据-取费表'!C6:C15,E2)</f>
        <v>37.83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4.4">
      <c r="A25" s="1907" t="s">
        <v>366</v>
      </c>
      <c r="B25" s="1908" t="s">
        <v>3332</v>
      </c>
      <c r="C25" s="461">
        <f>IF(B25="容积率修正",IF(G3&lt;10,D26,J26),C27)</f>
        <v>0.96309999999999996</v>
      </c>
      <c r="D25" s="1909"/>
      <c r="E25" s="1909"/>
      <c r="F25" s="1909"/>
      <c r="G25" s="1909"/>
      <c r="H25" s="1909"/>
      <c r="I25" s="1909"/>
      <c r="J25" s="1910"/>
      <c r="K25" s="1061"/>
      <c r="L25" s="2548"/>
      <c r="M25" s="2548"/>
      <c r="N25" s="1911" t="s">
        <v>2013</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3254</v>
      </c>
      <c r="D26" s="1263">
        <f>IF(E26=G26,F26,IF(G3&lt;10,ROUND(F26+(H26-F26)*(G3-E26)/(G26-E26),4),"——"))</f>
        <v>0.96309999999999996</v>
      </c>
      <c r="E26" s="708">
        <f>ROUNDDOWN(G3,1)</f>
        <v>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08">
        <f>ROUNDUP(G3,1)</f>
        <v>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1912" t="s">
        <v>3255</v>
      </c>
      <c r="J26" s="374" t="str">
        <f>IF(G3&gt;=10,D115,"——")</f>
        <v>——</v>
      </c>
      <c r="K26" s="1061"/>
      <c r="L26" s="2548"/>
      <c r="M26" s="2548"/>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1.0167999999999999</v>
      </c>
      <c r="D28" s="1894"/>
      <c r="E28" s="1919"/>
      <c r="F28" s="1919"/>
      <c r="G28" s="1919"/>
      <c r="H28" s="1919"/>
      <c r="I28" s="1919"/>
      <c r="J28" s="1920"/>
      <c r="K28" s="1061"/>
      <c r="L28" s="2548"/>
      <c r="M28" s="2548"/>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5" t="s">
        <v>2023</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73</v>
      </c>
      <c r="D30" s="1925"/>
      <c r="E30" s="1842"/>
      <c r="F30" s="1926"/>
      <c r="G30" s="1842"/>
      <c r="H30" s="1842"/>
      <c r="I30" s="1842"/>
      <c r="J30" s="1927"/>
      <c r="K30" s="1056"/>
      <c r="L30" s="3051" t="s">
        <v>1936</v>
      </c>
      <c r="M30" s="3052" t="s">
        <v>1990</v>
      </c>
      <c r="N30" s="3052" t="s">
        <v>1991</v>
      </c>
      <c r="O30" s="3052" t="s">
        <v>1992</v>
      </c>
      <c r="P30" s="3052" t="s">
        <v>1993</v>
      </c>
      <c r="Q30" s="3055" t="s">
        <v>3259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3" t="s">
        <v>1996</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4" t="s">
        <v>1999</v>
      </c>
      <c r="M32" s="2352">
        <f>ROUND($E$24*(1+M31),3)</f>
        <v>5.3999999999999999E-2</v>
      </c>
      <c r="N32" s="2352">
        <f>ROUND($E$24*(1+N31),3)</f>
        <v>5.1999999999999998E-2</v>
      </c>
      <c r="O32" s="2352">
        <f>ROUND($E$24*(1+O31),3)</f>
        <v>0.05</v>
      </c>
      <c r="P32" s="2352">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7700</v>
      </c>
      <c r="D33" s="1940">
        <f>'数据-汇总表'!E19</f>
        <v>94.78</v>
      </c>
      <c r="E33" s="727">
        <f>ROUND(C33*D33/10000,0)</f>
        <v>73</v>
      </c>
      <c r="F33" s="3046" t="s">
        <v>3257</v>
      </c>
      <c r="G33" s="1941"/>
      <c r="H33" s="1941"/>
      <c r="I33" s="1941"/>
      <c r="J33" s="1942"/>
      <c r="K33" s="1056"/>
      <c r="L33" s="3049" t="s">
        <v>3260</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1925</v>
      </c>
      <c r="D34" s="1945"/>
      <c r="E34" s="727">
        <f>ROUND(IF(B25="楼层修正",SUM(V2:V16)*M40,C34*D34/10000),0)</f>
        <v>0</v>
      </c>
      <c r="F34" s="1946" t="s">
        <v>2032</v>
      </c>
      <c r="G34" s="1947"/>
      <c r="H34" s="1947"/>
      <c r="I34" s="1947"/>
      <c r="J34" s="1948"/>
      <c r="K34" s="1056"/>
      <c r="L34" s="3049" t="s">
        <v>3261</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7" t="s">
        <v>3258</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3262</v>
      </c>
      <c r="L36" s="3138">
        <f ca="1">'数据-取费表'!B40</f>
        <v>0.03</v>
      </c>
      <c r="M36" s="2362">
        <f ca="1">ROUND($L$36*(1+M31),3)</f>
        <v>3.7999999999999999E-2</v>
      </c>
      <c r="N36" s="2362">
        <f ca="1">ROUND($L$36*(1+N31),3)</f>
        <v>3.5999999999999997E-2</v>
      </c>
      <c r="O36" s="2362">
        <f ca="1">ROUND($L$36*(1+O31),3)</f>
        <v>3.5000000000000003E-2</v>
      </c>
      <c r="P36" s="2362">
        <f ca="1">ROUND($L$36*(1+P31),3)</f>
        <v>3.3000000000000002E-2</v>
      </c>
      <c r="Q36" s="2362">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91"/>
      <c r="B37" s="1955" t="s">
        <v>2036</v>
      </c>
      <c r="C37" s="167">
        <f>ROUND(D5*C22*C23*C24*C28*F37,0)</f>
        <v>4797</v>
      </c>
      <c r="D37" s="1940"/>
      <c r="E37" s="163">
        <f>ROUND(C37*D37/10000,0)</f>
        <v>0</v>
      </c>
      <c r="F37" s="163">
        <f>SUMIF(修正!A57:A68,G2,修正!B57:B68)</f>
        <v>0.6</v>
      </c>
      <c r="G37" s="163">
        <f>ROUND(IF(E2="工业",C37*$M$42,C37*$M$41),0)</f>
        <v>1199</v>
      </c>
      <c r="H37" s="163">
        <f>D37</f>
        <v>0</v>
      </c>
      <c r="I37" s="163">
        <f>ROUND(G37*H37/10000,0)</f>
        <v>0</v>
      </c>
      <c r="J37" s="2750"/>
      <c r="K37" s="3057" t="s">
        <v>3263</v>
      </c>
      <c r="L37" s="1964">
        <f ca="1">L36+K38</f>
        <v>3.4999999999999996E-2</v>
      </c>
      <c r="M37" s="2362">
        <f ca="1">ROUND($L$37*(1+M31),3)</f>
        <v>4.3999999999999997E-2</v>
      </c>
      <c r="N37" s="2362">
        <f t="shared" ref="N37:Q37" ca="1" si="3">ROUND($L$37*(1+N31),3)</f>
        <v>4.2000000000000003E-2</v>
      </c>
      <c r="O37" s="2362">
        <f t="shared" ca="1" si="3"/>
        <v>0.04</v>
      </c>
      <c r="P37" s="2362">
        <f t="shared" ca="1" si="3"/>
        <v>3.9E-2</v>
      </c>
      <c r="Q37" s="2362">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2"/>
      <c r="B38" s="1884" t="s">
        <v>2037</v>
      </c>
      <c r="C38" s="167">
        <f>ROUND(D5*C22*C23*C24*C28*F38,0)</f>
        <v>2398</v>
      </c>
      <c r="D38" s="1940"/>
      <c r="E38" s="163">
        <f t="shared" ref="E38:E42" si="4">ROUND(C38*D38/10000,0)</f>
        <v>0</v>
      </c>
      <c r="F38" s="163">
        <f>SUMIF(修正!A57:A68,G2,修正!C57:C68)</f>
        <v>0.3</v>
      </c>
      <c r="G38" s="163">
        <f>ROUND(IF(E2="工业",C38*$M$42,C38*$M$41),0)</f>
        <v>600</v>
      </c>
      <c r="H38" s="163">
        <f t="shared" ref="H38:H42" si="5">D38</f>
        <v>0</v>
      </c>
      <c r="I38" s="163">
        <f t="shared" ref="I38:I42" si="6">ROUND(G38*H38/10000,0)</f>
        <v>0</v>
      </c>
      <c r="J38" s="2749"/>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92"/>
      <c r="B39" s="1884" t="s">
        <v>3256</v>
      </c>
      <c r="C39" s="167">
        <f>ROUND(D5*C22*C23*C24*C28*F39,0)</f>
        <v>1999</v>
      </c>
      <c r="D39" s="1940"/>
      <c r="E39" s="163">
        <f t="shared" si="4"/>
        <v>0</v>
      </c>
      <c r="F39" s="163">
        <f>SUMIF(修正!A57:A68,G2,修正!D57:D68)</f>
        <v>0.25</v>
      </c>
      <c r="G39" s="163">
        <f>ROUND(IF(E2="工业",C39*$M$42,C39*$M$41),0)</f>
        <v>500</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1999</v>
      </c>
      <c r="D40" s="1940"/>
      <c r="E40" s="163">
        <f t="shared" si="4"/>
        <v>0</v>
      </c>
      <c r="F40" s="167">
        <f>SUMIF(修正!A57:A68,G2,修正!E57:E68)</f>
        <v>0.25</v>
      </c>
      <c r="G40" s="163">
        <f>ROUND(IF(E2="工业",C40*$M$42,C40*$M$41),0)</f>
        <v>500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58" t="s">
        <v>3264</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2120</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6" t="s">
        <v>3266</v>
      </c>
      <c r="B52" s="1262">
        <f>估价对象房地状况!C19</f>
        <v>0</v>
      </c>
      <c r="C52" s="1887"/>
      <c r="D52" s="1002">
        <f t="shared" si="7"/>
        <v>0</v>
      </c>
      <c r="E52" s="703"/>
      <c r="F52" s="1675"/>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1.0167999999999999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3507</v>
      </c>
      <c r="D61" s="1002">
        <f t="shared" ref="D61:D69" si="12">SUMIF($J$60:$N$60,C61,J61:N61)</f>
        <v>0</v>
      </c>
      <c r="E61" s="702">
        <f>ROUND(SUM(D61:D69),4)</f>
        <v>1.6799999999999999E-2</v>
      </c>
      <c r="F61" s="1675">
        <f>IF(E2="办公",SUMIF(L1:L12,G2,N1:N12),"——")</f>
        <v>0.13</v>
      </c>
      <c r="G61" s="1000">
        <v>1.6199999999999999E-2</v>
      </c>
      <c r="H61" s="1003">
        <f t="shared" ref="H61:H69" si="13">IFERROR(ROUNDDOWN($F$61*I61/2,4),"——")</f>
        <v>1.6199999999999999E-2</v>
      </c>
      <c r="I61" s="3064">
        <v>0.25</v>
      </c>
      <c r="J61" s="1001">
        <f t="shared" ref="J61:J69" si="14">K61+$G61</f>
        <v>3.2399999999999998E-2</v>
      </c>
      <c r="K61" s="1001">
        <f t="shared" ref="K61:K69" si="15">$L61+$G61</f>
        <v>1.6199999999999999E-2</v>
      </c>
      <c r="L61" s="1001">
        <v>0</v>
      </c>
      <c r="M61" s="1001">
        <f t="shared" ref="M61:N69" si="16">L61-$G61</f>
        <v>-1.6199999999999999E-2</v>
      </c>
      <c r="N61" s="1001">
        <f t="shared" si="16"/>
        <v>-3.2399999999999998E-2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3507</v>
      </c>
      <c r="D62" s="1002">
        <f t="shared" si="12"/>
        <v>0</v>
      </c>
      <c r="E62" s="703"/>
      <c r="F62" s="1675"/>
      <c r="G62" s="1000">
        <v>1.6899999999999998E-2</v>
      </c>
      <c r="H62" s="1003">
        <f t="shared" si="13"/>
        <v>1.6899999999999998E-2</v>
      </c>
      <c r="I62" s="3064">
        <v>0.26</v>
      </c>
      <c r="J62" s="1001">
        <f t="shared" si="14"/>
        <v>3.3799999999999997E-2</v>
      </c>
      <c r="K62" s="1001">
        <f t="shared" si="15"/>
        <v>1.6899999999999998E-2</v>
      </c>
      <c r="L62" s="1001">
        <v>0</v>
      </c>
      <c r="M62" s="1001">
        <f t="shared" si="16"/>
        <v>-1.6899999999999998E-2</v>
      </c>
      <c r="N62" s="1001">
        <f t="shared" si="16"/>
        <v>-3.3799999999999997E-2</v>
      </c>
      <c r="AA62" s="1057"/>
      <c r="AB62" s="1057"/>
      <c r="AC62" s="1057"/>
      <c r="AD62" s="1057"/>
      <c r="AE62" s="1057"/>
      <c r="AF62" s="1057"/>
      <c r="AG62" s="1057"/>
      <c r="AH62" s="1057"/>
      <c r="AI62" s="1057"/>
      <c r="AJ62" s="1057"/>
      <c r="AK62" s="1057"/>
    </row>
    <row r="63" spans="1:37" s="1056" customFormat="1" ht="48">
      <c r="A63" s="3066" t="s">
        <v>3266</v>
      </c>
      <c r="B63" s="1262">
        <f>估价对象房地状况!C19</f>
        <v>0</v>
      </c>
      <c r="C63" s="1887" t="s">
        <v>3507</v>
      </c>
      <c r="D63" s="1002">
        <f t="shared" si="12"/>
        <v>0</v>
      </c>
      <c r="E63" s="703"/>
      <c r="F63" s="1675"/>
      <c r="G63" s="1000">
        <v>7.1000000000000004E-3</v>
      </c>
      <c r="H63" s="1003">
        <f t="shared" si="13"/>
        <v>7.1000000000000004E-3</v>
      </c>
      <c r="I63" s="3064">
        <v>0.11</v>
      </c>
      <c r="J63" s="1001">
        <f t="shared" si="14"/>
        <v>1.4200000000000001E-2</v>
      </c>
      <c r="K63" s="1001">
        <f t="shared" si="15"/>
        <v>7.1000000000000004E-3</v>
      </c>
      <c r="L63" s="1001">
        <v>0</v>
      </c>
      <c r="M63" s="1001">
        <f t="shared" si="16"/>
        <v>-7.1000000000000004E-3</v>
      </c>
      <c r="N63" s="1001">
        <f t="shared" si="16"/>
        <v>-1.4200000000000001E-2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3507</v>
      </c>
      <c r="D64" s="1002">
        <f t="shared" si="12"/>
        <v>0</v>
      </c>
      <c r="E64" s="703"/>
      <c r="F64" s="1675"/>
      <c r="G64" s="1000">
        <v>3.2000000000000002E-3</v>
      </c>
      <c r="H64" s="1003">
        <f t="shared" si="13"/>
        <v>3.2000000000000002E-3</v>
      </c>
      <c r="I64" s="3064">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3531</v>
      </c>
      <c r="D65" s="1002">
        <f t="shared" si="12"/>
        <v>-3.2000000000000002E-3</v>
      </c>
      <c r="E65" s="703"/>
      <c r="F65" s="1675"/>
      <c r="G65" s="1000">
        <v>3.2000000000000002E-3</v>
      </c>
      <c r="H65" s="1003">
        <f t="shared" si="13"/>
        <v>3.2000000000000002E-3</v>
      </c>
      <c r="I65" s="3064">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3507</v>
      </c>
      <c r="D66" s="1002">
        <f t="shared" si="12"/>
        <v>0</v>
      </c>
      <c r="E66" s="703"/>
      <c r="F66" s="1675"/>
      <c r="G66" s="1000">
        <v>3.8999999999999998E-3</v>
      </c>
      <c r="H66" s="1003">
        <f t="shared" si="13"/>
        <v>3.8999999999999998E-3</v>
      </c>
      <c r="I66" s="3064">
        <v>0.06</v>
      </c>
      <c r="J66" s="1001">
        <f t="shared" si="14"/>
        <v>7.7999999999999996E-3</v>
      </c>
      <c r="K66" s="1001">
        <f t="shared" si="15"/>
        <v>3.8999999999999998E-3</v>
      </c>
      <c r="L66" s="1001">
        <v>0</v>
      </c>
      <c r="M66" s="1001">
        <f t="shared" si="16"/>
        <v>-3.8999999999999998E-3</v>
      </c>
      <c r="N66" s="1001">
        <f t="shared" si="16"/>
        <v>-7.7999999999999996E-3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3508</v>
      </c>
      <c r="D67" s="1002">
        <f t="shared" si="12"/>
        <v>3.8999999999999998E-3</v>
      </c>
      <c r="E67" s="703"/>
      <c r="F67" s="1675"/>
      <c r="G67" s="1000">
        <v>3.8999999999999998E-3</v>
      </c>
      <c r="H67" s="1003">
        <f t="shared" si="13"/>
        <v>3.8999999999999998E-3</v>
      </c>
      <c r="I67" s="3064">
        <v>0.06</v>
      </c>
      <c r="J67" s="1001">
        <f t="shared" si="14"/>
        <v>7.7999999999999996E-3</v>
      </c>
      <c r="K67" s="1001">
        <f t="shared" si="15"/>
        <v>3.8999999999999998E-3</v>
      </c>
      <c r="L67" s="1001">
        <v>0</v>
      </c>
      <c r="M67" s="1001">
        <f t="shared" si="16"/>
        <v>-3.8999999999999998E-3</v>
      </c>
      <c r="N67" s="1001">
        <f t="shared" si="16"/>
        <v>-7.7999999999999996E-3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3532</v>
      </c>
      <c r="D68" s="1002">
        <f t="shared" si="12"/>
        <v>1.1599999999999999E-2</v>
      </c>
      <c r="E68" s="703"/>
      <c r="F68" s="1675"/>
      <c r="G68" s="1000">
        <v>5.7999999999999996E-3</v>
      </c>
      <c r="H68" s="1003">
        <f t="shared" si="13"/>
        <v>5.7999999999999996E-3</v>
      </c>
      <c r="I68" s="3064">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3508</v>
      </c>
      <c r="D69" s="1002">
        <f t="shared" si="12"/>
        <v>4.4999999999999997E-3</v>
      </c>
      <c r="E69" s="704"/>
      <c r="F69" s="1675"/>
      <c r="G69" s="1000">
        <v>4.4999999999999997E-3</v>
      </c>
      <c r="H69" s="1003">
        <f t="shared" si="13"/>
        <v>4.4999999999999997E-3</v>
      </c>
      <c r="I69" s="3065">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4">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4">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6" t="s">
        <v>3266</v>
      </c>
      <c r="B74" s="1262">
        <f>估价对象房地状况!C19</f>
        <v>0</v>
      </c>
      <c r="C74" s="1887"/>
      <c r="D74" s="1002">
        <f t="shared" si="17"/>
        <v>0</v>
      </c>
      <c r="E74" s="705"/>
      <c r="F74" s="1675"/>
      <c r="G74" s="1000"/>
      <c r="H74" s="1003" t="str">
        <f t="shared" si="18"/>
        <v>——</v>
      </c>
      <c r="I74" s="3064">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4">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4">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4">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4">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4">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5">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4">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4">
        <v>0.3</v>
      </c>
      <c r="J84" s="1001">
        <f t="shared" si="24"/>
        <v>0</v>
      </c>
      <c r="K84" s="1001">
        <f t="shared" si="25"/>
        <v>0</v>
      </c>
      <c r="L84" s="1001">
        <v>0</v>
      </c>
      <c r="M84" s="1001">
        <f t="shared" si="26"/>
        <v>0</v>
      </c>
      <c r="N84" s="1001">
        <f t="shared" si="26"/>
        <v>0</v>
      </c>
      <c r="Z84" s="1845"/>
      <c r="AA84" s="1895"/>
      <c r="AG84" s="1058"/>
      <c r="AK84" s="1895"/>
    </row>
    <row r="85" spans="1:37" ht="48">
      <c r="A85" s="3066" t="s">
        <v>3267</v>
      </c>
      <c r="B85" s="1262">
        <f>估价对象房地状况!G17</f>
        <v>0</v>
      </c>
      <c r="C85" s="1887"/>
      <c r="D85" s="1002">
        <f t="shared" si="22"/>
        <v>0</v>
      </c>
      <c r="E85" s="705"/>
      <c r="F85" s="1675"/>
      <c r="G85" s="1000"/>
      <c r="H85" s="1003" t="str">
        <f t="shared" si="23"/>
        <v>——</v>
      </c>
      <c r="I85" s="3064">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4">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4">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4">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4">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5">
        <v>0.05</v>
      </c>
      <c r="J90" s="1001">
        <f t="shared" si="24"/>
        <v>0</v>
      </c>
      <c r="K90" s="1001">
        <f t="shared" si="25"/>
        <v>0</v>
      </c>
      <c r="L90" s="1001">
        <v>0</v>
      </c>
      <c r="M90" s="1001">
        <f t="shared" si="26"/>
        <v>0</v>
      </c>
      <c r="N90" s="1001">
        <f t="shared" si="26"/>
        <v>0</v>
      </c>
    </row>
    <row r="91" spans="1:37" ht="13.8">
      <c r="A91" s="3074" t="s">
        <v>2610</v>
      </c>
      <c r="B91" s="3075">
        <f>1+E93</f>
        <v>1</v>
      </c>
      <c r="C91" s="3068"/>
      <c r="D91" s="3069"/>
      <c r="E91" s="1675"/>
      <c r="F91" s="1675"/>
      <c r="G91" s="3070"/>
      <c r="H91" s="3071"/>
      <c r="I91" s="3072"/>
      <c r="J91" s="3073"/>
      <c r="K91" s="3073"/>
      <c r="L91" s="3073"/>
      <c r="M91" s="3073"/>
      <c r="N91" s="3073"/>
    </row>
    <row r="92" spans="1:37" ht="25.2">
      <c r="A92" s="3076" t="s">
        <v>3268</v>
      </c>
      <c r="B92" s="2309"/>
      <c r="C92" s="2309" t="s">
        <v>3277</v>
      </c>
      <c r="D92" s="2309" t="s">
        <v>3278</v>
      </c>
      <c r="E92" s="3048" t="s">
        <v>3279</v>
      </c>
      <c r="F92" s="3078" t="s">
        <v>3280</v>
      </c>
      <c r="G92" s="2309" t="s">
        <v>3281</v>
      </c>
      <c r="H92" s="3085" t="s">
        <v>3284</v>
      </c>
      <c r="I92" s="2309" t="s">
        <v>3285</v>
      </c>
      <c r="J92" s="2150" t="s">
        <v>3286</v>
      </c>
      <c r="K92" s="2150" t="s">
        <v>3287</v>
      </c>
      <c r="L92" s="2150" t="s">
        <v>3288</v>
      </c>
      <c r="M92" s="2150" t="s">
        <v>3289</v>
      </c>
      <c r="N92" s="2150" t="s">
        <v>3290</v>
      </c>
    </row>
    <row r="93" spans="1:37" ht="24">
      <c r="A93" s="3066" t="s">
        <v>3269</v>
      </c>
      <c r="B93" s="1221"/>
      <c r="C93" s="1887"/>
      <c r="D93" s="2309">
        <f>SUMIF($J$92:$N$92,C93,J93:N93)</f>
        <v>0</v>
      </c>
      <c r="E93" s="3079">
        <f>ROUND(SUM(D93:D101),4)</f>
        <v>0</v>
      </c>
      <c r="F93" s="1675" t="str">
        <f>IF(E2="公共服务",SUMIF(L1:L12,G2,N1:N12),"——")</f>
        <v>——</v>
      </c>
      <c r="G93" s="3070"/>
      <c r="H93" s="3115" t="str">
        <f>IFERROR(ROUNDDOWN($F$93*I93/2,4),"——")</f>
        <v>——</v>
      </c>
      <c r="I93" s="3064">
        <v>0.25</v>
      </c>
      <c r="J93" s="1912">
        <f t="shared" ref="J93:J101" si="27">K93+$G93</f>
        <v>0</v>
      </c>
      <c r="K93" s="1912">
        <f t="shared" ref="K93:K101" si="28">$L93+$G93</f>
        <v>0</v>
      </c>
      <c r="L93" s="1912">
        <v>0</v>
      </c>
      <c r="M93" s="1912">
        <f t="shared" ref="M93:N101" si="29">L93-$G93</f>
        <v>0</v>
      </c>
      <c r="N93" s="1912">
        <f t="shared" si="29"/>
        <v>0</v>
      </c>
    </row>
    <row r="94" spans="1:37" ht="52.8">
      <c r="A94" s="3076" t="s">
        <v>3270</v>
      </c>
      <c r="B94" s="3067" t="str">
        <f>估价对象房地状况!C18</f>
        <v>估价对象周边道路状况、公共交通通达情况、停车便捷程度，综合评价交通便捷度较好</v>
      </c>
      <c r="C94" s="1887"/>
      <c r="D94" s="2309">
        <f t="shared" ref="D94:D101" si="30">SUMIF($J$60:$N$60,C94,J94:N94)</f>
        <v>0</v>
      </c>
      <c r="E94" s="3080"/>
      <c r="F94" s="1675"/>
      <c r="G94" s="3070"/>
      <c r="H94" s="3115" t="str">
        <f>IFERROR(ROUNDDOWN($F$93*I94/2,4),"——")</f>
        <v>——</v>
      </c>
      <c r="I94" s="3064">
        <v>0.26</v>
      </c>
      <c r="J94" s="1912">
        <f t="shared" si="27"/>
        <v>0</v>
      </c>
      <c r="K94" s="1912">
        <f t="shared" si="28"/>
        <v>0</v>
      </c>
      <c r="L94" s="1912">
        <v>0</v>
      </c>
      <c r="M94" s="1912">
        <f t="shared" si="29"/>
        <v>0</v>
      </c>
      <c r="N94" s="1912">
        <f t="shared" si="29"/>
        <v>0</v>
      </c>
    </row>
    <row r="95" spans="1:37" ht="48">
      <c r="A95" s="3066" t="s">
        <v>3266</v>
      </c>
      <c r="B95" s="3067">
        <f>估价对象房地状况!C19</f>
        <v>0</v>
      </c>
      <c r="C95" s="1887"/>
      <c r="D95" s="2309">
        <f t="shared" si="30"/>
        <v>0</v>
      </c>
      <c r="E95" s="3080"/>
      <c r="F95" s="1675"/>
      <c r="G95" s="3070"/>
      <c r="H95" s="3115" t="str">
        <f t="shared" ref="H95:H101" si="31">IFERROR(ROUNDDOWN($F$93*I95/2,4),"——")</f>
        <v>——</v>
      </c>
      <c r="I95" s="3064">
        <v>0.11</v>
      </c>
      <c r="J95" s="1912">
        <f t="shared" si="27"/>
        <v>0</v>
      </c>
      <c r="K95" s="1912">
        <f t="shared" si="28"/>
        <v>0</v>
      </c>
      <c r="L95" s="1912">
        <v>0</v>
      </c>
      <c r="M95" s="1912">
        <f t="shared" si="29"/>
        <v>0</v>
      </c>
      <c r="N95" s="1912">
        <f t="shared" si="29"/>
        <v>0</v>
      </c>
    </row>
    <row r="96" spans="1:37" ht="37.200000000000003">
      <c r="A96" s="3076" t="s">
        <v>3271</v>
      </c>
      <c r="B96" s="3082" t="s">
        <v>3282</v>
      </c>
      <c r="C96" s="1887"/>
      <c r="D96" s="2309">
        <f t="shared" si="30"/>
        <v>0</v>
      </c>
      <c r="E96" s="3080"/>
      <c r="F96" s="1675"/>
      <c r="G96" s="3070"/>
      <c r="H96" s="3115" t="str">
        <f t="shared" si="31"/>
        <v>——</v>
      </c>
      <c r="I96" s="3064">
        <v>0.05</v>
      </c>
      <c r="J96" s="1912">
        <f t="shared" si="27"/>
        <v>0</v>
      </c>
      <c r="K96" s="1912">
        <f t="shared" si="28"/>
        <v>0</v>
      </c>
      <c r="L96" s="1912">
        <v>0</v>
      </c>
      <c r="M96" s="1912">
        <f t="shared" si="29"/>
        <v>0</v>
      </c>
      <c r="N96" s="1912">
        <f t="shared" si="29"/>
        <v>0</v>
      </c>
    </row>
    <row r="97" spans="1:14" ht="24">
      <c r="A97" s="3076" t="s">
        <v>3272</v>
      </c>
      <c r="B97" s="3067">
        <f>估价对象房地状况!C24</f>
        <v>0</v>
      </c>
      <c r="C97" s="1887"/>
      <c r="D97" s="2309">
        <f t="shared" si="30"/>
        <v>0</v>
      </c>
      <c r="E97" s="3080"/>
      <c r="F97" s="1675"/>
      <c r="G97" s="3070"/>
      <c r="H97" s="3115" t="str">
        <f t="shared" si="31"/>
        <v>——</v>
      </c>
      <c r="I97" s="3064">
        <v>0.05</v>
      </c>
      <c r="J97" s="1912">
        <f t="shared" si="27"/>
        <v>0</v>
      </c>
      <c r="K97" s="1912">
        <f t="shared" si="28"/>
        <v>0</v>
      </c>
      <c r="L97" s="1912">
        <v>0</v>
      </c>
      <c r="M97" s="1912">
        <f t="shared" si="29"/>
        <v>0</v>
      </c>
      <c r="N97" s="1912">
        <f t="shared" si="29"/>
        <v>0</v>
      </c>
    </row>
    <row r="98" spans="1:14" ht="36">
      <c r="A98" s="3076" t="s">
        <v>3273</v>
      </c>
      <c r="B98" s="3083" t="s">
        <v>3283</v>
      </c>
      <c r="C98" s="1887"/>
      <c r="D98" s="2309">
        <f t="shared" si="30"/>
        <v>0</v>
      </c>
      <c r="E98" s="3080"/>
      <c r="F98" s="1675"/>
      <c r="G98" s="3070"/>
      <c r="H98" s="3115" t="str">
        <f t="shared" si="31"/>
        <v>——</v>
      </c>
      <c r="I98" s="3064">
        <v>0.06</v>
      </c>
      <c r="J98" s="1912">
        <f t="shared" si="27"/>
        <v>0</v>
      </c>
      <c r="K98" s="1912">
        <f t="shared" si="28"/>
        <v>0</v>
      </c>
      <c r="L98" s="1912">
        <v>0</v>
      </c>
      <c r="M98" s="1912">
        <f t="shared" si="29"/>
        <v>0</v>
      </c>
      <c r="N98" s="1912">
        <f t="shared" si="29"/>
        <v>0</v>
      </c>
    </row>
    <row r="99" spans="1:14" ht="26.4">
      <c r="A99" s="3076" t="s">
        <v>3274</v>
      </c>
      <c r="B99" s="3067" t="str">
        <f>估价对象房地状况!C21</f>
        <v>估价对象所在区域公共配套设施齐备情况</v>
      </c>
      <c r="C99" s="1887"/>
      <c r="D99" s="2309">
        <f t="shared" si="30"/>
        <v>0</v>
      </c>
      <c r="E99" s="3080"/>
      <c r="F99" s="1675"/>
      <c r="G99" s="3070"/>
      <c r="H99" s="3115" t="str">
        <f t="shared" si="31"/>
        <v>——</v>
      </c>
      <c r="I99" s="3064">
        <v>0.06</v>
      </c>
      <c r="J99" s="1912">
        <f t="shared" si="27"/>
        <v>0</v>
      </c>
      <c r="K99" s="1912">
        <f t="shared" si="28"/>
        <v>0</v>
      </c>
      <c r="L99" s="1912">
        <v>0</v>
      </c>
      <c r="M99" s="1912">
        <f t="shared" si="29"/>
        <v>0</v>
      </c>
      <c r="N99" s="1912">
        <f t="shared" si="29"/>
        <v>0</v>
      </c>
    </row>
    <row r="100" spans="1:14" ht="26.4">
      <c r="A100" s="3076" t="s">
        <v>3275</v>
      </c>
      <c r="B100" s="3067" t="str">
        <f>估价对象房地状况!C22</f>
        <v>估价对象所在区域基础设施水平</v>
      </c>
      <c r="C100" s="1887"/>
      <c r="D100" s="2309">
        <f t="shared" si="30"/>
        <v>0</v>
      </c>
      <c r="E100" s="3080"/>
      <c r="F100" s="1675"/>
      <c r="G100" s="3070"/>
      <c r="H100" s="3115" t="str">
        <f t="shared" si="31"/>
        <v>——</v>
      </c>
      <c r="I100" s="3064">
        <v>0.09</v>
      </c>
      <c r="J100" s="1912">
        <f t="shared" si="27"/>
        <v>0</v>
      </c>
      <c r="K100" s="1912">
        <f t="shared" si="28"/>
        <v>0</v>
      </c>
      <c r="L100" s="1912">
        <v>0</v>
      </c>
      <c r="M100" s="1912">
        <f t="shared" si="29"/>
        <v>0</v>
      </c>
      <c r="N100" s="1912">
        <f t="shared" si="29"/>
        <v>0</v>
      </c>
    </row>
    <row r="101" spans="1:14" ht="40.200000000000003" thickBot="1">
      <c r="A101" s="3077" t="s">
        <v>3276</v>
      </c>
      <c r="B101" s="3084" t="str">
        <f>估价对象房地状况!C20</f>
        <v>区域自然环境：；人文环境；综合评价环境状况一般</v>
      </c>
      <c r="C101" s="1887"/>
      <c r="D101" s="2309">
        <f t="shared" si="30"/>
        <v>0</v>
      </c>
      <c r="E101" s="3081"/>
      <c r="F101" s="1675"/>
      <c r="G101" s="3070"/>
      <c r="H101" s="3115" t="str">
        <f t="shared" si="31"/>
        <v>——</v>
      </c>
      <c r="I101" s="3065">
        <v>7.0000000000000007E-2</v>
      </c>
      <c r="J101" s="1912">
        <f t="shared" si="27"/>
        <v>0</v>
      </c>
      <c r="K101" s="1912">
        <f t="shared" si="28"/>
        <v>0</v>
      </c>
      <c r="L101" s="1912">
        <v>0</v>
      </c>
      <c r="M101" s="1912">
        <f t="shared" si="29"/>
        <v>0</v>
      </c>
      <c r="N101" s="1912">
        <f t="shared" si="29"/>
        <v>0</v>
      </c>
    </row>
    <row r="103" spans="1:14">
      <c r="A103" s="3489" t="s">
        <v>3291</v>
      </c>
      <c r="B103" s="3489"/>
      <c r="C103" s="3489"/>
      <c r="D103" s="3489"/>
      <c r="E103" s="3489"/>
      <c r="F103" s="3489"/>
      <c r="G103" s="3489"/>
      <c r="H103" s="3489"/>
      <c r="I103" s="3489"/>
      <c r="J103" s="3489"/>
      <c r="K103" s="1667"/>
      <c r="L103" s="1667"/>
      <c r="M103" s="1667"/>
      <c r="N103" s="1667"/>
    </row>
    <row r="104" spans="1:14">
      <c r="A104" s="3490" t="s">
        <v>3292</v>
      </c>
      <c r="B104" s="3490" t="s">
        <v>3293</v>
      </c>
      <c r="C104" s="3086" t="s">
        <v>3294</v>
      </c>
      <c r="D104" s="3087"/>
      <c r="E104" s="3087"/>
      <c r="F104" s="3087"/>
      <c r="G104" s="3087"/>
      <c r="H104" s="3087"/>
      <c r="I104" s="3087"/>
      <c r="J104" s="3088"/>
      <c r="K104" s="3089"/>
      <c r="L104" s="3089"/>
      <c r="M104" s="3089"/>
      <c r="N104" s="3089"/>
    </row>
    <row r="105" spans="1:14">
      <c r="A105" s="3490"/>
      <c r="B105" s="3490"/>
      <c r="C105" s="3090" t="s">
        <v>3295</v>
      </c>
      <c r="D105" s="3090" t="s">
        <v>3296</v>
      </c>
      <c r="E105" s="3090" t="s">
        <v>3297</v>
      </c>
      <c r="F105" s="3090" t="s">
        <v>3298</v>
      </c>
      <c r="G105" s="3090" t="s">
        <v>3299</v>
      </c>
      <c r="H105" s="3090" t="s">
        <v>3300</v>
      </c>
      <c r="I105" s="3090" t="s">
        <v>3301</v>
      </c>
      <c r="J105" s="3090" t="s">
        <v>3302</v>
      </c>
      <c r="K105" s="3090" t="s">
        <v>3303</v>
      </c>
      <c r="L105" s="3090" t="s">
        <v>3304</v>
      </c>
      <c r="M105" s="3090" t="s">
        <v>3305</v>
      </c>
      <c r="N105" s="3090" t="s">
        <v>3306</v>
      </c>
    </row>
    <row r="106" spans="1:14">
      <c r="A106" s="3476" t="s">
        <v>3307</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77"/>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77"/>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77"/>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77"/>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77"/>
      <c r="B111" s="3090" t="s">
        <v>3265</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78"/>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79" t="s">
        <v>3308</v>
      </c>
      <c r="B113" s="3479"/>
      <c r="C113" s="3479"/>
      <c r="D113" s="3479"/>
      <c r="E113" s="3479"/>
      <c r="F113" s="3479"/>
      <c r="G113" s="3479"/>
      <c r="H113" s="3479"/>
      <c r="I113" s="3479"/>
      <c r="J113" s="3479"/>
      <c r="K113" s="3092"/>
      <c r="L113" s="3092"/>
      <c r="M113" s="3092"/>
      <c r="N113" s="3092"/>
    </row>
    <row r="114" spans="1:14">
      <c r="A114" s="3093"/>
      <c r="B114" s="3093"/>
      <c r="C114" s="3093"/>
      <c r="D114" s="3093"/>
      <c r="E114" s="3093"/>
      <c r="F114" s="3093"/>
      <c r="G114" s="3093"/>
      <c r="H114" s="3093"/>
      <c r="I114" s="3093"/>
      <c r="J114" s="3093"/>
      <c r="K114" s="1964"/>
      <c r="L114" s="3093"/>
      <c r="M114" s="3093"/>
      <c r="N114" s="3093"/>
    </row>
    <row r="115" spans="1:14" ht="13.8" thickBot="1">
      <c r="A115" s="3093"/>
      <c r="B115" s="3093"/>
      <c r="C115" s="3093"/>
      <c r="D115" s="3093"/>
      <c r="E115" s="3093"/>
      <c r="F115" s="3093"/>
      <c r="G115" s="3093"/>
      <c r="H115" s="3093"/>
      <c r="I115" s="3093"/>
      <c r="J115" s="3093"/>
      <c r="K115" s="1964"/>
      <c r="L115" s="3093"/>
      <c r="M115" s="3093"/>
      <c r="N115" s="3093"/>
    </row>
    <row r="116" spans="1:14" ht="25.8" thickBot="1">
      <c r="A116" s="3094" t="s">
        <v>3309</v>
      </c>
      <c r="B116" s="3110">
        <f>G3</f>
        <v>3</v>
      </c>
      <c r="C116" s="3095" t="s">
        <v>3310</v>
      </c>
      <c r="D116" s="3096">
        <f>SUMPRODUCT((A118:A122=F116)*(B117:M117=H116)*B118:M122)</f>
        <v>0.89890000000000003</v>
      </c>
      <c r="E116" s="162" t="s">
        <v>3311</v>
      </c>
      <c r="F116" s="3097" t="str">
        <f>E2</f>
        <v>办公</v>
      </c>
      <c r="G116" s="162" t="s">
        <v>3312</v>
      </c>
      <c r="H116" s="3097" t="str">
        <f>G2</f>
        <v>七级</v>
      </c>
      <c r="I116" s="162"/>
      <c r="J116" s="3098"/>
      <c r="K116" s="3098"/>
      <c r="L116" s="3098"/>
      <c r="M116" s="3098"/>
      <c r="N116" s="3093"/>
    </row>
    <row r="117" spans="1:14">
      <c r="A117" s="3099"/>
      <c r="B117" s="3100" t="s">
        <v>3313</v>
      </c>
      <c r="C117" s="3100" t="s">
        <v>3314</v>
      </c>
      <c r="D117" s="3100" t="s">
        <v>3315</v>
      </c>
      <c r="E117" s="3101" t="s">
        <v>3316</v>
      </c>
      <c r="F117" s="3101" t="s">
        <v>3317</v>
      </c>
      <c r="G117" s="3101" t="s">
        <v>3318</v>
      </c>
      <c r="H117" s="3102" t="s">
        <v>3319</v>
      </c>
      <c r="I117" s="3102" t="s">
        <v>3320</v>
      </c>
      <c r="J117" s="3103" t="s">
        <v>3321</v>
      </c>
      <c r="K117" s="3103" t="s">
        <v>3322</v>
      </c>
      <c r="L117" s="3103" t="s">
        <v>3323</v>
      </c>
      <c r="M117" s="3104" t="s">
        <v>3324</v>
      </c>
      <c r="N117" s="3093"/>
    </row>
    <row r="118" spans="1:14">
      <c r="A118" s="3053" t="s">
        <v>3325</v>
      </c>
      <c r="B118" s="3085">
        <f>ROUND(0.9968-0.011*B116,4)</f>
        <v>0.96379999999999999</v>
      </c>
      <c r="C118" s="3085">
        <f>B118</f>
        <v>0.96379999999999999</v>
      </c>
      <c r="D118" s="3085">
        <f>ROUND(0.949-0.014*B116,4)</f>
        <v>0.90700000000000003</v>
      </c>
      <c r="E118" s="3085">
        <f>D118</f>
        <v>0.90700000000000003</v>
      </c>
      <c r="F118" s="3085">
        <f>E118</f>
        <v>0.90700000000000003</v>
      </c>
      <c r="G118" s="3085">
        <f>F118</f>
        <v>0.90700000000000003</v>
      </c>
      <c r="H118" s="3085">
        <f>G118</f>
        <v>0.90700000000000003</v>
      </c>
      <c r="I118" s="3085">
        <f>ROUND(0.8486-0.018*B116,4)</f>
        <v>0.79459999999999997</v>
      </c>
      <c r="J118" s="3085">
        <f t="shared" ref="J118:M122" si="35">I118</f>
        <v>0.79459999999999997</v>
      </c>
      <c r="K118" s="3085">
        <f t="shared" si="35"/>
        <v>0.79459999999999997</v>
      </c>
      <c r="L118" s="3085">
        <f t="shared" si="35"/>
        <v>0.79459999999999997</v>
      </c>
      <c r="M118" s="3105">
        <f t="shared" si="35"/>
        <v>0.79459999999999997</v>
      </c>
      <c r="N118" s="3093"/>
    </row>
    <row r="119" spans="1:14">
      <c r="A119" s="3053" t="s">
        <v>3326</v>
      </c>
      <c r="B119" s="3085">
        <f>ROUND(0.993-0.0112*B116,4)</f>
        <v>0.95940000000000003</v>
      </c>
      <c r="C119" s="3085">
        <f>B119</f>
        <v>0.95940000000000003</v>
      </c>
      <c r="D119" s="3085">
        <f>ROUND(0.9415-0.0142*B116,4)</f>
        <v>0.89890000000000003</v>
      </c>
      <c r="E119" s="3085">
        <f t="shared" ref="E119:H120" si="36">D119</f>
        <v>0.89890000000000003</v>
      </c>
      <c r="F119" s="3085">
        <f t="shared" si="36"/>
        <v>0.89890000000000003</v>
      </c>
      <c r="G119" s="3085">
        <f t="shared" si="36"/>
        <v>0.89890000000000003</v>
      </c>
      <c r="H119" s="3085">
        <f t="shared" si="36"/>
        <v>0.89890000000000003</v>
      </c>
      <c r="I119" s="3085">
        <f>ROUND(0.838-0.0182*B116,4)</f>
        <v>0.78339999999999999</v>
      </c>
      <c r="J119" s="3085">
        <f t="shared" si="35"/>
        <v>0.78339999999999999</v>
      </c>
      <c r="K119" s="3085">
        <f t="shared" si="35"/>
        <v>0.78339999999999999</v>
      </c>
      <c r="L119" s="3085">
        <f t="shared" si="35"/>
        <v>0.78339999999999999</v>
      </c>
      <c r="M119" s="3105">
        <f t="shared" si="35"/>
        <v>0.78339999999999999</v>
      </c>
      <c r="N119" s="3093"/>
    </row>
    <row r="120" spans="1:14">
      <c r="A120" s="3053" t="s">
        <v>3327</v>
      </c>
      <c r="B120" s="3085">
        <f>ROUND(0.9448-0.0115*B116,4)</f>
        <v>0.9103</v>
      </c>
      <c r="C120" s="3085">
        <f>B120</f>
        <v>0.9103</v>
      </c>
      <c r="D120" s="3085">
        <f>ROUND(0.937-0.0145*B116,4)</f>
        <v>0.89349999999999996</v>
      </c>
      <c r="E120" s="3085">
        <f t="shared" si="36"/>
        <v>0.89349999999999996</v>
      </c>
      <c r="F120" s="3085">
        <f t="shared" si="36"/>
        <v>0.89349999999999996</v>
      </c>
      <c r="G120" s="3085">
        <f t="shared" si="36"/>
        <v>0.89349999999999996</v>
      </c>
      <c r="H120" s="3085">
        <f t="shared" si="36"/>
        <v>0.89349999999999996</v>
      </c>
      <c r="I120" s="3085">
        <f>ROUND(0.7965-0.0185*B116,4)</f>
        <v>0.74099999999999999</v>
      </c>
      <c r="J120" s="3085">
        <f t="shared" si="35"/>
        <v>0.74099999999999999</v>
      </c>
      <c r="K120" s="3085">
        <f t="shared" si="35"/>
        <v>0.74099999999999999</v>
      </c>
      <c r="L120" s="3085">
        <f t="shared" si="35"/>
        <v>0.74099999999999999</v>
      </c>
      <c r="M120" s="3105">
        <f t="shared" si="35"/>
        <v>0.74099999999999999</v>
      </c>
      <c r="N120" s="3093"/>
    </row>
    <row r="121" spans="1:14" ht="13.8" thickBot="1">
      <c r="A121" s="3106" t="s">
        <v>3328</v>
      </c>
      <c r="B121" s="3107">
        <f>ROUND(0.7836-0.012*B116,4)</f>
        <v>0.74760000000000004</v>
      </c>
      <c r="C121" s="3107">
        <f>B121</f>
        <v>0.74760000000000004</v>
      </c>
      <c r="D121" s="3107">
        <f>ROUND(0.753-0.015*B116,4)</f>
        <v>0.70799999999999996</v>
      </c>
      <c r="E121" s="3107">
        <f>D121</f>
        <v>0.70799999999999996</v>
      </c>
      <c r="F121" s="3107">
        <f>E121</f>
        <v>0.70799999999999996</v>
      </c>
      <c r="G121" s="3107">
        <f>ROUND(0.6612-0.018*B116,4)</f>
        <v>0.60719999999999996</v>
      </c>
      <c r="H121" s="3107">
        <f>G121</f>
        <v>0.60719999999999996</v>
      </c>
      <c r="I121" s="3107">
        <f>ROUND(0.5905-0.019*B116,4)</f>
        <v>0.53349999999999997</v>
      </c>
      <c r="J121" s="3107">
        <f t="shared" si="35"/>
        <v>0.53349999999999997</v>
      </c>
      <c r="K121" s="3107">
        <f t="shared" si="35"/>
        <v>0.53349999999999997</v>
      </c>
      <c r="L121" s="3107">
        <f t="shared" si="35"/>
        <v>0.53349999999999997</v>
      </c>
      <c r="M121" s="3108">
        <f t="shared" si="35"/>
        <v>0.53349999999999997</v>
      </c>
      <c r="N121" s="3093"/>
    </row>
    <row r="122" spans="1:14">
      <c r="A122" s="3109" t="s">
        <v>2610</v>
      </c>
      <c r="B122" s="3085">
        <f>ROUND(0.9404-0.0106*B116,4)</f>
        <v>0.90859999999999996</v>
      </c>
      <c r="C122" s="3085">
        <f>B122</f>
        <v>0.90859999999999996</v>
      </c>
      <c r="D122" s="3085">
        <f>ROUND(0.8955-0.0135*B116,4)</f>
        <v>0.85499999999999998</v>
      </c>
      <c r="E122" s="3085">
        <f t="shared" ref="E122:H122" si="37">D122</f>
        <v>0.85499999999999998</v>
      </c>
      <c r="F122" s="3085">
        <f t="shared" si="37"/>
        <v>0.85499999999999998</v>
      </c>
      <c r="G122" s="3085">
        <f t="shared" si="37"/>
        <v>0.85499999999999998</v>
      </c>
      <c r="H122" s="3085">
        <f t="shared" si="37"/>
        <v>0.85499999999999998</v>
      </c>
      <c r="I122" s="3085">
        <f>ROUND(0.7632-0.0166*B116,4)</f>
        <v>0.71340000000000003</v>
      </c>
      <c r="J122" s="3085">
        <f t="shared" si="35"/>
        <v>0.71340000000000003</v>
      </c>
      <c r="K122" s="3085">
        <f t="shared" si="35"/>
        <v>0.71340000000000003</v>
      </c>
      <c r="L122" s="3085">
        <f t="shared" si="35"/>
        <v>0.71340000000000003</v>
      </c>
      <c r="M122" s="3105">
        <f t="shared" si="35"/>
        <v>0.71340000000000003</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2592</v>
      </c>
      <c r="B1" s="2807" t="s">
        <v>2593</v>
      </c>
      <c r="C1" s="2807" t="s">
        <v>2594</v>
      </c>
      <c r="D1" s="2807" t="s">
        <v>2595</v>
      </c>
      <c r="E1" s="2807" t="s">
        <v>2596</v>
      </c>
      <c r="F1" s="2807" t="s">
        <v>2597</v>
      </c>
      <c r="G1" s="2807" t="s">
        <v>2598</v>
      </c>
      <c r="H1" s="2807" t="s">
        <v>2599</v>
      </c>
      <c r="I1" s="2807" t="s">
        <v>2600</v>
      </c>
      <c r="J1" s="2807" t="s">
        <v>2601</v>
      </c>
      <c r="K1" s="2807" t="s">
        <v>2602</v>
      </c>
      <c r="L1" s="2807" t="s">
        <v>2603</v>
      </c>
      <c r="M1" s="2808" t="s">
        <v>2604</v>
      </c>
    </row>
    <row r="2" spans="1:13" ht="19.5" customHeight="1">
      <c r="A2" s="2810" t="s">
        <v>2605</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2606</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2607</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2608</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2609</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2610</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2611</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2612</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2613</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2614</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2615</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2616</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2617</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2618</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2619</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2620</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2621</v>
      </c>
      <c r="B18" s="2832"/>
      <c r="C18" s="2833"/>
      <c r="D18" s="2833"/>
      <c r="E18" s="2832"/>
      <c r="F18" s="2833"/>
      <c r="G18" s="2833"/>
    </row>
    <row r="19" spans="1:13" ht="19.5" customHeight="1" thickBot="1">
      <c r="A19" s="2830" t="s">
        <v>2622</v>
      </c>
      <c r="B19" s="2835" t="s">
        <v>2623</v>
      </c>
      <c r="C19" s="2835" t="s">
        <v>2624</v>
      </c>
      <c r="D19" s="2836"/>
      <c r="E19" s="2830" t="s">
        <v>2625</v>
      </c>
      <c r="F19" s="2837"/>
      <c r="G19" s="2837"/>
    </row>
    <row r="20" spans="1:13" ht="19.5" customHeight="1">
      <c r="A20" s="3502" t="s">
        <v>2605</v>
      </c>
      <c r="B20" s="3495" t="s">
        <v>2626</v>
      </c>
      <c r="C20" s="2838" t="s">
        <v>2437</v>
      </c>
      <c r="D20" s="2839"/>
      <c r="E20" s="2840">
        <v>1</v>
      </c>
      <c r="F20" s="2841" t="s">
        <v>2438</v>
      </c>
      <c r="G20" s="2841"/>
    </row>
    <row r="21" spans="1:13" ht="19.5" customHeight="1">
      <c r="A21" s="3503"/>
      <c r="B21" s="3496"/>
      <c r="C21" s="2842" t="s">
        <v>2439</v>
      </c>
      <c r="D21" s="2843"/>
      <c r="E21" s="2844">
        <v>1</v>
      </c>
      <c r="F21" s="2841" t="s">
        <v>2440</v>
      </c>
      <c r="G21" s="2841"/>
    </row>
    <row r="22" spans="1:13" ht="19.5" customHeight="1">
      <c r="A22" s="3503"/>
      <c r="B22" s="3496"/>
      <c r="C22" s="2842" t="s">
        <v>2441</v>
      </c>
      <c r="D22" s="2843"/>
      <c r="E22" s="2844">
        <v>0.9</v>
      </c>
      <c r="F22" s="2841" t="s">
        <v>2442</v>
      </c>
      <c r="G22" s="2841"/>
    </row>
    <row r="23" spans="1:13" ht="19.5" customHeight="1">
      <c r="A23" s="3503"/>
      <c r="B23" s="3496"/>
      <c r="C23" s="2842" t="s">
        <v>2443</v>
      </c>
      <c r="D23" s="2843"/>
      <c r="E23" s="2844">
        <v>0.9</v>
      </c>
      <c r="F23" s="2841" t="s">
        <v>2444</v>
      </c>
      <c r="G23" s="2841"/>
    </row>
    <row r="24" spans="1:13" ht="19.5" customHeight="1">
      <c r="A24" s="3503"/>
      <c r="B24" s="3496"/>
      <c r="C24" s="2842" t="s">
        <v>2445</v>
      </c>
      <c r="D24" s="2843"/>
      <c r="E24" s="2844">
        <v>0.8</v>
      </c>
      <c r="F24" s="2841" t="s">
        <v>2446</v>
      </c>
      <c r="G24" s="2841"/>
    </row>
    <row r="25" spans="1:13" ht="19.5" customHeight="1" thickBot="1">
      <c r="A25" s="3504"/>
      <c r="B25" s="3497"/>
      <c r="C25" s="2845" t="s">
        <v>2447</v>
      </c>
      <c r="D25" s="2846"/>
      <c r="E25" s="2847">
        <v>0.8</v>
      </c>
      <c r="F25" s="2841" t="s">
        <v>2448</v>
      </c>
      <c r="G25" s="2841"/>
    </row>
    <row r="26" spans="1:13" ht="19.5" customHeight="1" thickBot="1">
      <c r="A26" s="2848" t="s">
        <v>2627</v>
      </c>
      <c r="B26" s="2849" t="s">
        <v>2626</v>
      </c>
      <c r="C26" s="2850" t="s">
        <v>2628</v>
      </c>
      <c r="D26" s="2851"/>
      <c r="E26" s="2852">
        <v>1</v>
      </c>
      <c r="F26" s="2841" t="s">
        <v>2449</v>
      </c>
      <c r="G26" s="2841"/>
    </row>
    <row r="27" spans="1:13" ht="19.5" customHeight="1">
      <c r="A27" s="3498" t="s">
        <v>2629</v>
      </c>
      <c r="B27" s="3495" t="s">
        <v>2610</v>
      </c>
      <c r="C27" s="2838" t="s">
        <v>2450</v>
      </c>
      <c r="D27" s="2839"/>
      <c r="E27" s="2840">
        <v>1</v>
      </c>
      <c r="F27" s="2841" t="s">
        <v>2451</v>
      </c>
      <c r="G27" s="2841"/>
    </row>
    <row r="28" spans="1:13" ht="19.5" customHeight="1">
      <c r="A28" s="3499"/>
      <c r="B28" s="3496"/>
      <c r="C28" s="2842" t="s">
        <v>2452</v>
      </c>
      <c r="D28" s="2843"/>
      <c r="E28" s="2844">
        <v>1</v>
      </c>
      <c r="F28" s="2841" t="s">
        <v>2453</v>
      </c>
      <c r="G28" s="2841"/>
    </row>
    <row r="29" spans="1:13" ht="19.5" customHeight="1">
      <c r="A29" s="3499"/>
      <c r="B29" s="3496"/>
      <c r="C29" s="2842" t="s">
        <v>2454</v>
      </c>
      <c r="D29" s="2843"/>
      <c r="E29" s="2844">
        <v>0.8</v>
      </c>
      <c r="F29" s="2841" t="s">
        <v>2455</v>
      </c>
      <c r="G29" s="2841"/>
    </row>
    <row r="30" spans="1:13" ht="19.5" customHeight="1">
      <c r="A30" s="3499"/>
      <c r="B30" s="3496"/>
      <c r="C30" s="2842" t="s">
        <v>2456</v>
      </c>
      <c r="D30" s="2843"/>
      <c r="E30" s="2844">
        <v>0.8</v>
      </c>
      <c r="F30" s="2841" t="s">
        <v>2457</v>
      </c>
      <c r="G30" s="2841"/>
    </row>
    <row r="31" spans="1:13" ht="19.5" customHeight="1">
      <c r="A31" s="3499"/>
      <c r="B31" s="3496"/>
      <c r="C31" s="2842" t="s">
        <v>2458</v>
      </c>
      <c r="D31" s="2843"/>
      <c r="E31" s="2844">
        <v>0.8</v>
      </c>
      <c r="F31" s="2841" t="s">
        <v>2459</v>
      </c>
      <c r="G31" s="2841"/>
    </row>
    <row r="32" spans="1:13" ht="19.5" customHeight="1">
      <c r="A32" s="3499"/>
      <c r="B32" s="3496"/>
      <c r="C32" s="2842" t="s">
        <v>2460</v>
      </c>
      <c r="D32" s="2843"/>
      <c r="E32" s="2844">
        <v>0.7</v>
      </c>
      <c r="F32" s="2841" t="s">
        <v>2461</v>
      </c>
      <c r="G32" s="2841"/>
    </row>
    <row r="33" spans="1:7" ht="19.5" customHeight="1">
      <c r="A33" s="3499"/>
      <c r="B33" s="3496"/>
      <c r="C33" s="2842" t="s">
        <v>2462</v>
      </c>
      <c r="D33" s="2843"/>
      <c r="E33" s="2844">
        <v>0.8</v>
      </c>
      <c r="F33" s="2841" t="s">
        <v>2463</v>
      </c>
      <c r="G33" s="2841"/>
    </row>
    <row r="34" spans="1:7" ht="19.5" customHeight="1">
      <c r="A34" s="3499"/>
      <c r="B34" s="3496"/>
      <c r="C34" s="2842" t="s">
        <v>2464</v>
      </c>
      <c r="D34" s="2843"/>
      <c r="E34" s="2844">
        <v>0.6</v>
      </c>
      <c r="F34" s="2841" t="s">
        <v>2465</v>
      </c>
      <c r="G34" s="2841"/>
    </row>
    <row r="35" spans="1:7" ht="19.5" customHeight="1">
      <c r="A35" s="3499"/>
      <c r="B35" s="3496"/>
      <c r="C35" s="2842" t="s">
        <v>2466</v>
      </c>
      <c r="D35" s="2843"/>
      <c r="E35" s="2844">
        <v>0.2</v>
      </c>
      <c r="F35" s="2841" t="s">
        <v>2467</v>
      </c>
      <c r="G35" s="2841"/>
    </row>
    <row r="36" spans="1:7" ht="19.5" customHeight="1">
      <c r="A36" s="3499"/>
      <c r="B36" s="3496"/>
      <c r="C36" s="2842" t="s">
        <v>2468</v>
      </c>
      <c r="D36" s="2843"/>
      <c r="E36" s="2844">
        <v>0.2</v>
      </c>
      <c r="F36" s="2841" t="s">
        <v>2469</v>
      </c>
      <c r="G36" s="2841"/>
    </row>
    <row r="37" spans="1:7" ht="19.5" customHeight="1">
      <c r="A37" s="3499"/>
      <c r="B37" s="3501" t="s">
        <v>2630</v>
      </c>
      <c r="C37" s="2842" t="s">
        <v>2470</v>
      </c>
      <c r="D37" s="2843"/>
      <c r="E37" s="2844">
        <v>0.6</v>
      </c>
      <c r="F37" s="2841" t="s">
        <v>2471</v>
      </c>
      <c r="G37" s="2841"/>
    </row>
    <row r="38" spans="1:7" ht="19.5" customHeight="1">
      <c r="A38" s="3499"/>
      <c r="B38" s="3496"/>
      <c r="C38" s="2842" t="s">
        <v>2472</v>
      </c>
      <c r="D38" s="2843"/>
      <c r="E38" s="2844">
        <v>0.6</v>
      </c>
      <c r="F38" s="2841" t="s">
        <v>2473</v>
      </c>
      <c r="G38" s="2841"/>
    </row>
    <row r="39" spans="1:7" ht="19.5" customHeight="1" thickBot="1">
      <c r="A39" s="3500"/>
      <c r="B39" s="3497"/>
      <c r="C39" s="2845" t="s">
        <v>2474</v>
      </c>
      <c r="D39" s="2846"/>
      <c r="E39" s="2847">
        <v>0.6</v>
      </c>
      <c r="F39" s="2841" t="s">
        <v>2475</v>
      </c>
      <c r="G39" s="2841"/>
    </row>
    <row r="40" spans="1:7" ht="19.5" customHeight="1" thickBot="1">
      <c r="A40" s="2848" t="s">
        <v>2607</v>
      </c>
      <c r="B40" s="2849" t="s">
        <v>2607</v>
      </c>
      <c r="C40" s="2850" t="s">
        <v>2631</v>
      </c>
      <c r="D40" s="2851"/>
      <c r="E40" s="2852">
        <v>1</v>
      </c>
      <c r="F40" s="2841" t="s">
        <v>2476</v>
      </c>
      <c r="G40" s="2841"/>
    </row>
    <row r="41" spans="1:7" ht="19.5" customHeight="1">
      <c r="A41" s="3502" t="s">
        <v>2608</v>
      </c>
      <c r="B41" s="3495" t="s">
        <v>2632</v>
      </c>
      <c r="C41" s="2838" t="s">
        <v>2477</v>
      </c>
      <c r="D41" s="2839"/>
      <c r="E41" s="2840">
        <v>1</v>
      </c>
      <c r="F41" s="2841" t="s">
        <v>2478</v>
      </c>
      <c r="G41" s="2841"/>
    </row>
    <row r="42" spans="1:7" ht="19.5" customHeight="1">
      <c r="A42" s="3503"/>
      <c r="B42" s="3496"/>
      <c r="C42" s="2842" t="s">
        <v>2479</v>
      </c>
      <c r="D42" s="2843"/>
      <c r="E42" s="2844">
        <v>1</v>
      </c>
      <c r="F42" s="2841" t="s">
        <v>2480</v>
      </c>
      <c r="G42" s="2841"/>
    </row>
    <row r="43" spans="1:7" ht="19.5" customHeight="1">
      <c r="A43" s="3503"/>
      <c r="B43" s="3505"/>
      <c r="C43" s="2842" t="s">
        <v>2481</v>
      </c>
      <c r="D43" s="2843"/>
      <c r="E43" s="2844">
        <v>1.5</v>
      </c>
      <c r="F43" s="2841" t="s">
        <v>2482</v>
      </c>
      <c r="G43" s="2841"/>
    </row>
    <row r="44" spans="1:7" ht="19.5" customHeight="1">
      <c r="A44" s="3503"/>
      <c r="B44" s="2853" t="s">
        <v>2633</v>
      </c>
      <c r="C44" s="2842" t="s">
        <v>2634</v>
      </c>
      <c r="D44" s="2843"/>
      <c r="E44" s="2844">
        <v>2</v>
      </c>
      <c r="F44" s="2841" t="s">
        <v>2483</v>
      </c>
      <c r="G44" s="2841"/>
    </row>
    <row r="45" spans="1:7" ht="19.5" customHeight="1">
      <c r="A45" s="3503"/>
      <c r="B45" s="3501" t="s">
        <v>2635</v>
      </c>
      <c r="C45" s="2842" t="s">
        <v>2484</v>
      </c>
      <c r="D45" s="2843"/>
      <c r="E45" s="2844">
        <v>1</v>
      </c>
      <c r="F45" s="2841" t="s">
        <v>2485</v>
      </c>
      <c r="G45" s="2841"/>
    </row>
    <row r="46" spans="1:7" ht="19.5" customHeight="1">
      <c r="A46" s="3503"/>
      <c r="B46" s="3496"/>
      <c r="C46" s="2842" t="s">
        <v>2486</v>
      </c>
      <c r="D46" s="2843"/>
      <c r="E46" s="2844">
        <v>1</v>
      </c>
      <c r="F46" s="2841" t="s">
        <v>2487</v>
      </c>
      <c r="G46" s="2841"/>
    </row>
    <row r="47" spans="1:7" ht="19.5" customHeight="1">
      <c r="A47" s="3503"/>
      <c r="B47" s="3496"/>
      <c r="C47" s="2842" t="s">
        <v>2488</v>
      </c>
      <c r="D47" s="2843"/>
      <c r="E47" s="2844">
        <v>1</v>
      </c>
      <c r="F47" s="2841" t="s">
        <v>2489</v>
      </c>
      <c r="G47" s="2841"/>
    </row>
    <row r="48" spans="1:7" ht="19.5" customHeight="1">
      <c r="A48" s="3503"/>
      <c r="B48" s="3496"/>
      <c r="C48" s="2842" t="s">
        <v>2490</v>
      </c>
      <c r="D48" s="2843"/>
      <c r="E48" s="2844">
        <v>1</v>
      </c>
      <c r="F48" s="2841" t="s">
        <v>2491</v>
      </c>
      <c r="G48" s="2841"/>
    </row>
    <row r="49" spans="1:7" ht="19.5" customHeight="1">
      <c r="A49" s="3503"/>
      <c r="B49" s="3496"/>
      <c r="C49" s="2842" t="s">
        <v>2492</v>
      </c>
      <c r="D49" s="2843"/>
      <c r="E49" s="2844">
        <v>1</v>
      </c>
      <c r="F49" s="2841" t="s">
        <v>2493</v>
      </c>
      <c r="G49" s="2841"/>
    </row>
    <row r="50" spans="1:7" ht="19.5" customHeight="1">
      <c r="A50" s="3503"/>
      <c r="B50" s="3496"/>
      <c r="C50" s="2842" t="s">
        <v>2494</v>
      </c>
      <c r="D50" s="2843"/>
      <c r="E50" s="2844">
        <v>1</v>
      </c>
      <c r="F50" s="2841" t="s">
        <v>2495</v>
      </c>
      <c r="G50" s="2841"/>
    </row>
    <row r="51" spans="1:7" ht="19.5" customHeight="1" thickBot="1">
      <c r="A51" s="3504"/>
      <c r="B51" s="3497"/>
      <c r="C51" s="2845" t="s">
        <v>2496</v>
      </c>
      <c r="D51" s="2846"/>
      <c r="E51" s="2847">
        <v>1</v>
      </c>
      <c r="F51" s="2841" t="s">
        <v>2497</v>
      </c>
      <c r="G51" s="2841"/>
    </row>
    <row r="52" spans="1:7" ht="19.5" customHeight="1">
      <c r="A52" s="2854"/>
      <c r="B52" s="2854"/>
      <c r="C52" s="2854"/>
      <c r="D52" s="2854"/>
      <c r="E52" s="2854"/>
      <c r="F52" s="2854"/>
      <c r="G52" s="2854"/>
    </row>
    <row r="54" spans="1:7" ht="19.5" customHeight="1">
      <c r="A54" s="2855"/>
      <c r="B54" s="2827" t="s">
        <v>2636</v>
      </c>
      <c r="C54" s="2827" t="s">
        <v>2636</v>
      </c>
      <c r="D54" s="2827" t="s">
        <v>2636</v>
      </c>
      <c r="E54" s="2830" t="s">
        <v>2636</v>
      </c>
      <c r="F54" s="2830" t="s">
        <v>2637</v>
      </c>
      <c r="G54" s="2830" t="s">
        <v>2638</v>
      </c>
    </row>
    <row r="55" spans="1:7" ht="19.5" customHeight="1">
      <c r="A55" s="2856"/>
      <c r="B55" s="2830" t="s">
        <v>2605</v>
      </c>
      <c r="C55" s="2830" t="s">
        <v>2605</v>
      </c>
      <c r="D55" s="2830" t="s">
        <v>2605</v>
      </c>
      <c r="E55" s="2827" t="s">
        <v>2606</v>
      </c>
      <c r="F55" s="2827" t="s">
        <v>2608</v>
      </c>
      <c r="G55" s="2827" t="s">
        <v>2639</v>
      </c>
    </row>
    <row r="56" spans="1:7" ht="19.5" customHeight="1">
      <c r="A56" s="2857"/>
      <c r="B56" s="2827">
        <v>1</v>
      </c>
      <c r="C56" s="2827">
        <v>2</v>
      </c>
      <c r="D56" s="2827">
        <v>3</v>
      </c>
      <c r="E56" s="2858" t="s">
        <v>2640</v>
      </c>
      <c r="F56" s="2858" t="s">
        <v>2640</v>
      </c>
      <c r="G56" s="2858" t="s">
        <v>2640</v>
      </c>
    </row>
    <row r="57" spans="1:7" ht="19.5" customHeight="1">
      <c r="A57" s="2859" t="s">
        <v>2593</v>
      </c>
      <c r="B57" s="2827">
        <v>0.7</v>
      </c>
      <c r="C57" s="2827">
        <v>0.4</v>
      </c>
      <c r="D57" s="2827">
        <v>0.3</v>
      </c>
      <c r="E57" s="2858">
        <v>0.3</v>
      </c>
      <c r="F57" s="2827">
        <v>0.3</v>
      </c>
      <c r="G57" s="2827">
        <v>0.2</v>
      </c>
    </row>
    <row r="58" spans="1:7" ht="19.5" customHeight="1">
      <c r="A58" s="2859" t="s">
        <v>2594</v>
      </c>
      <c r="B58" s="2827">
        <v>0.7</v>
      </c>
      <c r="C58" s="2827">
        <v>0.4</v>
      </c>
      <c r="D58" s="2827">
        <v>0.3</v>
      </c>
      <c r="E58" s="2827">
        <v>0.3</v>
      </c>
      <c r="F58" s="2827">
        <v>0.3</v>
      </c>
      <c r="G58" s="2827">
        <v>0.2</v>
      </c>
    </row>
    <row r="59" spans="1:7" ht="19.5" customHeight="1">
      <c r="A59" s="2859" t="s">
        <v>2595</v>
      </c>
      <c r="B59" s="2827">
        <v>0.6</v>
      </c>
      <c r="C59" s="2827">
        <v>0.3</v>
      </c>
      <c r="D59" s="2827">
        <v>0.25</v>
      </c>
      <c r="E59" s="2827">
        <v>0.25</v>
      </c>
      <c r="F59" s="2827">
        <v>0.25</v>
      </c>
      <c r="G59" s="2827">
        <v>0.15</v>
      </c>
    </row>
    <row r="60" spans="1:7" ht="19.5" customHeight="1">
      <c r="A60" s="2859" t="s">
        <v>2596</v>
      </c>
      <c r="B60" s="2827">
        <v>0.6</v>
      </c>
      <c r="C60" s="2827">
        <v>0.3</v>
      </c>
      <c r="D60" s="2827">
        <v>0.25</v>
      </c>
      <c r="E60" s="2827">
        <v>0.25</v>
      </c>
      <c r="F60" s="2827">
        <v>0.25</v>
      </c>
      <c r="G60" s="2827">
        <v>0.15</v>
      </c>
    </row>
    <row r="61" spans="1:7" ht="19.5" customHeight="1">
      <c r="A61" s="2859" t="s">
        <v>2597</v>
      </c>
      <c r="B61" s="2827">
        <v>0.6</v>
      </c>
      <c r="C61" s="2827">
        <v>0.3</v>
      </c>
      <c r="D61" s="2827">
        <v>0.25</v>
      </c>
      <c r="E61" s="2827">
        <v>0.25</v>
      </c>
      <c r="F61" s="2827">
        <v>0.25</v>
      </c>
      <c r="G61" s="2827">
        <v>0.15</v>
      </c>
    </row>
    <row r="62" spans="1:7" ht="19.5" customHeight="1">
      <c r="A62" s="2859" t="s">
        <v>2598</v>
      </c>
      <c r="B62" s="2827">
        <v>0.6</v>
      </c>
      <c r="C62" s="2827">
        <v>0.3</v>
      </c>
      <c r="D62" s="2827">
        <v>0.25</v>
      </c>
      <c r="E62" s="2827">
        <v>0.25</v>
      </c>
      <c r="F62" s="2827">
        <v>0.25</v>
      </c>
      <c r="G62" s="2827">
        <v>0.15</v>
      </c>
    </row>
    <row r="63" spans="1:7" ht="19.5" customHeight="1">
      <c r="A63" s="2859" t="s">
        <v>2599</v>
      </c>
      <c r="B63" s="2827">
        <v>0.6</v>
      </c>
      <c r="C63" s="2827">
        <v>0.3</v>
      </c>
      <c r="D63" s="2827">
        <v>0.25</v>
      </c>
      <c r="E63" s="2827">
        <v>0.25</v>
      </c>
      <c r="F63" s="2827">
        <v>0.25</v>
      </c>
      <c r="G63" s="2827">
        <v>0.15</v>
      </c>
    </row>
    <row r="64" spans="1:7" ht="19.5" customHeight="1">
      <c r="A64" s="2859" t="s">
        <v>2600</v>
      </c>
      <c r="B64" s="2827">
        <v>0.5</v>
      </c>
      <c r="C64" s="2827">
        <v>0.2</v>
      </c>
      <c r="D64" s="2827">
        <v>0.2</v>
      </c>
      <c r="E64" s="2827">
        <v>0.2</v>
      </c>
      <c r="F64" s="2827">
        <v>0.2</v>
      </c>
      <c r="G64" s="2827">
        <v>0.1</v>
      </c>
    </row>
    <row r="65" spans="1:7" ht="19.5" customHeight="1">
      <c r="A65" s="2859" t="s">
        <v>2601</v>
      </c>
      <c r="B65" s="2827">
        <v>0.5</v>
      </c>
      <c r="C65" s="2827">
        <v>0.2</v>
      </c>
      <c r="D65" s="2827">
        <v>0.2</v>
      </c>
      <c r="E65" s="2827">
        <v>0.2</v>
      </c>
      <c r="F65" s="2827">
        <v>0.2</v>
      </c>
      <c r="G65" s="2827">
        <v>0.1</v>
      </c>
    </row>
    <row r="66" spans="1:7" ht="19.5" customHeight="1">
      <c r="A66" s="2859" t="s">
        <v>2602</v>
      </c>
      <c r="B66" s="2827">
        <v>0.5</v>
      </c>
      <c r="C66" s="2827">
        <v>0.2</v>
      </c>
      <c r="D66" s="2827">
        <v>0.2</v>
      </c>
      <c r="E66" s="2827">
        <v>0.2</v>
      </c>
      <c r="F66" s="2827">
        <v>0.2</v>
      </c>
      <c r="G66" s="2827">
        <v>0.1</v>
      </c>
    </row>
    <row r="67" spans="1:7" ht="19.5" customHeight="1">
      <c r="A67" s="2859" t="s">
        <v>2603</v>
      </c>
      <c r="B67" s="2827">
        <v>0.5</v>
      </c>
      <c r="C67" s="2827">
        <v>0.2</v>
      </c>
      <c r="D67" s="2827">
        <v>0.2</v>
      </c>
      <c r="E67" s="2827">
        <v>0.2</v>
      </c>
      <c r="F67" s="2827">
        <v>0.2</v>
      </c>
      <c r="G67" s="2827">
        <v>0.1</v>
      </c>
    </row>
    <row r="68" spans="1:7" ht="19.5" customHeight="1">
      <c r="A68" s="2859" t="s">
        <v>2604</v>
      </c>
      <c r="B68" s="2827">
        <v>0.5</v>
      </c>
      <c r="C68" s="2827">
        <v>0.2</v>
      </c>
      <c r="D68" s="2827">
        <v>0.2</v>
      </c>
      <c r="E68" s="2827">
        <v>0.2</v>
      </c>
      <c r="F68" s="2827">
        <v>0.2</v>
      </c>
      <c r="G68" s="2827">
        <v>0.1</v>
      </c>
    </row>
    <row r="70" spans="1:7" ht="19.5" customHeight="1">
      <c r="A70" s="2841"/>
      <c r="B70" s="2860"/>
      <c r="C70" s="2860"/>
      <c r="D70" s="2860" t="s">
        <v>2641</v>
      </c>
      <c r="E70" s="2860"/>
      <c r="F70" s="2860"/>
    </row>
    <row r="71" spans="1:7" ht="19.5" customHeight="1">
      <c r="A71" s="2853" t="s">
        <v>2642</v>
      </c>
      <c r="B71" s="2853" t="s">
        <v>2643</v>
      </c>
      <c r="C71" s="2853" t="s">
        <v>2644</v>
      </c>
      <c r="D71" s="2853" t="s">
        <v>2645</v>
      </c>
      <c r="E71" s="2853" t="s">
        <v>2646</v>
      </c>
      <c r="F71" s="2853" t="s">
        <v>2647</v>
      </c>
    </row>
    <row r="72" spans="1:7" ht="14.4">
      <c r="A72" s="2853"/>
      <c r="B72" s="2853"/>
      <c r="C72" s="2853" t="s">
        <v>2648</v>
      </c>
      <c r="D72" s="2853"/>
      <c r="E72" s="2853" t="s">
        <v>2619</v>
      </c>
      <c r="F72" s="2853" t="s">
        <v>2619</v>
      </c>
    </row>
    <row r="73" spans="1:7" ht="14.4">
      <c r="A73" s="2853">
        <v>1</v>
      </c>
      <c r="B73" s="3501" t="s">
        <v>2649</v>
      </c>
      <c r="C73" s="2827" t="s">
        <v>2650</v>
      </c>
      <c r="D73" s="2827" t="s">
        <v>2651</v>
      </c>
      <c r="E73" s="2853">
        <v>0.2</v>
      </c>
      <c r="F73" s="2853">
        <v>25</v>
      </c>
    </row>
    <row r="74" spans="1:7" ht="24">
      <c r="A74" s="2853">
        <v>2</v>
      </c>
      <c r="B74" s="3496"/>
      <c r="C74" s="2827" t="s">
        <v>2652</v>
      </c>
      <c r="D74" s="2827" t="s">
        <v>2653</v>
      </c>
      <c r="E74" s="2853">
        <v>0.2</v>
      </c>
      <c r="F74" s="2853">
        <v>25</v>
      </c>
    </row>
    <row r="75" spans="1:7" ht="24">
      <c r="A75" s="2853">
        <v>3</v>
      </c>
      <c r="B75" s="3496"/>
      <c r="C75" s="2827" t="s">
        <v>2654</v>
      </c>
      <c r="D75" s="2827" t="s">
        <v>2655</v>
      </c>
      <c r="E75" s="2853">
        <v>0.2</v>
      </c>
      <c r="F75" s="2853">
        <v>25</v>
      </c>
    </row>
    <row r="76" spans="1:7" ht="14.4">
      <c r="A76" s="2853">
        <v>4</v>
      </c>
      <c r="B76" s="3496"/>
      <c r="C76" s="2827" t="s">
        <v>2656</v>
      </c>
      <c r="D76" s="2827" t="s">
        <v>2657</v>
      </c>
      <c r="E76" s="2853">
        <v>0.15</v>
      </c>
      <c r="F76" s="2853">
        <v>20</v>
      </c>
    </row>
    <row r="77" spans="1:7" ht="24">
      <c r="A77" s="2853">
        <v>5</v>
      </c>
      <c r="B77" s="3496"/>
      <c r="C77" s="2827" t="s">
        <v>2658</v>
      </c>
      <c r="D77" s="2827" t="s">
        <v>2659</v>
      </c>
      <c r="E77" s="2853">
        <v>0.15</v>
      </c>
      <c r="F77" s="2853">
        <v>20</v>
      </c>
    </row>
    <row r="78" spans="1:7" ht="24">
      <c r="A78" s="2853">
        <v>6</v>
      </c>
      <c r="B78" s="3496"/>
      <c r="C78" s="2827" t="s">
        <v>2660</v>
      </c>
      <c r="D78" s="2827" t="s">
        <v>2661</v>
      </c>
      <c r="E78" s="2853">
        <v>0.15</v>
      </c>
      <c r="F78" s="2853">
        <v>20</v>
      </c>
    </row>
    <row r="79" spans="1:7" ht="24">
      <c r="A79" s="2853">
        <v>7</v>
      </c>
      <c r="B79" s="3496"/>
      <c r="C79" s="2827" t="s">
        <v>2662</v>
      </c>
      <c r="D79" s="2827" t="s">
        <v>2663</v>
      </c>
      <c r="E79" s="2853">
        <v>0.15</v>
      </c>
      <c r="F79" s="2853">
        <v>20</v>
      </c>
    </row>
    <row r="80" spans="1:7" ht="24">
      <c r="A80" s="2853">
        <v>8</v>
      </c>
      <c r="B80" s="3496"/>
      <c r="C80" s="2827" t="s">
        <v>2664</v>
      </c>
      <c r="D80" s="2827" t="s">
        <v>2665</v>
      </c>
      <c r="E80" s="2853">
        <v>0.1</v>
      </c>
      <c r="F80" s="2853">
        <v>15</v>
      </c>
    </row>
    <row r="81" spans="1:6" ht="24">
      <c r="A81" s="2853">
        <v>9</v>
      </c>
      <c r="B81" s="3496"/>
      <c r="C81" s="2827" t="s">
        <v>2666</v>
      </c>
      <c r="D81" s="2827" t="s">
        <v>2667</v>
      </c>
      <c r="E81" s="2853">
        <v>0.1</v>
      </c>
      <c r="F81" s="2853">
        <v>15</v>
      </c>
    </row>
    <row r="82" spans="1:6" ht="24">
      <c r="A82" s="2853">
        <v>10</v>
      </c>
      <c r="B82" s="3496"/>
      <c r="C82" s="2827" t="s">
        <v>2668</v>
      </c>
      <c r="D82" s="2827" t="s">
        <v>2669</v>
      </c>
      <c r="E82" s="2853">
        <v>0.1</v>
      </c>
      <c r="F82" s="2853">
        <v>15</v>
      </c>
    </row>
    <row r="83" spans="1:6" ht="24">
      <c r="A83" s="2853">
        <v>11</v>
      </c>
      <c r="B83" s="3496"/>
      <c r="C83" s="2827" t="s">
        <v>2670</v>
      </c>
      <c r="D83" s="2827" t="s">
        <v>2671</v>
      </c>
      <c r="E83" s="2853">
        <v>0.1</v>
      </c>
      <c r="F83" s="2853">
        <v>15</v>
      </c>
    </row>
    <row r="84" spans="1:6" ht="24">
      <c r="A84" s="2853">
        <v>12</v>
      </c>
      <c r="B84" s="3496"/>
      <c r="C84" s="2827" t="s">
        <v>2672</v>
      </c>
      <c r="D84" s="2827" t="s">
        <v>2673</v>
      </c>
      <c r="E84" s="2853">
        <v>0.1</v>
      </c>
      <c r="F84" s="2853">
        <v>15</v>
      </c>
    </row>
    <row r="85" spans="1:6" ht="24">
      <c r="A85" s="2853">
        <v>13</v>
      </c>
      <c r="B85" s="3496"/>
      <c r="C85" s="2827" t="s">
        <v>2674</v>
      </c>
      <c r="D85" s="2827" t="s">
        <v>2675</v>
      </c>
      <c r="E85" s="2853">
        <v>0.1</v>
      </c>
      <c r="F85" s="2853">
        <v>15</v>
      </c>
    </row>
    <row r="86" spans="1:6" ht="24">
      <c r="A86" s="2853">
        <v>14</v>
      </c>
      <c r="B86" s="3496"/>
      <c r="C86" s="2827" t="s">
        <v>2676</v>
      </c>
      <c r="D86" s="2827" t="s">
        <v>2677</v>
      </c>
      <c r="E86" s="2853">
        <v>0.1</v>
      </c>
      <c r="F86" s="2853">
        <v>15</v>
      </c>
    </row>
    <row r="87" spans="1:6" ht="24">
      <c r="A87" s="2853">
        <v>15</v>
      </c>
      <c r="B87" s="3496"/>
      <c r="C87" s="2827" t="s">
        <v>2678</v>
      </c>
      <c r="D87" s="2827" t="s">
        <v>2679</v>
      </c>
      <c r="E87" s="2853">
        <v>0.1</v>
      </c>
      <c r="F87" s="2853">
        <v>15</v>
      </c>
    </row>
    <row r="88" spans="1:6" ht="24">
      <c r="A88" s="2853">
        <v>16</v>
      </c>
      <c r="B88" s="3496"/>
      <c r="C88" s="2827" t="s">
        <v>2680</v>
      </c>
      <c r="D88" s="2827" t="s">
        <v>2681</v>
      </c>
      <c r="E88" s="2853">
        <v>0.1</v>
      </c>
      <c r="F88" s="2853">
        <v>15</v>
      </c>
    </row>
    <row r="89" spans="1:6" ht="24">
      <c r="A89" s="2853">
        <v>17</v>
      </c>
      <c r="B89" s="3505"/>
      <c r="C89" s="2827" t="s">
        <v>2682</v>
      </c>
      <c r="D89" s="2827" t="s">
        <v>2683</v>
      </c>
      <c r="E89" s="2853">
        <v>0.1</v>
      </c>
      <c r="F89" s="2853">
        <v>15</v>
      </c>
    </row>
    <row r="90" spans="1:6" ht="14.4">
      <c r="A90" s="2853">
        <v>18</v>
      </c>
      <c r="B90" s="3501" t="s">
        <v>2684</v>
      </c>
      <c r="C90" s="2827" t="s">
        <v>2685</v>
      </c>
      <c r="D90" s="2827" t="s">
        <v>2686</v>
      </c>
      <c r="E90" s="2853">
        <v>0.2</v>
      </c>
      <c r="F90" s="2853">
        <v>25</v>
      </c>
    </row>
    <row r="91" spans="1:6" ht="24">
      <c r="A91" s="2853">
        <v>19</v>
      </c>
      <c r="B91" s="3496"/>
      <c r="C91" s="2827" t="s">
        <v>2687</v>
      </c>
      <c r="D91" s="2827" t="s">
        <v>2688</v>
      </c>
      <c r="E91" s="2853">
        <v>0.2</v>
      </c>
      <c r="F91" s="2853">
        <v>25</v>
      </c>
    </row>
    <row r="92" spans="1:6" ht="14.4">
      <c r="A92" s="2853">
        <v>20</v>
      </c>
      <c r="B92" s="3496"/>
      <c r="C92" s="2827" t="s">
        <v>2689</v>
      </c>
      <c r="D92" s="2827" t="s">
        <v>2690</v>
      </c>
      <c r="E92" s="2853">
        <v>0.15</v>
      </c>
      <c r="F92" s="2853">
        <v>20</v>
      </c>
    </row>
    <row r="93" spans="1:6" ht="24">
      <c r="A93" s="2853">
        <v>21</v>
      </c>
      <c r="B93" s="3496"/>
      <c r="C93" s="2827" t="s">
        <v>2691</v>
      </c>
      <c r="D93" s="2827" t="s">
        <v>2692</v>
      </c>
      <c r="E93" s="2853">
        <v>0.15</v>
      </c>
      <c r="F93" s="2853">
        <v>20</v>
      </c>
    </row>
    <row r="94" spans="1:6" ht="24">
      <c r="A94" s="2853">
        <v>22</v>
      </c>
      <c r="B94" s="3496"/>
      <c r="C94" s="2827" t="s">
        <v>2693</v>
      </c>
      <c r="D94" s="2827" t="s">
        <v>2694</v>
      </c>
      <c r="E94" s="2853">
        <v>0.15</v>
      </c>
      <c r="F94" s="2853">
        <v>20</v>
      </c>
    </row>
    <row r="95" spans="1:6" ht="36">
      <c r="A95" s="2853">
        <v>23</v>
      </c>
      <c r="B95" s="3496"/>
      <c r="C95" s="2827" t="s">
        <v>2695</v>
      </c>
      <c r="D95" s="2827" t="s">
        <v>2696</v>
      </c>
      <c r="E95" s="2853">
        <v>0.15</v>
      </c>
      <c r="F95" s="2853">
        <v>20</v>
      </c>
    </row>
    <row r="96" spans="1:6" ht="24">
      <c r="A96" s="2853">
        <v>24</v>
      </c>
      <c r="B96" s="3496"/>
      <c r="C96" s="2827" t="s">
        <v>2697</v>
      </c>
      <c r="D96" s="2827" t="s">
        <v>2698</v>
      </c>
      <c r="E96" s="2853">
        <v>0.1</v>
      </c>
      <c r="F96" s="2853">
        <v>15</v>
      </c>
    </row>
    <row r="97" spans="1:6" ht="24">
      <c r="A97" s="2853">
        <v>25</v>
      </c>
      <c r="B97" s="3496"/>
      <c r="C97" s="2827" t="s">
        <v>2699</v>
      </c>
      <c r="D97" s="2827" t="s">
        <v>2700</v>
      </c>
      <c r="E97" s="2853">
        <v>0.1</v>
      </c>
      <c r="F97" s="2853">
        <v>15</v>
      </c>
    </row>
    <row r="98" spans="1:6" ht="24">
      <c r="A98" s="2853">
        <v>26</v>
      </c>
      <c r="B98" s="3496"/>
      <c r="C98" s="2827" t="s">
        <v>2701</v>
      </c>
      <c r="D98" s="2827" t="s">
        <v>2702</v>
      </c>
      <c r="E98" s="2853">
        <v>0.1</v>
      </c>
      <c r="F98" s="2853">
        <v>15</v>
      </c>
    </row>
    <row r="99" spans="1:6" ht="24">
      <c r="A99" s="2853">
        <v>27</v>
      </c>
      <c r="B99" s="3496"/>
      <c r="C99" s="2827" t="s">
        <v>2703</v>
      </c>
      <c r="D99" s="2827" t="s">
        <v>2704</v>
      </c>
      <c r="E99" s="2853">
        <v>0.1</v>
      </c>
      <c r="F99" s="2853">
        <v>15</v>
      </c>
    </row>
    <row r="100" spans="1:6" ht="24">
      <c r="A100" s="2853">
        <v>28</v>
      </c>
      <c r="B100" s="3496"/>
      <c r="C100" s="2827" t="s">
        <v>2705</v>
      </c>
      <c r="D100" s="2827" t="s">
        <v>2706</v>
      </c>
      <c r="E100" s="2853">
        <v>0.1</v>
      </c>
      <c r="F100" s="2853">
        <v>15</v>
      </c>
    </row>
    <row r="101" spans="1:6" ht="24">
      <c r="A101" s="2853">
        <v>29</v>
      </c>
      <c r="B101" s="3496"/>
      <c r="C101" s="2827" t="s">
        <v>2707</v>
      </c>
      <c r="D101" s="2827" t="s">
        <v>2708</v>
      </c>
      <c r="E101" s="2853">
        <v>0.1</v>
      </c>
      <c r="F101" s="2853">
        <v>15</v>
      </c>
    </row>
    <row r="102" spans="1:6" ht="24">
      <c r="A102" s="2853">
        <v>30</v>
      </c>
      <c r="B102" s="3496"/>
      <c r="C102" s="2827" t="s">
        <v>2709</v>
      </c>
      <c r="D102" s="2827" t="s">
        <v>2710</v>
      </c>
      <c r="E102" s="2853">
        <v>0.1</v>
      </c>
      <c r="F102" s="2853">
        <v>15</v>
      </c>
    </row>
    <row r="103" spans="1:6" ht="24">
      <c r="A103" s="2853">
        <v>31</v>
      </c>
      <c r="B103" s="3496"/>
      <c r="C103" s="2827" t="s">
        <v>2711</v>
      </c>
      <c r="D103" s="2827" t="s">
        <v>2712</v>
      </c>
      <c r="E103" s="2853">
        <v>0.1</v>
      </c>
      <c r="F103" s="2853">
        <v>15</v>
      </c>
    </row>
    <row r="104" spans="1:6" ht="24">
      <c r="A104" s="2853">
        <v>32</v>
      </c>
      <c r="B104" s="3496"/>
      <c r="C104" s="2827" t="s">
        <v>2713</v>
      </c>
      <c r="D104" s="2827" t="s">
        <v>2714</v>
      </c>
      <c r="E104" s="2853">
        <v>0.1</v>
      </c>
      <c r="F104" s="2853">
        <v>15</v>
      </c>
    </row>
    <row r="105" spans="1:6" ht="24">
      <c r="A105" s="2853">
        <v>33</v>
      </c>
      <c r="B105" s="3496"/>
      <c r="C105" s="2827" t="s">
        <v>2715</v>
      </c>
      <c r="D105" s="2827" t="s">
        <v>2716</v>
      </c>
      <c r="E105" s="2853">
        <v>0.1</v>
      </c>
      <c r="F105" s="2853">
        <v>15</v>
      </c>
    </row>
    <row r="106" spans="1:6" ht="24">
      <c r="A106" s="2853">
        <v>34</v>
      </c>
      <c r="B106" s="3505"/>
      <c r="C106" s="2827" t="s">
        <v>2717</v>
      </c>
      <c r="D106" s="2827" t="s">
        <v>2718</v>
      </c>
      <c r="E106" s="2853">
        <v>0.1</v>
      </c>
      <c r="F106" s="2853">
        <v>15</v>
      </c>
    </row>
    <row r="107" spans="1:6" ht="36">
      <c r="A107" s="2853">
        <v>35</v>
      </c>
      <c r="B107" s="3501" t="s">
        <v>2719</v>
      </c>
      <c r="C107" s="2853" t="s">
        <v>2720</v>
      </c>
      <c r="D107" s="2827" t="s">
        <v>2721</v>
      </c>
      <c r="E107" s="2853">
        <v>0.15</v>
      </c>
      <c r="F107" s="2853">
        <v>20</v>
      </c>
    </row>
    <row r="108" spans="1:6" ht="24">
      <c r="A108" s="2853">
        <v>36</v>
      </c>
      <c r="B108" s="3496"/>
      <c r="C108" s="2853" t="s">
        <v>2722</v>
      </c>
      <c r="D108" s="2827" t="s">
        <v>2723</v>
      </c>
      <c r="E108" s="2853">
        <v>0.15</v>
      </c>
      <c r="F108" s="2853">
        <v>20</v>
      </c>
    </row>
    <row r="109" spans="1:6" ht="24">
      <c r="A109" s="2853">
        <v>37</v>
      </c>
      <c r="B109" s="3496"/>
      <c r="C109" s="2853" t="s">
        <v>2724</v>
      </c>
      <c r="D109" s="2827" t="s">
        <v>2725</v>
      </c>
      <c r="E109" s="2853">
        <v>0.15</v>
      </c>
      <c r="F109" s="2853">
        <v>20</v>
      </c>
    </row>
    <row r="110" spans="1:6" ht="24">
      <c r="A110" s="2853">
        <v>38</v>
      </c>
      <c r="B110" s="3496"/>
      <c r="C110" s="2853" t="s">
        <v>2726</v>
      </c>
      <c r="D110" s="2827" t="s">
        <v>2727</v>
      </c>
      <c r="E110" s="2853">
        <v>0.1</v>
      </c>
      <c r="F110" s="2853">
        <v>15</v>
      </c>
    </row>
    <row r="111" spans="1:6" ht="24">
      <c r="A111" s="2853">
        <v>39</v>
      </c>
      <c r="B111" s="3496"/>
      <c r="C111" s="2853" t="s">
        <v>2728</v>
      </c>
      <c r="D111" s="2827" t="s">
        <v>2729</v>
      </c>
      <c r="E111" s="2853">
        <v>0.1</v>
      </c>
      <c r="F111" s="2853">
        <v>15</v>
      </c>
    </row>
    <row r="112" spans="1:6" ht="24">
      <c r="A112" s="2853">
        <v>40</v>
      </c>
      <c r="B112" s="3505"/>
      <c r="C112" s="2853" t="s">
        <v>2730</v>
      </c>
      <c r="D112" s="2827" t="s">
        <v>2731</v>
      </c>
      <c r="E112" s="2853">
        <v>0.1</v>
      </c>
      <c r="F112" s="2853">
        <v>15</v>
      </c>
    </row>
    <row r="113" spans="1:6" ht="24">
      <c r="A113" s="2853">
        <v>41</v>
      </c>
      <c r="B113" s="3506" t="s">
        <v>2732</v>
      </c>
      <c r="C113" s="2853" t="s">
        <v>2733</v>
      </c>
      <c r="D113" s="2827" t="s">
        <v>2734</v>
      </c>
      <c r="E113" s="2853">
        <v>0.1</v>
      </c>
      <c r="F113" s="2853">
        <v>15</v>
      </c>
    </row>
    <row r="114" spans="1:6" ht="24">
      <c r="A114" s="2853">
        <v>42</v>
      </c>
      <c r="B114" s="3506"/>
      <c r="C114" s="2853" t="s">
        <v>2735</v>
      </c>
      <c r="D114" s="2827" t="s">
        <v>2736</v>
      </c>
      <c r="E114" s="2853">
        <v>0.1</v>
      </c>
      <c r="F114" s="2853">
        <v>15</v>
      </c>
    </row>
    <row r="115" spans="1:6" ht="24">
      <c r="A115" s="2853">
        <v>43</v>
      </c>
      <c r="B115" s="3506"/>
      <c r="C115" s="2853" t="s">
        <v>2737</v>
      </c>
      <c r="D115" s="2827" t="s">
        <v>2738</v>
      </c>
      <c r="E115" s="2853">
        <v>0.1</v>
      </c>
      <c r="F115" s="2853">
        <v>15</v>
      </c>
    </row>
    <row r="116" spans="1:6" ht="24">
      <c r="A116" s="2853">
        <v>44</v>
      </c>
      <c r="B116" s="3501" t="s">
        <v>2739</v>
      </c>
      <c r="C116" s="2853" t="s">
        <v>2740</v>
      </c>
      <c r="D116" s="2827" t="s">
        <v>2741</v>
      </c>
      <c r="E116" s="2853">
        <v>0.1</v>
      </c>
      <c r="F116" s="2853">
        <v>15</v>
      </c>
    </row>
    <row r="117" spans="1:6" ht="24">
      <c r="A117" s="2853">
        <v>45</v>
      </c>
      <c r="B117" s="3505"/>
      <c r="C117" s="2827" t="s">
        <v>2742</v>
      </c>
      <c r="D117" s="2827" t="s">
        <v>2743</v>
      </c>
      <c r="E117" s="2853">
        <v>0.1</v>
      </c>
      <c r="F117" s="2853">
        <v>15</v>
      </c>
    </row>
    <row r="118" spans="1:6" ht="24">
      <c r="A118" s="2853">
        <v>46</v>
      </c>
      <c r="B118" s="3501" t="s">
        <v>2744</v>
      </c>
      <c r="C118" s="2853" t="s">
        <v>2745</v>
      </c>
      <c r="D118" s="2827" t="s">
        <v>2746</v>
      </c>
      <c r="E118" s="2853">
        <v>0.1</v>
      </c>
      <c r="F118" s="2853">
        <v>15</v>
      </c>
    </row>
    <row r="119" spans="1:6" ht="24">
      <c r="A119" s="2853">
        <v>47</v>
      </c>
      <c r="B119" s="3505"/>
      <c r="C119" s="2853" t="s">
        <v>2747</v>
      </c>
      <c r="D119" s="2827" t="s">
        <v>2748</v>
      </c>
      <c r="E119" s="2853">
        <v>0.1</v>
      </c>
      <c r="F119" s="2853">
        <v>15</v>
      </c>
    </row>
    <row r="120" spans="1:6" ht="24">
      <c r="A120" s="2853">
        <v>48</v>
      </c>
      <c r="B120" s="3501" t="s">
        <v>2749</v>
      </c>
      <c r="C120" s="2853" t="s">
        <v>2750</v>
      </c>
      <c r="D120" s="2827" t="s">
        <v>2751</v>
      </c>
      <c r="E120" s="2853">
        <v>0.1</v>
      </c>
      <c r="F120" s="2853">
        <v>15</v>
      </c>
    </row>
    <row r="121" spans="1:6" ht="24">
      <c r="A121" s="2853">
        <v>49</v>
      </c>
      <c r="B121" s="3505"/>
      <c r="C121" s="2853" t="s">
        <v>2752</v>
      </c>
      <c r="D121" s="2827" t="s">
        <v>2753</v>
      </c>
      <c r="E121" s="2853">
        <v>0.1</v>
      </c>
      <c r="F121" s="2853">
        <v>15</v>
      </c>
    </row>
    <row r="122" spans="1:6" ht="24">
      <c r="A122" s="2853">
        <v>50</v>
      </c>
      <c r="B122" s="3506" t="s">
        <v>2754</v>
      </c>
      <c r="C122" s="2853" t="s">
        <v>2755</v>
      </c>
      <c r="D122" s="2827" t="s">
        <v>2756</v>
      </c>
      <c r="E122" s="2853">
        <v>0.1</v>
      </c>
      <c r="F122" s="2853">
        <v>15</v>
      </c>
    </row>
    <row r="123" spans="1:6" ht="24">
      <c r="A123" s="2853">
        <v>51</v>
      </c>
      <c r="B123" s="3506"/>
      <c r="C123" s="2853" t="s">
        <v>2757</v>
      </c>
      <c r="D123" s="2827" t="s">
        <v>2758</v>
      </c>
      <c r="E123" s="2853">
        <v>0.1</v>
      </c>
      <c r="F123" s="2853">
        <v>15</v>
      </c>
    </row>
    <row r="124" spans="1:6" ht="24">
      <c r="A124" s="2853">
        <v>52</v>
      </c>
      <c r="B124" s="3506" t="s">
        <v>2759</v>
      </c>
      <c r="C124" s="2853" t="s">
        <v>2760</v>
      </c>
      <c r="D124" s="2827" t="s">
        <v>2761</v>
      </c>
      <c r="E124" s="2853">
        <v>0.1</v>
      </c>
      <c r="F124" s="2853">
        <v>15</v>
      </c>
    </row>
    <row r="125" spans="1:6" ht="24">
      <c r="A125" s="2853">
        <v>53</v>
      </c>
      <c r="B125" s="3506"/>
      <c r="C125" s="2853" t="s">
        <v>2762</v>
      </c>
      <c r="D125" s="2827" t="s">
        <v>2763</v>
      </c>
      <c r="E125" s="2853">
        <v>0.1</v>
      </c>
      <c r="F125" s="2853">
        <v>15</v>
      </c>
    </row>
    <row r="126" spans="1:6" ht="24">
      <c r="A126" s="2853">
        <v>54</v>
      </c>
      <c r="B126" s="2853" t="s">
        <v>2764</v>
      </c>
      <c r="C126" s="2853" t="s">
        <v>2765</v>
      </c>
      <c r="D126" s="2827" t="s">
        <v>2766</v>
      </c>
      <c r="E126" s="2853">
        <v>0.1</v>
      </c>
      <c r="F126" s="2853">
        <v>15</v>
      </c>
    </row>
    <row r="127" spans="1:6" ht="24">
      <c r="A127" s="2853">
        <v>55</v>
      </c>
      <c r="B127" s="3506" t="s">
        <v>2767</v>
      </c>
      <c r="C127" s="2853" t="s">
        <v>2768</v>
      </c>
      <c r="D127" s="2827" t="s">
        <v>2769</v>
      </c>
      <c r="E127" s="2853">
        <v>0.1</v>
      </c>
      <c r="F127" s="2853">
        <v>15</v>
      </c>
    </row>
    <row r="128" spans="1:6" ht="24">
      <c r="A128" s="2853">
        <v>56</v>
      </c>
      <c r="B128" s="3506"/>
      <c r="C128" s="2853" t="s">
        <v>2770</v>
      </c>
      <c r="D128" s="2827" t="s">
        <v>2771</v>
      </c>
      <c r="E128" s="2853">
        <v>0.1</v>
      </c>
      <c r="F128" s="2853">
        <v>15</v>
      </c>
    </row>
    <row r="129" spans="1:6" ht="24">
      <c r="A129" s="2853">
        <v>57</v>
      </c>
      <c r="B129" s="3506"/>
      <c r="C129" s="2853" t="s">
        <v>2772</v>
      </c>
      <c r="D129" s="2827" t="s">
        <v>2773</v>
      </c>
      <c r="E129" s="2853">
        <v>0.1</v>
      </c>
      <c r="F129" s="2853">
        <v>15</v>
      </c>
    </row>
    <row r="130" spans="1:6" ht="24">
      <c r="A130" s="2853">
        <v>58</v>
      </c>
      <c r="B130" s="3506" t="s">
        <v>2774</v>
      </c>
      <c r="C130" s="2853" t="s">
        <v>2775</v>
      </c>
      <c r="D130" s="2827" t="s">
        <v>2776</v>
      </c>
      <c r="E130" s="2853">
        <v>0.1</v>
      </c>
      <c r="F130" s="2853">
        <v>15</v>
      </c>
    </row>
    <row r="131" spans="1:6" ht="24">
      <c r="A131" s="2853">
        <v>59</v>
      </c>
      <c r="B131" s="3506"/>
      <c r="C131" s="2853" t="s">
        <v>2777</v>
      </c>
      <c r="D131" s="2827" t="s">
        <v>2778</v>
      </c>
      <c r="E131" s="2853">
        <v>0.1</v>
      </c>
      <c r="F131" s="2853">
        <v>15</v>
      </c>
    </row>
    <row r="132" spans="1:6" ht="24">
      <c r="A132" s="2853">
        <v>60</v>
      </c>
      <c r="B132" s="3501" t="s">
        <v>2779</v>
      </c>
      <c r="C132" s="2853" t="s">
        <v>2780</v>
      </c>
      <c r="D132" s="2827" t="s">
        <v>2781</v>
      </c>
      <c r="E132" s="2853">
        <v>0.1</v>
      </c>
      <c r="F132" s="2853">
        <v>15</v>
      </c>
    </row>
    <row r="133" spans="1:6" ht="24">
      <c r="A133" s="2853">
        <v>61</v>
      </c>
      <c r="B133" s="3505"/>
      <c r="C133" s="2853" t="s">
        <v>2782</v>
      </c>
      <c r="D133" s="2827" t="s">
        <v>2783</v>
      </c>
      <c r="E133" s="2853">
        <v>0.1</v>
      </c>
      <c r="F133" s="2853">
        <v>15</v>
      </c>
    </row>
    <row r="134" spans="1:6" ht="24">
      <c r="A134" s="2853">
        <v>62</v>
      </c>
      <c r="B134" s="2853" t="s">
        <v>2784</v>
      </c>
      <c r="C134" s="2853" t="s">
        <v>2785</v>
      </c>
      <c r="D134" s="2827" t="s">
        <v>2786</v>
      </c>
      <c r="E134" s="2853">
        <v>0.1</v>
      </c>
      <c r="F134" s="2853">
        <v>15</v>
      </c>
    </row>
    <row r="135" spans="1:6" ht="24">
      <c r="A135" s="2853">
        <v>63</v>
      </c>
      <c r="B135" s="3506" t="s">
        <v>2787</v>
      </c>
      <c r="C135" s="2853" t="s">
        <v>2788</v>
      </c>
      <c r="D135" s="2827" t="s">
        <v>2789</v>
      </c>
      <c r="E135" s="2853">
        <v>0.1</v>
      </c>
      <c r="F135" s="2853">
        <v>15</v>
      </c>
    </row>
    <row r="136" spans="1:6" ht="24">
      <c r="A136" s="2853">
        <v>64</v>
      </c>
      <c r="B136" s="3506"/>
      <c r="C136" s="2853" t="s">
        <v>2790</v>
      </c>
      <c r="D136" s="2827" t="s">
        <v>2791</v>
      </c>
      <c r="E136" s="2853">
        <v>0.1</v>
      </c>
      <c r="F136" s="2853">
        <v>15</v>
      </c>
    </row>
    <row r="137" spans="1:6" ht="24">
      <c r="A137" s="2853">
        <v>65</v>
      </c>
      <c r="B137" s="2853" t="s">
        <v>2792</v>
      </c>
      <c r="C137" s="2853" t="s">
        <v>2793</v>
      </c>
      <c r="D137" s="2827" t="s">
        <v>2794</v>
      </c>
      <c r="E137" s="2853">
        <v>0.1</v>
      </c>
      <c r="F137" s="2853">
        <v>15</v>
      </c>
    </row>
    <row r="138" spans="1:6" ht="14.4">
      <c r="A138" s="2853"/>
      <c r="B138" s="2853"/>
      <c r="C138" s="2853"/>
      <c r="D138" s="2853"/>
      <c r="E138" s="2853" t="s">
        <v>2795</v>
      </c>
      <c r="F138" s="2853"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2796</v>
      </c>
      <c r="B1" s="2861"/>
      <c r="C1" s="2861"/>
      <c r="D1" s="2861"/>
      <c r="E1" s="2861"/>
      <c r="F1" s="2861"/>
      <c r="G1" s="2861"/>
      <c r="H1" s="2861"/>
      <c r="I1" s="2861"/>
      <c r="J1" s="2861"/>
      <c r="K1" s="2861"/>
      <c r="L1" s="2861"/>
      <c r="M1" s="2861"/>
      <c r="N1" s="707"/>
    </row>
    <row r="2" spans="1:20">
      <c r="A2" s="2862" t="s">
        <v>2797</v>
      </c>
      <c r="B2" s="2863" t="s">
        <v>2593</v>
      </c>
      <c r="C2" s="2863" t="s">
        <v>2594</v>
      </c>
      <c r="D2" s="2863" t="s">
        <v>2595</v>
      </c>
      <c r="E2" s="2863" t="s">
        <v>2596</v>
      </c>
      <c r="F2" s="2863" t="s">
        <v>2597</v>
      </c>
      <c r="G2" s="2863" t="s">
        <v>2598</v>
      </c>
      <c r="H2" s="2864" t="s">
        <v>2599</v>
      </c>
      <c r="I2" s="2864" t="s">
        <v>2600</v>
      </c>
      <c r="J2" s="2865" t="s">
        <v>2601</v>
      </c>
      <c r="K2" s="2865" t="s">
        <v>2602</v>
      </c>
      <c r="L2" s="2865" t="s">
        <v>2603</v>
      </c>
      <c r="M2" s="2866" t="s">
        <v>2604</v>
      </c>
      <c r="Q2" s="2876" t="s">
        <v>2802</v>
      </c>
      <c r="R2" s="2876" t="s">
        <v>2803</v>
      </c>
      <c r="S2" s="2876" t="s">
        <v>2804</v>
      </c>
      <c r="T2" s="2876" t="s">
        <v>2805</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2798</v>
      </c>
      <c r="B93" s="2861"/>
      <c r="C93" s="2861"/>
      <c r="D93" s="2861"/>
      <c r="E93" s="2861"/>
      <c r="F93" s="2861"/>
      <c r="G93" s="2861"/>
      <c r="H93" s="2861"/>
      <c r="I93" s="2861"/>
      <c r="J93" s="2861"/>
      <c r="K93" s="2861"/>
      <c r="L93" s="2861"/>
      <c r="M93" s="2861"/>
    </row>
    <row r="94" spans="1:20">
      <c r="A94" s="2862" t="s">
        <v>2797</v>
      </c>
      <c r="B94" s="2863" t="s">
        <v>2593</v>
      </c>
      <c r="C94" s="2863" t="s">
        <v>2594</v>
      </c>
      <c r="D94" s="2863" t="s">
        <v>2595</v>
      </c>
      <c r="E94" s="2863" t="s">
        <v>2596</v>
      </c>
      <c r="F94" s="2863" t="s">
        <v>2597</v>
      </c>
      <c r="G94" s="2863" t="s">
        <v>2598</v>
      </c>
      <c r="H94" s="2864" t="s">
        <v>2599</v>
      </c>
      <c r="I94" s="2864" t="s">
        <v>2600</v>
      </c>
      <c r="J94" s="2865" t="s">
        <v>2601</v>
      </c>
      <c r="K94" s="2865" t="s">
        <v>2602</v>
      </c>
      <c r="L94" s="2865" t="s">
        <v>2603</v>
      </c>
      <c r="M94" s="2866" t="s">
        <v>2604</v>
      </c>
      <c r="N94">
        <f>SUMPRODUCT((A95:A184=ROUNDDOWN(基准地价修正!G3,1))*(B94:M94=基准地价修正!G2)*(B95:M184))</f>
        <v>0.96309999999999996</v>
      </c>
      <c r="Q94" s="2876" t="s">
        <v>2802</v>
      </c>
      <c r="R94" s="2876" t="s">
        <v>2803</v>
      </c>
      <c r="S94" s="2876" t="s">
        <v>2804</v>
      </c>
      <c r="T94" s="2876" t="s">
        <v>2805</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2799</v>
      </c>
      <c r="B185" s="2861"/>
      <c r="C185" s="2861"/>
      <c r="D185" s="2861"/>
      <c r="E185" s="2861"/>
      <c r="F185" s="2861"/>
      <c r="G185" s="2861"/>
      <c r="H185" s="2861"/>
      <c r="I185" s="2861"/>
      <c r="J185" s="2861"/>
      <c r="K185" s="2861"/>
      <c r="L185" s="2861"/>
      <c r="M185" s="2861"/>
    </row>
    <row r="186" spans="1:20">
      <c r="A186" s="2862" t="s">
        <v>2797</v>
      </c>
      <c r="B186" s="2863" t="s">
        <v>2593</v>
      </c>
      <c r="C186" s="2863" t="s">
        <v>2594</v>
      </c>
      <c r="D186" s="2863" t="s">
        <v>2595</v>
      </c>
      <c r="E186" s="2863" t="s">
        <v>2596</v>
      </c>
      <c r="F186" s="2863" t="s">
        <v>2597</v>
      </c>
      <c r="G186" s="2863" t="s">
        <v>2598</v>
      </c>
      <c r="H186" s="2864" t="s">
        <v>2599</v>
      </c>
      <c r="I186" s="2864" t="s">
        <v>2600</v>
      </c>
      <c r="J186" s="2865" t="s">
        <v>2601</v>
      </c>
      <c r="K186" s="2865" t="s">
        <v>2602</v>
      </c>
      <c r="L186" s="2865" t="s">
        <v>2603</v>
      </c>
      <c r="M186" s="2866" t="s">
        <v>2604</v>
      </c>
      <c r="Q186" s="2876" t="s">
        <v>2802</v>
      </c>
      <c r="R186" s="2876" t="s">
        <v>2803</v>
      </c>
      <c r="S186" s="2876" t="s">
        <v>2804</v>
      </c>
      <c r="T186" s="2876" t="s">
        <v>2805</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2800</v>
      </c>
      <c r="B277" s="2861"/>
      <c r="C277" s="2861"/>
      <c r="D277" s="2861"/>
      <c r="E277" s="2861"/>
      <c r="F277" s="2861"/>
      <c r="G277" s="2861"/>
      <c r="H277" s="2861"/>
      <c r="I277" s="2861"/>
      <c r="J277" s="2861"/>
      <c r="K277" s="2861"/>
      <c r="L277" s="2861"/>
      <c r="M277" s="2861"/>
    </row>
    <row r="278" spans="1:21">
      <c r="A278" s="2862" t="s">
        <v>2797</v>
      </c>
      <c r="B278" s="2863" t="s">
        <v>2593</v>
      </c>
      <c r="C278" s="2863" t="s">
        <v>2594</v>
      </c>
      <c r="D278" s="2863" t="s">
        <v>2595</v>
      </c>
      <c r="E278" s="2863" t="s">
        <v>2596</v>
      </c>
      <c r="F278" s="2863" t="s">
        <v>2597</v>
      </c>
      <c r="G278" s="2863" t="s">
        <v>2598</v>
      </c>
      <c r="H278" s="2864" t="s">
        <v>2599</v>
      </c>
      <c r="I278" s="2864" t="s">
        <v>2600</v>
      </c>
      <c r="J278" s="2865" t="s">
        <v>2601</v>
      </c>
      <c r="K278" s="2865" t="s">
        <v>2602</v>
      </c>
      <c r="L278" s="2865" t="s">
        <v>2603</v>
      </c>
      <c r="M278" s="2866" t="s">
        <v>2604</v>
      </c>
      <c r="Q278" s="2876" t="s">
        <v>2802</v>
      </c>
      <c r="R278" s="2876" t="s">
        <v>2803</v>
      </c>
      <c r="S278" s="2876" t="s">
        <v>2806</v>
      </c>
      <c r="T278" s="2876" t="s">
        <v>2807</v>
      </c>
      <c r="U278" s="2876" t="s">
        <v>2805</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2801</v>
      </c>
      <c r="B369" s="2874"/>
      <c r="C369" s="2874"/>
      <c r="D369" s="2874"/>
      <c r="E369" s="2874"/>
      <c r="F369" s="2874"/>
      <c r="G369" s="2874"/>
      <c r="H369" s="2874"/>
      <c r="I369" s="2874"/>
      <c r="J369" s="2874"/>
      <c r="K369" s="2874"/>
      <c r="L369" s="2874"/>
      <c r="M369" s="2874"/>
    </row>
    <row r="370" spans="1:20">
      <c r="A370" s="2862" t="s">
        <v>2797</v>
      </c>
      <c r="B370" s="2863" t="s">
        <v>2593</v>
      </c>
      <c r="C370" s="2863" t="s">
        <v>2594</v>
      </c>
      <c r="D370" s="2863" t="s">
        <v>2595</v>
      </c>
      <c r="E370" s="2863" t="s">
        <v>2596</v>
      </c>
      <c r="F370" s="2863" t="s">
        <v>2597</v>
      </c>
      <c r="G370" s="2863" t="s">
        <v>2598</v>
      </c>
      <c r="H370" s="2864" t="s">
        <v>2599</v>
      </c>
      <c r="I370" s="2864" t="s">
        <v>2600</v>
      </c>
      <c r="J370" s="2865" t="s">
        <v>2601</v>
      </c>
      <c r="K370" s="2865" t="s">
        <v>2602</v>
      </c>
      <c r="L370" s="2865" t="s">
        <v>2603</v>
      </c>
      <c r="M370" s="2866" t="s">
        <v>2604</v>
      </c>
      <c r="N370">
        <f>SUMPRODUCT((A371:A460=ROUNDDOWN(基准地价修正!G3,1))*(B370:M370=基准地价修正!G2)*(B371:M460))</f>
        <v>0.91610000000000003</v>
      </c>
      <c r="Q370" s="2876" t="s">
        <v>2802</v>
      </c>
      <c r="R370" s="2876" t="s">
        <v>2803</v>
      </c>
      <c r="S370" s="2876" t="s">
        <v>2804</v>
      </c>
      <c r="T370" s="2876" t="s">
        <v>2805</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27612</v>
      </c>
      <c r="C2" s="2" t="s">
        <v>106</v>
      </c>
      <c r="D2" s="191"/>
      <c r="E2" s="191"/>
      <c r="F2" s="191"/>
      <c r="G2" s="191"/>
    </row>
    <row r="3" spans="1:7" s="192" customFormat="1" ht="18" customHeight="1" thickBot="1">
      <c r="A3" s="195" t="s">
        <v>58</v>
      </c>
      <c r="B3" s="196">
        <f ca="1">ROUND(B2*10000/'数据-汇总表'!E3,0)</f>
        <v>2913273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94.78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94.78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27566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38</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94.78</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71" t="s">
        <v>94</v>
      </c>
    </row>
    <row r="43" spans="1:7" ht="13.5" customHeight="1">
      <c r="A43" s="734" t="s">
        <v>347</v>
      </c>
      <c r="B43" s="207" t="s">
        <v>426</v>
      </c>
      <c r="C43" s="230">
        <f ca="1">ROUND(IF('数据-取费表'!B22&lt;=1,C39*F22*'数据-取费表'!B21/2,C39*(POWER((1+F22),'数据-取费表'!B21/2)-1)),0)</f>
        <v>0</v>
      </c>
      <c r="D43" s="230"/>
      <c r="E43" s="230"/>
      <c r="F43" s="231"/>
      <c r="G43" s="3372"/>
    </row>
    <row r="44" spans="1:7" ht="13.5" customHeight="1">
      <c r="A44" s="734" t="s">
        <v>348</v>
      </c>
      <c r="B44" s="207" t="s">
        <v>428</v>
      </c>
      <c r="C44" s="230">
        <f ca="1">ROUND(IF('数据-取费表'!B22&lt;=1,C40*F22*'数据-取费表'!B21/2,C40*(POWER((1+F22),'数据-取费表'!B21/2)-1)),4)</f>
        <v>5.9999999999999995E-4</v>
      </c>
      <c r="D44" s="230"/>
      <c r="E44" s="230"/>
      <c r="F44" s="231"/>
      <c r="G44" s="3373"/>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56</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46</v>
      </c>
      <c r="D51" s="224"/>
      <c r="E51" s="224"/>
      <c r="F51" s="256"/>
      <c r="G51" s="226" t="s">
        <v>37</v>
      </c>
    </row>
    <row r="52" spans="1:7" s="200" customFormat="1" ht="16.8" thickBot="1">
      <c r="A52" s="257" t="s">
        <v>38</v>
      </c>
      <c r="B52" s="258"/>
      <c r="C52" s="259">
        <f ca="1">C31+C51</f>
        <v>27612</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0" t="str">
        <f>IF(项目基本情况!B9="房地产市场价值","估价结果一览表","结果表-2")</f>
        <v>结果表-2</v>
      </c>
      <c r="B1" s="3200"/>
      <c r="C1" s="3200"/>
      <c r="D1" s="3200"/>
      <c r="E1" s="3200"/>
      <c r="F1" s="3200"/>
      <c r="G1" s="3200"/>
      <c r="H1" s="3200"/>
      <c r="I1" s="3200"/>
    </row>
    <row r="2" spans="1:9" ht="30" customHeight="1" thickTop="1">
      <c r="A2" s="3201" t="s">
        <v>928</v>
      </c>
      <c r="B2" s="3201" t="s">
        <v>929</v>
      </c>
      <c r="C2" s="3201" t="s">
        <v>930</v>
      </c>
      <c r="D2" s="3201" t="str">
        <f>结果表1001!D116</f>
        <v>出让国有建设用地使用权价值</v>
      </c>
      <c r="E2" s="3201"/>
      <c r="F2" s="3201" t="str">
        <f>结果表1001!F116</f>
        <v>在建建筑物价值</v>
      </c>
      <c r="G2" s="3201"/>
      <c r="H2" s="3201" t="str">
        <f>IF(项目基本情况!B9="房地产市场价值","房地产市场价值","房地产价值")</f>
        <v>房地产价值</v>
      </c>
      <c r="I2" s="3201"/>
    </row>
    <row r="3" spans="1:9" ht="15.6">
      <c r="A3" s="3202"/>
      <c r="B3" s="3202"/>
      <c r="C3" s="3202"/>
      <c r="D3" s="801" t="s">
        <v>925</v>
      </c>
      <c r="E3" s="801" t="s">
        <v>931</v>
      </c>
      <c r="F3" s="801" t="s">
        <v>925</v>
      </c>
      <c r="G3" s="801" t="s">
        <v>926</v>
      </c>
      <c r="H3" s="801" t="s">
        <v>925</v>
      </c>
      <c r="I3" s="801" t="s">
        <v>926</v>
      </c>
    </row>
    <row r="4" spans="1:9" ht="45">
      <c r="A4" s="1403" t="str">
        <f>项目基本情况!S2</f>
        <v>北京市房山区辰光东路16号院5号楼10层1001等共计9套房地产</v>
      </c>
      <c r="B4" s="801">
        <f>项目基本情况!C17</f>
        <v>94.78</v>
      </c>
      <c r="C4" s="801">
        <f>项目基本情况!C18</f>
        <v>0</v>
      </c>
      <c r="D4" s="801">
        <f>结果表1001!D118</f>
        <v>0</v>
      </c>
      <c r="E4" s="801">
        <f>结果表1001!E118</f>
        <v>0</v>
      </c>
      <c r="F4" s="801">
        <f>结果表1001!F118</f>
        <v>0</v>
      </c>
      <c r="G4" s="801">
        <f>结果表1001!G118</f>
        <v>0</v>
      </c>
      <c r="H4" s="801">
        <f ca="1">结果表1001!H118</f>
        <v>95.784700000000001</v>
      </c>
      <c r="I4" s="801">
        <f ca="1">结果表1001!I118</f>
        <v>10106</v>
      </c>
    </row>
    <row r="5" spans="1:9" ht="30" customHeight="1">
      <c r="A5" s="3202" t="s">
        <v>927</v>
      </c>
      <c r="B5" s="3202"/>
      <c r="C5" s="3202"/>
      <c r="D5" s="3202" t="str">
        <f>结果表1001!D119</f>
        <v>零元整</v>
      </c>
      <c r="E5" s="3202"/>
      <c r="F5" s="3202" t="str">
        <f>结果表1001!F119</f>
        <v>零元整</v>
      </c>
      <c r="G5" s="3202"/>
      <c r="H5" s="3202" t="str">
        <f ca="1">结果表1001!H119</f>
        <v>玖拾伍万柒仟捌佰肆拾柒元整</v>
      </c>
      <c r="I5" s="3202"/>
    </row>
    <row r="6" spans="1:9" ht="15.6">
      <c r="A6" s="3203" t="str">
        <f>结果表1001!A120</f>
        <v>估价师知悉的法定优先受偿款</v>
      </c>
      <c r="B6" s="3203"/>
      <c r="C6" s="3203"/>
      <c r="D6" s="3203">
        <f>结果表1001!D120</f>
        <v>0</v>
      </c>
      <c r="E6" s="3203"/>
      <c r="F6" s="3203"/>
      <c r="G6" s="3203"/>
      <c r="H6" s="3203"/>
      <c r="I6" s="3203"/>
    </row>
    <row r="7" spans="1:9" ht="15">
      <c r="A7" s="3202" t="s">
        <v>927</v>
      </c>
      <c r="B7" s="3202"/>
      <c r="C7" s="3202"/>
      <c r="D7" s="3204" t="str">
        <f>结果表1001!D121</f>
        <v>零元整</v>
      </c>
      <c r="E7" s="3205"/>
      <c r="F7" s="3205"/>
      <c r="G7" s="3205"/>
      <c r="H7" s="3205"/>
      <c r="I7" s="3206"/>
    </row>
    <row r="8" spans="1:9" ht="15.6">
      <c r="A8" s="3203" t="str">
        <f>结果表1001!A122</f>
        <v>房地产抵押价值</v>
      </c>
      <c r="B8" s="3203"/>
      <c r="C8" s="3203"/>
      <c r="D8" s="3203">
        <f ca="1">结果表1001!D122</f>
        <v>95.784700000000001</v>
      </c>
      <c r="E8" s="3203"/>
      <c r="F8" s="3203"/>
      <c r="G8" s="3203"/>
      <c r="H8" s="3203"/>
      <c r="I8" s="3203"/>
    </row>
    <row r="9" spans="1:9" ht="15">
      <c r="A9" s="3202" t="s">
        <v>927</v>
      </c>
      <c r="B9" s="3202"/>
      <c r="C9" s="3202"/>
      <c r="D9" s="3202" t="str">
        <f ca="1">结果表1001!D123</f>
        <v>玖拾伍万柒仟捌佰肆拾柒元整</v>
      </c>
      <c r="E9" s="3202"/>
      <c r="F9" s="3202"/>
      <c r="G9" s="3202"/>
      <c r="H9" s="3202"/>
      <c r="I9" s="3202"/>
    </row>
    <row r="10" spans="1:9" ht="15.6">
      <c r="A10" s="3203" t="str">
        <f>结果表1001!A124</f>
        <v/>
      </c>
      <c r="B10" s="3203"/>
      <c r="C10" s="3203"/>
      <c r="D10" s="3203" t="str">
        <f>结果表1001!D124</f>
        <v>——</v>
      </c>
      <c r="E10" s="3203"/>
      <c r="F10" s="3203"/>
      <c r="G10" s="3203"/>
      <c r="H10" s="3203"/>
      <c r="I10" s="3203"/>
    </row>
    <row r="11" spans="1:9" ht="15">
      <c r="A11" s="3202" t="s">
        <v>927</v>
      </c>
      <c r="B11" s="3202"/>
      <c r="C11" s="3202"/>
      <c r="D11" s="3202" t="e">
        <f>结果表1001!D125</f>
        <v>#VALUE!</v>
      </c>
      <c r="E11" s="3202"/>
      <c r="F11" s="3202"/>
      <c r="G11" s="3202"/>
      <c r="H11" s="3202"/>
      <c r="I11" s="3202"/>
    </row>
    <row r="12" spans="1:9" ht="15.6">
      <c r="A12" s="3203" t="str">
        <f>结果表1001!A126</f>
        <v>抵押净值</v>
      </c>
      <c r="B12" s="3203"/>
      <c r="C12" s="3203"/>
      <c r="D12" s="3203">
        <f ca="1">结果表1001!D126</f>
        <v>95.736800000000002</v>
      </c>
      <c r="E12" s="3203"/>
      <c r="F12" s="3203"/>
      <c r="G12" s="3203"/>
      <c r="H12" s="3203"/>
      <c r="I12" s="3203"/>
    </row>
    <row r="13" spans="1:9" ht="15.6" thickBot="1">
      <c r="A13" s="3207" t="s">
        <v>927</v>
      </c>
      <c r="B13" s="3207"/>
      <c r="C13" s="3207"/>
      <c r="D13" s="3207" t="str">
        <f ca="1">结果表1001!D127</f>
        <v>玖拾伍万柒仟叁佰陆拾捌元整</v>
      </c>
      <c r="E13" s="3207"/>
      <c r="F13" s="3207"/>
      <c r="G13" s="3207"/>
      <c r="H13" s="3207"/>
      <c r="I13" s="3207"/>
    </row>
    <row r="14" spans="1:9" ht="14.4" thickTop="1">
      <c r="A14" s="3208" t="s">
        <v>932</v>
      </c>
      <c r="B14" s="3208"/>
      <c r="C14" s="3208"/>
      <c r="D14" s="3208"/>
      <c r="E14" s="3208"/>
      <c r="F14" s="3208"/>
      <c r="G14" s="3208"/>
      <c r="H14" s="3208"/>
      <c r="I14" s="320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507" t="s">
        <v>3179</v>
      </c>
      <c r="B1" s="3507"/>
    </row>
    <row r="2" spans="1:7" ht="15" thickBot="1">
      <c r="A2" s="2964"/>
      <c r="B2" s="2964"/>
    </row>
    <row r="3" spans="1:7" ht="15" thickBot="1">
      <c r="A3" s="2964"/>
      <c r="B3" s="2964"/>
      <c r="C3" s="2965" t="s">
        <v>2809</v>
      </c>
      <c r="D3" s="2965" t="s">
        <v>2865</v>
      </c>
      <c r="E3" s="2965" t="s">
        <v>2811</v>
      </c>
      <c r="F3" s="2965" t="s">
        <v>2866</v>
      </c>
      <c r="G3" s="2965" t="s">
        <v>2629</v>
      </c>
    </row>
    <row r="4" spans="1:7" ht="15" thickBot="1">
      <c r="A4" s="2966" t="s">
        <v>2864</v>
      </c>
      <c r="B4" s="2967" t="s">
        <v>2870</v>
      </c>
      <c r="C4" s="2965"/>
      <c r="D4" s="2965"/>
      <c r="E4" s="2965"/>
      <c r="F4" s="2965"/>
      <c r="G4" s="2965"/>
    </row>
    <row r="5" spans="1:7">
      <c r="A5" s="2968" t="s">
        <v>2838</v>
      </c>
      <c r="B5" s="2969" t="s">
        <v>2852</v>
      </c>
      <c r="C5" s="2970">
        <v>9.8000000000000004E-2</v>
      </c>
      <c r="D5" s="2970">
        <v>8.6999999999999994E-2</v>
      </c>
      <c r="E5" s="2970">
        <v>8.6999999999999994E-2</v>
      </c>
      <c r="F5" s="2970">
        <v>9.8000000000000004E-2</v>
      </c>
      <c r="G5" s="2971">
        <v>9.5000000000000001E-2</v>
      </c>
    </row>
    <row r="6" spans="1:7">
      <c r="A6" s="2972" t="s">
        <v>144</v>
      </c>
      <c r="B6" s="2973" t="s">
        <v>2867</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2853</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2903</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2921</v>
      </c>
      <c r="C29" s="2982"/>
      <c r="D29" s="2978">
        <v>5.1999999999999998E-2</v>
      </c>
      <c r="E29" s="2978">
        <v>7.0000000000000007E-2</v>
      </c>
      <c r="F29" s="2982"/>
      <c r="G29" s="2980">
        <v>7.0999999999999994E-2</v>
      </c>
    </row>
    <row r="30" spans="1:7">
      <c r="A30" s="2983" t="s">
        <v>296</v>
      </c>
      <c r="B30" s="2969" t="s">
        <v>2854</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2840</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2924</v>
      </c>
      <c r="C50" s="2974">
        <v>9.8000000000000004E-2</v>
      </c>
      <c r="D50" s="2974">
        <v>7.2999999999999995E-2</v>
      </c>
      <c r="E50" s="2974">
        <v>7.0999999999999994E-2</v>
      </c>
      <c r="F50" s="2985"/>
      <c r="G50" s="2975">
        <v>7.2999999999999995E-2</v>
      </c>
    </row>
    <row r="51" spans="1:7">
      <c r="A51" s="2984" t="s">
        <v>296</v>
      </c>
      <c r="B51" s="2973" t="s">
        <v>2926</v>
      </c>
      <c r="C51" s="2974">
        <v>9.9000000000000005E-2</v>
      </c>
      <c r="D51" s="2974">
        <v>8.5000000000000006E-2</v>
      </c>
      <c r="E51" s="2974">
        <v>6.3E-2</v>
      </c>
      <c r="F51" s="2985"/>
      <c r="G51" s="2975">
        <v>9.6000000000000002E-2</v>
      </c>
    </row>
    <row r="52" spans="1:7">
      <c r="A52" s="2984" t="s">
        <v>296</v>
      </c>
      <c r="B52" s="2973" t="s">
        <v>2930</v>
      </c>
      <c r="C52" s="2974">
        <v>7.3999999999999996E-2</v>
      </c>
      <c r="D52" s="2974">
        <v>9.6000000000000002E-2</v>
      </c>
      <c r="E52" s="2974">
        <v>0.05</v>
      </c>
      <c r="F52" s="2985"/>
      <c r="G52" s="2975">
        <v>9.8000000000000004E-2</v>
      </c>
    </row>
    <row r="53" spans="1:7">
      <c r="A53" s="2984" t="s">
        <v>296</v>
      </c>
      <c r="B53" s="2973" t="s">
        <v>2935</v>
      </c>
      <c r="C53" s="2974">
        <v>8.5999999999999993E-2</v>
      </c>
      <c r="D53" s="2985"/>
      <c r="E53" s="2974">
        <v>9.1999999999999998E-2</v>
      </c>
      <c r="F53" s="2985"/>
      <c r="G53" s="2986"/>
    </row>
    <row r="54" spans="1:7" ht="15" thickBot="1">
      <c r="A54" s="2987" t="s">
        <v>296</v>
      </c>
      <c r="B54" s="2977" t="s">
        <v>2938</v>
      </c>
      <c r="C54" s="2978">
        <v>9.6000000000000002E-2</v>
      </c>
      <c r="D54" s="2979"/>
      <c r="E54" s="2988"/>
      <c r="F54" s="2979"/>
      <c r="G54" s="2989"/>
    </row>
    <row r="55" spans="1:7">
      <c r="A55" s="2983" t="s">
        <v>110</v>
      </c>
      <c r="B55" s="2969" t="s">
        <v>2855</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2936</v>
      </c>
      <c r="C78" s="2974">
        <v>0.1</v>
      </c>
      <c r="D78" s="2974">
        <v>8.5000000000000006E-2</v>
      </c>
      <c r="E78" s="2974">
        <v>9.6000000000000002E-2</v>
      </c>
      <c r="F78" s="2985"/>
      <c r="G78" s="2975">
        <v>9.6000000000000002E-2</v>
      </c>
    </row>
    <row r="79" spans="1:7">
      <c r="A79" s="2984" t="s">
        <v>110</v>
      </c>
      <c r="B79" s="2973" t="s">
        <v>2939</v>
      </c>
      <c r="C79" s="2974">
        <v>0.05</v>
      </c>
      <c r="D79" s="2974">
        <v>9.6000000000000002E-2</v>
      </c>
      <c r="E79" s="2974">
        <v>9.5000000000000001E-2</v>
      </c>
      <c r="F79" s="2985"/>
      <c r="G79" s="2975">
        <v>9.8000000000000004E-2</v>
      </c>
    </row>
    <row r="80" spans="1:7">
      <c r="A80" s="2984" t="s">
        <v>110</v>
      </c>
      <c r="B80" s="2973" t="s">
        <v>2943</v>
      </c>
      <c r="C80" s="2974">
        <v>8.5999999999999993E-2</v>
      </c>
      <c r="D80" s="2990"/>
      <c r="E80" s="2974">
        <v>0.1</v>
      </c>
      <c r="F80" s="2985"/>
      <c r="G80" s="2986"/>
    </row>
    <row r="81" spans="1:7">
      <c r="A81" s="2984" t="s">
        <v>110</v>
      </c>
      <c r="B81" s="2973" t="s">
        <v>2948</v>
      </c>
      <c r="C81" s="2974">
        <v>9.6000000000000002E-2</v>
      </c>
      <c r="D81" s="2985"/>
      <c r="E81" s="2974">
        <v>9.8000000000000004E-2</v>
      </c>
      <c r="F81" s="2985"/>
      <c r="G81" s="2986"/>
    </row>
    <row r="82" spans="1:7">
      <c r="A82" s="2984" t="s">
        <v>110</v>
      </c>
      <c r="B82" s="2973" t="s">
        <v>2955</v>
      </c>
      <c r="C82" s="2990"/>
      <c r="D82" s="2985"/>
      <c r="E82" s="2974">
        <v>7.6999999999999999E-2</v>
      </c>
      <c r="F82" s="2985"/>
      <c r="G82" s="2986"/>
    </row>
    <row r="83" spans="1:7">
      <c r="A83" s="2984" t="s">
        <v>110</v>
      </c>
      <c r="B83" s="2973" t="s">
        <v>2961</v>
      </c>
      <c r="C83" s="2985"/>
      <c r="D83" s="2985"/>
      <c r="E83" s="2985"/>
      <c r="F83" s="2974">
        <v>0.1</v>
      </c>
      <c r="G83" s="2991"/>
    </row>
    <row r="84" spans="1:7">
      <c r="A84" s="2984" t="s">
        <v>110</v>
      </c>
      <c r="B84" s="2973" t="s">
        <v>2968</v>
      </c>
      <c r="C84" s="2985"/>
      <c r="D84" s="2985"/>
      <c r="E84" s="2985"/>
      <c r="F84" s="2974">
        <v>0.1</v>
      </c>
      <c r="G84" s="2991"/>
    </row>
    <row r="85" spans="1:7">
      <c r="A85" s="2984" t="s">
        <v>110</v>
      </c>
      <c r="B85" s="2973" t="s">
        <v>2975</v>
      </c>
      <c r="C85" s="2985"/>
      <c r="D85" s="2985"/>
      <c r="E85" s="2985"/>
      <c r="F85" s="2974">
        <v>0.1</v>
      </c>
      <c r="G85" s="2991"/>
    </row>
    <row r="86" spans="1:7" ht="15" thickBot="1">
      <c r="A86" s="2987" t="s">
        <v>110</v>
      </c>
      <c r="B86" s="2977" t="s">
        <v>2980</v>
      </c>
      <c r="C86" s="2978">
        <v>9.8000000000000004E-2</v>
      </c>
      <c r="D86" s="2978">
        <v>9.8000000000000004E-2</v>
      </c>
      <c r="E86" s="2978">
        <v>9.6000000000000002E-2</v>
      </c>
      <c r="F86" s="2988"/>
      <c r="G86" s="2980">
        <v>0.1</v>
      </c>
    </row>
    <row r="87" spans="1:7">
      <c r="A87" s="2983" t="s">
        <v>303</v>
      </c>
      <c r="B87" s="2969" t="s">
        <v>2856</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2949</v>
      </c>
      <c r="C113" s="2974">
        <v>0.1</v>
      </c>
      <c r="D113" s="2974">
        <v>0.1</v>
      </c>
      <c r="E113" s="2985"/>
      <c r="F113" s="2985"/>
      <c r="G113" s="2975">
        <v>0.1</v>
      </c>
    </row>
    <row r="114" spans="1:7">
      <c r="A114" s="2984" t="s">
        <v>303</v>
      </c>
      <c r="B114" s="2973" t="s">
        <v>2956</v>
      </c>
      <c r="C114" s="2974">
        <v>9.7000000000000003E-2</v>
      </c>
      <c r="D114" s="2974">
        <v>9.7000000000000003E-2</v>
      </c>
      <c r="E114" s="2985"/>
      <c r="F114" s="2985"/>
      <c r="G114" s="2975">
        <v>9.9000000000000005E-2</v>
      </c>
    </row>
    <row r="115" spans="1:7">
      <c r="A115" s="2984" t="s">
        <v>303</v>
      </c>
      <c r="B115" s="2973" t="s">
        <v>2962</v>
      </c>
      <c r="C115" s="2974">
        <v>0.1</v>
      </c>
      <c r="D115" s="2974">
        <v>0.1</v>
      </c>
      <c r="E115" s="2985"/>
      <c r="F115" s="2985"/>
      <c r="G115" s="2975">
        <v>0.1</v>
      </c>
    </row>
    <row r="116" spans="1:7">
      <c r="A116" s="2984" t="s">
        <v>303</v>
      </c>
      <c r="B116" s="2973" t="s">
        <v>2969</v>
      </c>
      <c r="C116" s="2974">
        <v>0.1</v>
      </c>
      <c r="D116" s="2974">
        <v>0.1</v>
      </c>
      <c r="E116" s="2985"/>
      <c r="F116" s="2985"/>
      <c r="G116" s="2975">
        <v>0.1</v>
      </c>
    </row>
    <row r="117" spans="1:7">
      <c r="A117" s="2984" t="s">
        <v>303</v>
      </c>
      <c r="B117" s="2973" t="s">
        <v>2976</v>
      </c>
      <c r="C117" s="2974">
        <v>9.7000000000000003E-2</v>
      </c>
      <c r="D117" s="2974">
        <v>9.7000000000000003E-2</v>
      </c>
      <c r="E117" s="2985"/>
      <c r="F117" s="2985"/>
      <c r="G117" s="2975">
        <v>9.7000000000000003E-2</v>
      </c>
    </row>
    <row r="118" spans="1:7">
      <c r="A118" s="2984" t="s">
        <v>303</v>
      </c>
      <c r="B118" s="2973" t="s">
        <v>2981</v>
      </c>
      <c r="C118" s="2974">
        <v>0.1</v>
      </c>
      <c r="D118" s="2974">
        <v>0.1</v>
      </c>
      <c r="E118" s="2985"/>
      <c r="F118" s="2985"/>
      <c r="G118" s="2975">
        <v>0.1</v>
      </c>
    </row>
    <row r="119" spans="1:7">
      <c r="A119" s="2984" t="s">
        <v>303</v>
      </c>
      <c r="B119" s="2973" t="s">
        <v>2985</v>
      </c>
      <c r="C119" s="2974">
        <v>5.0999999999999997E-2</v>
      </c>
      <c r="D119" s="2974">
        <v>5.1999999999999998E-2</v>
      </c>
      <c r="E119" s="2985"/>
      <c r="F119" s="2990"/>
      <c r="G119" s="2975">
        <v>0.06</v>
      </c>
    </row>
    <row r="120" spans="1:7">
      <c r="A120" s="2984" t="s">
        <v>303</v>
      </c>
      <c r="B120" s="2973" t="s">
        <v>2989</v>
      </c>
      <c r="C120" s="2985"/>
      <c r="D120" s="2985"/>
      <c r="E120" s="2985"/>
      <c r="F120" s="2974">
        <v>0.1</v>
      </c>
      <c r="G120" s="2991"/>
    </row>
    <row r="121" spans="1:7">
      <c r="A121" s="2984" t="s">
        <v>303</v>
      </c>
      <c r="B121" s="2973" t="s">
        <v>2994</v>
      </c>
      <c r="C121" s="2985"/>
      <c r="D121" s="2985"/>
      <c r="E121" s="2985"/>
      <c r="F121" s="2974">
        <v>0.1</v>
      </c>
      <c r="G121" s="2991"/>
    </row>
    <row r="122" spans="1:7">
      <c r="A122" s="2984" t="s">
        <v>303</v>
      </c>
      <c r="B122" s="2973" t="s">
        <v>2999</v>
      </c>
      <c r="C122" s="2974">
        <v>0.1</v>
      </c>
      <c r="D122" s="2974">
        <v>0.1</v>
      </c>
      <c r="E122" s="2974">
        <v>9.8000000000000004E-2</v>
      </c>
      <c r="F122" s="2974">
        <v>0.1</v>
      </c>
      <c r="G122" s="2975">
        <v>0.1</v>
      </c>
    </row>
    <row r="123" spans="1:7">
      <c r="A123" s="2984" t="s">
        <v>303</v>
      </c>
      <c r="B123" s="2973" t="s">
        <v>3004</v>
      </c>
      <c r="C123" s="2974">
        <v>0.1</v>
      </c>
      <c r="D123" s="2974">
        <v>0.1</v>
      </c>
      <c r="E123" s="2974">
        <v>9.8000000000000004E-2</v>
      </c>
      <c r="F123" s="2974">
        <v>0.1</v>
      </c>
      <c r="G123" s="2975">
        <v>0.1</v>
      </c>
    </row>
    <row r="124" spans="1:7">
      <c r="A124" s="2984" t="s">
        <v>303</v>
      </c>
      <c r="B124" s="2973" t="s">
        <v>3009</v>
      </c>
      <c r="C124" s="2974">
        <v>0.1</v>
      </c>
      <c r="D124" s="2974">
        <v>0.1</v>
      </c>
      <c r="E124" s="2974">
        <v>9.8000000000000004E-2</v>
      </c>
      <c r="F124" s="2990"/>
      <c r="G124" s="2975">
        <v>0.1</v>
      </c>
    </row>
    <row r="125" spans="1:7">
      <c r="A125" s="2984" t="s">
        <v>303</v>
      </c>
      <c r="B125" s="2973" t="s">
        <v>3014</v>
      </c>
      <c r="C125" s="2974">
        <v>9.8000000000000004E-2</v>
      </c>
      <c r="D125" s="2974">
        <v>9.8000000000000004E-2</v>
      </c>
      <c r="E125" s="2974">
        <v>9.6000000000000002E-2</v>
      </c>
      <c r="F125" s="2990"/>
      <c r="G125" s="2975">
        <v>0.1</v>
      </c>
    </row>
    <row r="126" spans="1:7" ht="15" thickBot="1">
      <c r="A126" s="2987" t="s">
        <v>303</v>
      </c>
      <c r="B126" s="2977" t="s">
        <v>3180</v>
      </c>
      <c r="C126" s="2978">
        <v>0.1</v>
      </c>
      <c r="D126" s="2978">
        <v>0.1</v>
      </c>
      <c r="E126" s="2978">
        <v>9.8000000000000004E-2</v>
      </c>
      <c r="F126" s="2978">
        <v>0.1</v>
      </c>
      <c r="G126" s="2980">
        <v>0.1</v>
      </c>
    </row>
    <row r="127" spans="1:7">
      <c r="A127" s="2983" t="s">
        <v>29</v>
      </c>
      <c r="B127" s="2969" t="s">
        <v>2857</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2927</v>
      </c>
      <c r="C148" s="2974">
        <v>0.13</v>
      </c>
      <c r="D148" s="2974">
        <v>0.13</v>
      </c>
      <c r="E148" s="2974">
        <v>0.13</v>
      </c>
      <c r="F148" s="2985"/>
      <c r="G148" s="2975">
        <v>0.13</v>
      </c>
    </row>
    <row r="149" spans="1:7">
      <c r="A149" s="2984" t="s">
        <v>29</v>
      </c>
      <c r="B149" s="2973" t="s">
        <v>2931</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2950</v>
      </c>
      <c r="C153" s="2974">
        <v>0.13</v>
      </c>
      <c r="D153" s="2974">
        <v>0.13</v>
      </c>
      <c r="E153" s="2974">
        <v>0.13</v>
      </c>
      <c r="F153" s="2974">
        <v>0.13</v>
      </c>
      <c r="G153" s="2975">
        <v>0.13</v>
      </c>
    </row>
    <row r="154" spans="1:7">
      <c r="A154" s="2984" t="s">
        <v>29</v>
      </c>
      <c r="B154" s="2973" t="s">
        <v>2957</v>
      </c>
      <c r="C154" s="2974">
        <v>0.121</v>
      </c>
      <c r="D154" s="2974">
        <v>0.121</v>
      </c>
      <c r="E154" s="2974">
        <v>0.105</v>
      </c>
      <c r="F154" s="2974">
        <v>0.121</v>
      </c>
      <c r="G154" s="2975">
        <v>0.123</v>
      </c>
    </row>
    <row r="155" spans="1:7">
      <c r="A155" s="2984" t="s">
        <v>29</v>
      </c>
      <c r="B155" s="2973" t="s">
        <v>2963</v>
      </c>
      <c r="C155" s="2974">
        <v>0.1</v>
      </c>
      <c r="D155" s="2974">
        <v>0.1</v>
      </c>
      <c r="E155" s="2974">
        <v>0.1</v>
      </c>
      <c r="F155" s="2974">
        <v>0.1</v>
      </c>
      <c r="G155" s="2975">
        <v>0.1</v>
      </c>
    </row>
    <row r="156" spans="1:7">
      <c r="A156" s="2984" t="s">
        <v>29</v>
      </c>
      <c r="B156" s="2973" t="s">
        <v>2970</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2990</v>
      </c>
      <c r="C160" s="2974">
        <v>0.13</v>
      </c>
      <c r="D160" s="2974">
        <v>0.13</v>
      </c>
      <c r="E160" s="2974">
        <v>0.124</v>
      </c>
      <c r="F160" s="2974">
        <v>0.126</v>
      </c>
      <c r="G160" s="2975">
        <v>0.13</v>
      </c>
    </row>
    <row r="161" spans="1:7">
      <c r="A161" s="2984" t="s">
        <v>29</v>
      </c>
      <c r="B161" s="2973" t="s">
        <v>2995</v>
      </c>
      <c r="C161" s="2974">
        <v>0.13</v>
      </c>
      <c r="D161" s="2974">
        <v>0.13</v>
      </c>
      <c r="E161" s="2974">
        <v>0.124</v>
      </c>
      <c r="F161" s="2974">
        <v>0.127</v>
      </c>
      <c r="G161" s="2975">
        <v>0.13</v>
      </c>
    </row>
    <row r="162" spans="1:7">
      <c r="A162" s="2984" t="s">
        <v>29</v>
      </c>
      <c r="B162" s="2973" t="s">
        <v>3000</v>
      </c>
      <c r="C162" s="2974">
        <v>0.1</v>
      </c>
      <c r="D162" s="2974">
        <v>0.1</v>
      </c>
      <c r="E162" s="2974">
        <v>0.1</v>
      </c>
      <c r="F162" s="2974">
        <v>0.121</v>
      </c>
      <c r="G162" s="2975">
        <v>0.105</v>
      </c>
    </row>
    <row r="163" spans="1:7">
      <c r="A163" s="2984" t="s">
        <v>29</v>
      </c>
      <c r="B163" s="2973" t="s">
        <v>3005</v>
      </c>
      <c r="C163" s="2974">
        <v>0.1</v>
      </c>
      <c r="D163" s="2974">
        <v>0.1</v>
      </c>
      <c r="E163" s="2974">
        <v>0.1</v>
      </c>
      <c r="F163" s="2974">
        <v>0.1</v>
      </c>
      <c r="G163" s="2975">
        <v>0.1</v>
      </c>
    </row>
    <row r="164" spans="1:7">
      <c r="A164" s="2984" t="s">
        <v>29</v>
      </c>
      <c r="B164" s="2973" t="s">
        <v>3010</v>
      </c>
      <c r="C164" s="2990"/>
      <c r="D164" s="2990"/>
      <c r="E164" s="2990"/>
      <c r="F164" s="2974">
        <v>0.1</v>
      </c>
      <c r="G164" s="2986"/>
    </row>
    <row r="165" spans="1:7">
      <c r="A165" s="2984" t="s">
        <v>29</v>
      </c>
      <c r="B165" s="2973" t="s">
        <v>3181</v>
      </c>
      <c r="C165" s="2974">
        <v>0.126</v>
      </c>
      <c r="D165" s="2974">
        <v>0.126</v>
      </c>
      <c r="E165" s="2974">
        <v>0.11899999999999999</v>
      </c>
      <c r="F165" s="2974">
        <v>0.13</v>
      </c>
      <c r="G165" s="2975">
        <v>0.128</v>
      </c>
    </row>
    <row r="166" spans="1:7">
      <c r="A166" s="2984" t="s">
        <v>29</v>
      </c>
      <c r="B166" s="2973" t="s">
        <v>3020</v>
      </c>
      <c r="C166" s="2974">
        <v>0.129</v>
      </c>
      <c r="D166" s="2974">
        <v>0.129</v>
      </c>
      <c r="E166" s="2974">
        <v>0.123</v>
      </c>
      <c r="F166" s="2974">
        <v>0.128</v>
      </c>
      <c r="G166" s="2975">
        <v>0.13</v>
      </c>
    </row>
    <row r="167" spans="1:7">
      <c r="A167" s="2984" t="s">
        <v>29</v>
      </c>
      <c r="B167" s="2973" t="s">
        <v>3024</v>
      </c>
      <c r="C167" s="2974">
        <v>0.125</v>
      </c>
      <c r="D167" s="2974">
        <v>0.125</v>
      </c>
      <c r="E167" s="2974">
        <v>0.11700000000000001</v>
      </c>
      <c r="F167" s="2974">
        <v>0.13</v>
      </c>
      <c r="G167" s="2975">
        <v>0.126</v>
      </c>
    </row>
    <row r="168" spans="1:7">
      <c r="A168" s="2984" t="s">
        <v>29</v>
      </c>
      <c r="B168" s="2973" t="s">
        <v>3029</v>
      </c>
      <c r="C168" s="2974">
        <v>0.128</v>
      </c>
      <c r="D168" s="2974">
        <v>0.128</v>
      </c>
      <c r="E168" s="2974">
        <v>0.123</v>
      </c>
      <c r="F168" s="2985"/>
      <c r="G168" s="2975">
        <v>0.13</v>
      </c>
    </row>
    <row r="169" spans="1:7">
      <c r="A169" s="2984" t="s">
        <v>29</v>
      </c>
      <c r="B169" s="2973" t="s">
        <v>3182</v>
      </c>
      <c r="C169" s="2990"/>
      <c r="D169" s="2990"/>
      <c r="E169" s="2990"/>
      <c r="F169" s="2974">
        <v>0.05</v>
      </c>
      <c r="G169" s="2986"/>
    </row>
    <row r="170" spans="1:7">
      <c r="A170" s="2984" t="s">
        <v>29</v>
      </c>
      <c r="B170" s="2973" t="s">
        <v>3183</v>
      </c>
      <c r="C170" s="2990"/>
      <c r="D170" s="2990"/>
      <c r="E170" s="2990"/>
      <c r="F170" s="2974">
        <v>0.05</v>
      </c>
      <c r="G170" s="2986"/>
    </row>
    <row r="171" spans="1:7">
      <c r="A171" s="2984" t="s">
        <v>29</v>
      </c>
      <c r="B171" s="2973" t="s">
        <v>3184</v>
      </c>
      <c r="C171" s="2990"/>
      <c r="D171" s="2990"/>
      <c r="E171" s="2990"/>
      <c r="F171" s="2974">
        <v>0.05</v>
      </c>
      <c r="G171" s="2991"/>
    </row>
    <row r="172" spans="1:7">
      <c r="A172" s="2984" t="s">
        <v>29</v>
      </c>
      <c r="B172" s="2973" t="s">
        <v>3185</v>
      </c>
      <c r="C172" s="2990"/>
      <c r="D172" s="2990"/>
      <c r="E172" s="2990"/>
      <c r="F172" s="2974">
        <v>0.05</v>
      </c>
      <c r="G172" s="2991"/>
    </row>
    <row r="173" spans="1:7">
      <c r="A173" s="2984" t="s">
        <v>29</v>
      </c>
      <c r="B173" s="2973" t="s">
        <v>3186</v>
      </c>
      <c r="C173" s="2990"/>
      <c r="D173" s="2990"/>
      <c r="E173" s="2990"/>
      <c r="F173" s="2974">
        <v>0.05</v>
      </c>
      <c r="G173" s="2986"/>
    </row>
    <row r="174" spans="1:7">
      <c r="A174" s="2984" t="s">
        <v>29</v>
      </c>
      <c r="B174" s="2973" t="s">
        <v>3187</v>
      </c>
      <c r="C174" s="2990"/>
      <c r="D174" s="2990"/>
      <c r="E174" s="2990"/>
      <c r="F174" s="2974">
        <v>0.05</v>
      </c>
      <c r="G174" s="2986"/>
    </row>
    <row r="175" spans="1:7">
      <c r="A175" s="2984" t="s">
        <v>29</v>
      </c>
      <c r="B175" s="2973" t="s">
        <v>3188</v>
      </c>
      <c r="C175" s="2990"/>
      <c r="D175" s="2990"/>
      <c r="E175" s="2990"/>
      <c r="F175" s="2974">
        <v>0.05</v>
      </c>
      <c r="G175" s="2986"/>
    </row>
    <row r="176" spans="1:7">
      <c r="A176" s="2984" t="s">
        <v>29</v>
      </c>
      <c r="B176" s="2973" t="s">
        <v>3189</v>
      </c>
      <c r="C176" s="2990"/>
      <c r="D176" s="2990"/>
      <c r="E176" s="2990"/>
      <c r="F176" s="2974">
        <v>0.05</v>
      </c>
      <c r="G176" s="2986"/>
    </row>
    <row r="177" spans="1:7">
      <c r="A177" s="2984" t="s">
        <v>29</v>
      </c>
      <c r="B177" s="2973" t="s">
        <v>3190</v>
      </c>
      <c r="C177" s="2985"/>
      <c r="D177" s="2985"/>
      <c r="E177" s="2985"/>
      <c r="F177" s="2974">
        <v>0.05</v>
      </c>
      <c r="G177" s="2991"/>
    </row>
    <row r="178" spans="1:7">
      <c r="A178" s="2984" t="s">
        <v>29</v>
      </c>
      <c r="B178" s="2973" t="s">
        <v>3191</v>
      </c>
      <c r="C178" s="2985"/>
      <c r="D178" s="2985"/>
      <c r="E178" s="2985"/>
      <c r="F178" s="2974">
        <v>0.05</v>
      </c>
      <c r="G178" s="2991"/>
    </row>
    <row r="179" spans="1:7">
      <c r="A179" s="2984" t="s">
        <v>29</v>
      </c>
      <c r="B179" s="2973" t="s">
        <v>3192</v>
      </c>
      <c r="C179" s="2985"/>
      <c r="D179" s="2985"/>
      <c r="E179" s="2985"/>
      <c r="F179" s="2974">
        <v>0.05</v>
      </c>
      <c r="G179" s="2991"/>
    </row>
    <row r="180" spans="1:7">
      <c r="A180" s="2984" t="s">
        <v>29</v>
      </c>
      <c r="B180" s="2973" t="s">
        <v>3193</v>
      </c>
      <c r="C180" s="2985"/>
      <c r="D180" s="2985"/>
      <c r="E180" s="2985"/>
      <c r="F180" s="2974">
        <v>0.05</v>
      </c>
      <c r="G180" s="2991"/>
    </row>
    <row r="181" spans="1:7">
      <c r="A181" s="2984" t="s">
        <v>29</v>
      </c>
      <c r="B181" s="2973" t="s">
        <v>3194</v>
      </c>
      <c r="C181" s="2985"/>
      <c r="D181" s="2985"/>
      <c r="E181" s="2985"/>
      <c r="F181" s="2974">
        <v>0.05</v>
      </c>
      <c r="G181" s="2991"/>
    </row>
    <row r="182" spans="1:7">
      <c r="A182" s="2984" t="s">
        <v>29</v>
      </c>
      <c r="B182" s="2973" t="s">
        <v>3195</v>
      </c>
      <c r="C182" s="2985"/>
      <c r="D182" s="2985"/>
      <c r="E182" s="2985"/>
      <c r="F182" s="2974">
        <v>0.05</v>
      </c>
      <c r="G182" s="2991"/>
    </row>
    <row r="183" spans="1:7">
      <c r="A183" s="2984" t="s">
        <v>29</v>
      </c>
      <c r="B183" s="2973" t="s">
        <v>3196</v>
      </c>
      <c r="C183" s="2985"/>
      <c r="D183" s="2985"/>
      <c r="E183" s="2985"/>
      <c r="F183" s="2974">
        <v>0.05</v>
      </c>
      <c r="G183" s="2991"/>
    </row>
    <row r="184" spans="1:7">
      <c r="A184" s="2984" t="s">
        <v>29</v>
      </c>
      <c r="B184" s="2973" t="s">
        <v>3197</v>
      </c>
      <c r="C184" s="2985"/>
      <c r="D184" s="2985"/>
      <c r="E184" s="2985"/>
      <c r="F184" s="2974">
        <v>0.05</v>
      </c>
      <c r="G184" s="2991"/>
    </row>
    <row r="185" spans="1:7">
      <c r="A185" s="2984" t="s">
        <v>29</v>
      </c>
      <c r="B185" s="2973" t="s">
        <v>3198</v>
      </c>
      <c r="C185" s="2985"/>
      <c r="D185" s="2985"/>
      <c r="E185" s="2985"/>
      <c r="F185" s="2974">
        <v>0.05</v>
      </c>
      <c r="G185" s="2991"/>
    </row>
    <row r="186" spans="1:7">
      <c r="A186" s="2984" t="s">
        <v>29</v>
      </c>
      <c r="B186" s="2973" t="s">
        <v>3199</v>
      </c>
      <c r="C186" s="2985"/>
      <c r="D186" s="2985"/>
      <c r="E186" s="2985"/>
      <c r="F186" s="2974">
        <v>0.05</v>
      </c>
      <c r="G186" s="2991"/>
    </row>
    <row r="187" spans="1:7">
      <c r="A187" s="2984" t="s">
        <v>29</v>
      </c>
      <c r="B187" s="2973" t="s">
        <v>3200</v>
      </c>
      <c r="C187" s="2985"/>
      <c r="D187" s="2985"/>
      <c r="E187" s="2985"/>
      <c r="F187" s="2974">
        <v>0.05</v>
      </c>
      <c r="G187" s="2991"/>
    </row>
    <row r="188" spans="1:7">
      <c r="A188" s="2984" t="s">
        <v>29</v>
      </c>
      <c r="B188" s="2973" t="s">
        <v>3201</v>
      </c>
      <c r="C188" s="2985"/>
      <c r="D188" s="2985"/>
      <c r="E188" s="2985"/>
      <c r="F188" s="2974">
        <v>0.05</v>
      </c>
      <c r="G188" s="2991"/>
    </row>
    <row r="189" spans="1:7" ht="15" thickBot="1">
      <c r="A189" s="2987" t="s">
        <v>29</v>
      </c>
      <c r="B189" s="2977" t="s">
        <v>3202</v>
      </c>
      <c r="C189" s="2979"/>
      <c r="D189" s="2979"/>
      <c r="E189" s="2979"/>
      <c r="F189" s="2978">
        <v>0.05</v>
      </c>
      <c r="G189" s="2992"/>
    </row>
    <row r="190" spans="1:7">
      <c r="A190" s="2983" t="s">
        <v>304</v>
      </c>
      <c r="B190" s="2969" t="s">
        <v>2858</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2894</v>
      </c>
      <c r="C199" s="2974">
        <v>0.13</v>
      </c>
      <c r="D199" s="2974">
        <v>0.13</v>
      </c>
      <c r="E199" s="2974">
        <v>0.13</v>
      </c>
      <c r="F199" s="2974">
        <v>0.13</v>
      </c>
      <c r="G199" s="2975">
        <v>0.13</v>
      </c>
    </row>
    <row r="200" spans="1:7">
      <c r="A200" s="2984" t="s">
        <v>304</v>
      </c>
      <c r="B200" s="2973" t="s">
        <v>2897</v>
      </c>
      <c r="C200" s="2990"/>
      <c r="D200" s="2990"/>
      <c r="E200" s="2990"/>
      <c r="F200" s="2974">
        <v>0.13</v>
      </c>
      <c r="G200" s="2986"/>
    </row>
    <row r="201" spans="1:7">
      <c r="A201" s="2984" t="s">
        <v>304</v>
      </c>
      <c r="B201" s="2973" t="s">
        <v>2902</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2905</v>
      </c>
      <c r="C203" s="2974">
        <v>0.129</v>
      </c>
      <c r="D203" s="2974">
        <v>0.129</v>
      </c>
      <c r="E203" s="2974">
        <v>0.13</v>
      </c>
      <c r="F203" s="2974">
        <v>0.13</v>
      </c>
      <c r="G203" s="2975">
        <v>0.13</v>
      </c>
    </row>
    <row r="204" spans="1:7">
      <c r="A204" s="2984" t="s">
        <v>304</v>
      </c>
      <c r="B204" s="2973" t="s">
        <v>2908</v>
      </c>
      <c r="C204" s="2974">
        <v>0.129</v>
      </c>
      <c r="D204" s="2974">
        <v>0.129</v>
      </c>
      <c r="E204" s="2974">
        <v>0.123</v>
      </c>
      <c r="F204" s="2974">
        <v>0.13</v>
      </c>
      <c r="G204" s="2975">
        <v>0.13</v>
      </c>
    </row>
    <row r="205" spans="1:7">
      <c r="A205" s="2984" t="s">
        <v>304</v>
      </c>
      <c r="B205" s="2973" t="s">
        <v>2910</v>
      </c>
      <c r="C205" s="2974">
        <v>0.13</v>
      </c>
      <c r="D205" s="2974">
        <v>0.13</v>
      </c>
      <c r="E205" s="2974">
        <v>0.13</v>
      </c>
      <c r="F205" s="2974">
        <v>0.13</v>
      </c>
      <c r="G205" s="2975">
        <v>0.13</v>
      </c>
    </row>
    <row r="206" spans="1:7">
      <c r="A206" s="2984" t="s">
        <v>304</v>
      </c>
      <c r="B206" s="2973" t="s">
        <v>2913</v>
      </c>
      <c r="C206" s="2974">
        <v>0.13</v>
      </c>
      <c r="D206" s="2974">
        <v>0.13</v>
      </c>
      <c r="E206" s="2974">
        <v>0.13</v>
      </c>
      <c r="F206" s="2974">
        <v>0.128</v>
      </c>
      <c r="G206" s="2975">
        <v>0.13</v>
      </c>
    </row>
    <row r="207" spans="1:7">
      <c r="A207" s="2984" t="s">
        <v>304</v>
      </c>
      <c r="B207" s="2973" t="s">
        <v>2915</v>
      </c>
      <c r="C207" s="2974">
        <v>0.13</v>
      </c>
      <c r="D207" s="2974">
        <v>0.13</v>
      </c>
      <c r="E207" s="2974">
        <v>0.13</v>
      </c>
      <c r="F207" s="2974">
        <v>0.13</v>
      </c>
      <c r="G207" s="2975">
        <v>0.13</v>
      </c>
    </row>
    <row r="208" spans="1:7">
      <c r="A208" s="2984" t="s">
        <v>304</v>
      </c>
      <c r="B208" s="2973" t="s">
        <v>2918</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2925</v>
      </c>
      <c r="C210" s="2974">
        <v>0.121</v>
      </c>
      <c r="D210" s="2974">
        <v>0.121</v>
      </c>
      <c r="E210" s="2974">
        <v>0.125</v>
      </c>
      <c r="F210" s="2974">
        <v>0.13</v>
      </c>
      <c r="G210" s="2975">
        <v>0.123</v>
      </c>
    </row>
    <row r="211" spans="1:7">
      <c r="A211" s="2984" t="s">
        <v>304</v>
      </c>
      <c r="B211" s="2973" t="s">
        <v>2928</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2940</v>
      </c>
      <c r="C214" s="2974">
        <v>0.128</v>
      </c>
      <c r="D214" s="2974">
        <v>0.128</v>
      </c>
      <c r="E214" s="2974">
        <v>0.13</v>
      </c>
      <c r="F214" s="2974">
        <v>0.13</v>
      </c>
      <c r="G214" s="2975">
        <v>0.13</v>
      </c>
    </row>
    <row r="215" spans="1:7">
      <c r="A215" s="2984" t="s">
        <v>304</v>
      </c>
      <c r="B215" s="2973" t="s">
        <v>2944</v>
      </c>
      <c r="C215" s="2974">
        <v>0.13</v>
      </c>
      <c r="D215" s="2974">
        <v>0.13</v>
      </c>
      <c r="E215" s="2974">
        <v>0.13</v>
      </c>
      <c r="F215" s="2974">
        <v>0.129</v>
      </c>
      <c r="G215" s="2975">
        <v>0.13</v>
      </c>
    </row>
    <row r="216" spans="1:7">
      <c r="A216" s="2984" t="s">
        <v>304</v>
      </c>
      <c r="B216" s="2973" t="s">
        <v>2951</v>
      </c>
      <c r="C216" s="2974">
        <v>0.13</v>
      </c>
      <c r="D216" s="2974">
        <v>0.13</v>
      </c>
      <c r="E216" s="2974">
        <v>0.13</v>
      </c>
      <c r="F216" s="2974">
        <v>0.13</v>
      </c>
      <c r="G216" s="2975">
        <v>0.13</v>
      </c>
    </row>
    <row r="217" spans="1:7">
      <c r="A217" s="2984" t="s">
        <v>304</v>
      </c>
      <c r="B217" s="2973" t="s">
        <v>2958</v>
      </c>
      <c r="C217" s="2974">
        <v>0.129</v>
      </c>
      <c r="D217" s="2974">
        <v>0.129</v>
      </c>
      <c r="E217" s="2974">
        <v>0.13</v>
      </c>
      <c r="F217" s="2974">
        <v>0.13</v>
      </c>
      <c r="G217" s="2975">
        <v>0.13</v>
      </c>
    </row>
    <row r="218" spans="1:7">
      <c r="A218" s="2984" t="s">
        <v>304</v>
      </c>
      <c r="B218" s="2973" t="s">
        <v>2964</v>
      </c>
      <c r="C218" s="2985"/>
      <c r="D218" s="2985"/>
      <c r="E218" s="2985"/>
      <c r="F218" s="2974">
        <v>0.05</v>
      </c>
      <c r="G218" s="2991"/>
    </row>
    <row r="219" spans="1:7">
      <c r="A219" s="2984" t="s">
        <v>304</v>
      </c>
      <c r="B219" s="2973" t="s">
        <v>2971</v>
      </c>
      <c r="C219" s="2985"/>
      <c r="D219" s="2985"/>
      <c r="E219" s="2985"/>
      <c r="F219" s="2974">
        <v>0.05</v>
      </c>
      <c r="G219" s="2991"/>
    </row>
    <row r="220" spans="1:7">
      <c r="A220" s="2984" t="s">
        <v>304</v>
      </c>
      <c r="B220" s="2973" t="s">
        <v>2977</v>
      </c>
      <c r="C220" s="2985"/>
      <c r="D220" s="2985"/>
      <c r="E220" s="2985"/>
      <c r="F220" s="2974">
        <v>0.05</v>
      </c>
      <c r="G220" s="2991"/>
    </row>
    <row r="221" spans="1:7">
      <c r="A221" s="2984" t="s">
        <v>304</v>
      </c>
      <c r="B221" s="2973" t="s">
        <v>2982</v>
      </c>
      <c r="C221" s="2985"/>
      <c r="D221" s="2985"/>
      <c r="E221" s="2985"/>
      <c r="F221" s="2974">
        <v>0.05</v>
      </c>
      <c r="G221" s="2991"/>
    </row>
    <row r="222" spans="1:7">
      <c r="A222" s="2984" t="s">
        <v>304</v>
      </c>
      <c r="B222" s="2973" t="s">
        <v>2986</v>
      </c>
      <c r="C222" s="2985"/>
      <c r="D222" s="2985"/>
      <c r="E222" s="2985"/>
      <c r="F222" s="2974">
        <v>0.05</v>
      </c>
      <c r="G222" s="2991"/>
    </row>
    <row r="223" spans="1:7">
      <c r="A223" s="2984" t="s">
        <v>304</v>
      </c>
      <c r="B223" s="2973" t="s">
        <v>2991</v>
      </c>
      <c r="C223" s="2985"/>
      <c r="D223" s="2985"/>
      <c r="E223" s="2985"/>
      <c r="F223" s="2974">
        <v>0.05</v>
      </c>
      <c r="G223" s="2991"/>
    </row>
    <row r="224" spans="1:7">
      <c r="A224" s="2984" t="s">
        <v>304</v>
      </c>
      <c r="B224" s="2973" t="s">
        <v>2996</v>
      </c>
      <c r="C224" s="2985"/>
      <c r="D224" s="2985"/>
      <c r="E224" s="2985"/>
      <c r="F224" s="2974">
        <v>0.05</v>
      </c>
      <c r="G224" s="2991"/>
    </row>
    <row r="225" spans="1:7">
      <c r="A225" s="2984" t="s">
        <v>304</v>
      </c>
      <c r="B225" s="2973" t="s">
        <v>3001</v>
      </c>
      <c r="C225" s="2985"/>
      <c r="D225" s="2985"/>
      <c r="E225" s="2985"/>
      <c r="F225" s="2974">
        <v>0.05</v>
      </c>
      <c r="G225" s="2991"/>
    </row>
    <row r="226" spans="1:7">
      <c r="A226" s="2984" t="s">
        <v>304</v>
      </c>
      <c r="B226" s="2973" t="s">
        <v>3203</v>
      </c>
      <c r="C226" s="2985"/>
      <c r="D226" s="2985"/>
      <c r="E226" s="2985"/>
      <c r="F226" s="2974">
        <v>0.05</v>
      </c>
      <c r="G226" s="2991"/>
    </row>
    <row r="227" spans="1:7">
      <c r="A227" s="2984" t="s">
        <v>304</v>
      </c>
      <c r="B227" s="2973" t="s">
        <v>3204</v>
      </c>
      <c r="C227" s="2985"/>
      <c r="D227" s="2985"/>
      <c r="E227" s="2985"/>
      <c r="F227" s="2974">
        <v>0.05</v>
      </c>
      <c r="G227" s="2991"/>
    </row>
    <row r="228" spans="1:7">
      <c r="A228" s="2984" t="s">
        <v>304</v>
      </c>
      <c r="B228" s="2973" t="s">
        <v>3205</v>
      </c>
      <c r="C228" s="2985"/>
      <c r="D228" s="2985"/>
      <c r="E228" s="2985"/>
      <c r="F228" s="2974">
        <v>0.05</v>
      </c>
      <c r="G228" s="2991"/>
    </row>
    <row r="229" spans="1:7">
      <c r="A229" s="2984" t="s">
        <v>304</v>
      </c>
      <c r="B229" s="2973" t="s">
        <v>3206</v>
      </c>
      <c r="C229" s="2985"/>
      <c r="D229" s="2985"/>
      <c r="E229" s="2985"/>
      <c r="F229" s="2974">
        <v>0.05</v>
      </c>
      <c r="G229" s="2991"/>
    </row>
    <row r="230" spans="1:7">
      <c r="A230" s="2984" t="s">
        <v>304</v>
      </c>
      <c r="B230" s="2973" t="s">
        <v>3207</v>
      </c>
      <c r="C230" s="2985"/>
      <c r="D230" s="2985"/>
      <c r="E230" s="2985"/>
      <c r="F230" s="2974">
        <v>0.05</v>
      </c>
      <c r="G230" s="2991"/>
    </row>
    <row r="231" spans="1:7">
      <c r="A231" s="2984" t="s">
        <v>304</v>
      </c>
      <c r="B231" s="2973" t="s">
        <v>3208</v>
      </c>
      <c r="C231" s="2985"/>
      <c r="D231" s="2985"/>
      <c r="E231" s="2985"/>
      <c r="F231" s="2974">
        <v>0.05</v>
      </c>
      <c r="G231" s="2991"/>
    </row>
    <row r="232" spans="1:7">
      <c r="A232" s="2984" t="s">
        <v>304</v>
      </c>
      <c r="B232" s="2973" t="s">
        <v>3209</v>
      </c>
      <c r="C232" s="2985"/>
      <c r="D232" s="2985"/>
      <c r="E232" s="2985"/>
      <c r="F232" s="2974">
        <v>0.05</v>
      </c>
      <c r="G232" s="2991"/>
    </row>
    <row r="233" spans="1:7" ht="15" thickBot="1">
      <c r="A233" s="2987" t="s">
        <v>304</v>
      </c>
      <c r="B233" s="2977" t="s">
        <v>3210</v>
      </c>
      <c r="C233" s="2979"/>
      <c r="D233" s="2979"/>
      <c r="E233" s="2979"/>
      <c r="F233" s="2978">
        <v>0.05</v>
      </c>
      <c r="G233" s="2992"/>
    </row>
    <row r="234" spans="1:7">
      <c r="A234" s="2983" t="s">
        <v>305</v>
      </c>
      <c r="B234" s="2969" t="s">
        <v>2859</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2879</v>
      </c>
      <c r="C238" s="2974">
        <v>0.14899999999999999</v>
      </c>
      <c r="D238" s="2974">
        <v>0.14899999999999999</v>
      </c>
      <c r="E238" s="2974">
        <v>0.15</v>
      </c>
      <c r="F238" s="2974">
        <v>0.15</v>
      </c>
      <c r="G238" s="2975">
        <v>0.15</v>
      </c>
    </row>
    <row r="239" spans="1:7">
      <c r="A239" s="2984" t="s">
        <v>305</v>
      </c>
      <c r="B239" s="2973" t="s">
        <v>2883</v>
      </c>
      <c r="C239" s="2974">
        <v>0.15</v>
      </c>
      <c r="D239" s="2974">
        <v>0.15</v>
      </c>
      <c r="E239" s="2974">
        <v>0.15</v>
      </c>
      <c r="F239" s="2974">
        <v>0.15</v>
      </c>
      <c r="G239" s="2975">
        <v>0.15</v>
      </c>
    </row>
    <row r="240" spans="1:7">
      <c r="A240" s="2984" t="s">
        <v>305</v>
      </c>
      <c r="B240" s="2973" t="s">
        <v>2888</v>
      </c>
      <c r="C240" s="2974">
        <v>0.15</v>
      </c>
      <c r="D240" s="2974">
        <v>0.15</v>
      </c>
      <c r="E240" s="2974">
        <v>0.15</v>
      </c>
      <c r="F240" s="2974">
        <v>0.15</v>
      </c>
      <c r="G240" s="2975">
        <v>0.15</v>
      </c>
    </row>
    <row r="241" spans="1:7">
      <c r="A241" s="2984" t="s">
        <v>305</v>
      </c>
      <c r="B241" s="2973" t="s">
        <v>2892</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2898</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2906</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2911</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2919</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2932</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2941</v>
      </c>
      <c r="C258" s="2974">
        <v>0.14299999999999999</v>
      </c>
      <c r="D258" s="2974">
        <v>0.14299999999999999</v>
      </c>
      <c r="E258" s="2974">
        <v>0.15</v>
      </c>
      <c r="F258" s="2974">
        <v>0.14799999999999999</v>
      </c>
      <c r="G258" s="2975">
        <v>0.14599999999999999</v>
      </c>
    </row>
    <row r="259" spans="1:7">
      <c r="A259" s="2984" t="s">
        <v>305</v>
      </c>
      <c r="B259" s="2973" t="s">
        <v>2945</v>
      </c>
      <c r="C259" s="2974">
        <v>0.14399999999999999</v>
      </c>
      <c r="D259" s="2974">
        <v>0.14399999999999999</v>
      </c>
      <c r="E259" s="2974">
        <v>0.14899999999999999</v>
      </c>
      <c r="F259" s="2974">
        <v>0.14699999999999999</v>
      </c>
      <c r="G259" s="2975">
        <v>0.14599999999999999</v>
      </c>
    </row>
    <row r="260" spans="1:7">
      <c r="A260" s="2984" t="s">
        <v>305</v>
      </c>
      <c r="B260" s="2973" t="s">
        <v>2952</v>
      </c>
      <c r="C260" s="2974">
        <v>0.109</v>
      </c>
      <c r="D260" s="2974">
        <v>0.111</v>
      </c>
      <c r="E260" s="2974">
        <v>0.13100000000000001</v>
      </c>
      <c r="F260" s="2974">
        <v>0.126</v>
      </c>
      <c r="G260" s="2975">
        <v>0.11899999999999999</v>
      </c>
    </row>
    <row r="261" spans="1:7">
      <c r="A261" s="2984" t="s">
        <v>305</v>
      </c>
      <c r="B261" s="2973" t="s">
        <v>2959</v>
      </c>
      <c r="C261" s="2974">
        <v>0.1</v>
      </c>
      <c r="D261" s="2974">
        <v>0.1</v>
      </c>
      <c r="E261" s="2974">
        <v>0.11799999999999999</v>
      </c>
      <c r="F261" s="2974">
        <v>0.108</v>
      </c>
      <c r="G261" s="2975">
        <v>0.107</v>
      </c>
    </row>
    <row r="262" spans="1:7">
      <c r="A262" s="2984" t="s">
        <v>305</v>
      </c>
      <c r="B262" s="2973" t="s">
        <v>2965</v>
      </c>
      <c r="C262" s="2974">
        <v>0.1</v>
      </c>
      <c r="D262" s="2974">
        <v>0.1</v>
      </c>
      <c r="E262" s="2974">
        <v>0.1</v>
      </c>
      <c r="F262" s="2974">
        <v>0.14099999999999999</v>
      </c>
      <c r="G262" s="2975">
        <v>0.1</v>
      </c>
    </row>
    <row r="263" spans="1:7">
      <c r="A263" s="2984" t="s">
        <v>305</v>
      </c>
      <c r="B263" s="2973" t="s">
        <v>2972</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2983</v>
      </c>
      <c r="C265" s="2985"/>
      <c r="D265" s="2985"/>
      <c r="E265" s="2985"/>
      <c r="F265" s="2974">
        <v>0.05</v>
      </c>
      <c r="G265" s="2991"/>
    </row>
    <row r="266" spans="1:7">
      <c r="A266" s="2984" t="s">
        <v>305</v>
      </c>
      <c r="B266" s="2973" t="s">
        <v>2987</v>
      </c>
      <c r="C266" s="2985"/>
      <c r="D266" s="2985"/>
      <c r="E266" s="2985"/>
      <c r="F266" s="2974">
        <v>0.05</v>
      </c>
      <c r="G266" s="2991"/>
    </row>
    <row r="267" spans="1:7">
      <c r="A267" s="2984" t="s">
        <v>305</v>
      </c>
      <c r="B267" s="2973" t="s">
        <v>2992</v>
      </c>
      <c r="C267" s="2985"/>
      <c r="D267" s="2985"/>
      <c r="E267" s="2985"/>
      <c r="F267" s="2974">
        <v>0.05</v>
      </c>
      <c r="G267" s="2991"/>
    </row>
    <row r="268" spans="1:7">
      <c r="A268" s="2984" t="s">
        <v>305</v>
      </c>
      <c r="B268" s="2973" t="s">
        <v>2997</v>
      </c>
      <c r="C268" s="2985"/>
      <c r="D268" s="2985"/>
      <c r="E268" s="2985"/>
      <c r="F268" s="2974">
        <v>0.05</v>
      </c>
      <c r="G268" s="2991"/>
    </row>
    <row r="269" spans="1:7">
      <c r="A269" s="2984" t="s">
        <v>305</v>
      </c>
      <c r="B269" s="2973" t="s">
        <v>3002</v>
      </c>
      <c r="C269" s="2985"/>
      <c r="D269" s="2985"/>
      <c r="E269" s="2985"/>
      <c r="F269" s="2974">
        <v>0.05</v>
      </c>
      <c r="G269" s="2991"/>
    </row>
    <row r="270" spans="1:7">
      <c r="A270" s="2984" t="s">
        <v>305</v>
      </c>
      <c r="B270" s="2973" t="s">
        <v>3007</v>
      </c>
      <c r="C270" s="2985"/>
      <c r="D270" s="2985"/>
      <c r="E270" s="2985"/>
      <c r="F270" s="2974">
        <v>0.05</v>
      </c>
      <c r="G270" s="2991"/>
    </row>
    <row r="271" spans="1:7">
      <c r="A271" s="2984" t="s">
        <v>305</v>
      </c>
      <c r="B271" s="2973" t="s">
        <v>3211</v>
      </c>
      <c r="C271" s="2985"/>
      <c r="D271" s="2985"/>
      <c r="E271" s="2985"/>
      <c r="F271" s="2974">
        <v>0.05</v>
      </c>
      <c r="G271" s="2991"/>
    </row>
    <row r="272" spans="1:7">
      <c r="A272" s="2984" t="s">
        <v>305</v>
      </c>
      <c r="B272" s="2973" t="s">
        <v>3212</v>
      </c>
      <c r="C272" s="2985"/>
      <c r="D272" s="2985"/>
      <c r="E272" s="2985"/>
      <c r="F272" s="2974">
        <v>0.05</v>
      </c>
      <c r="G272" s="2991"/>
    </row>
    <row r="273" spans="1:7">
      <c r="A273" s="2984" t="s">
        <v>305</v>
      </c>
      <c r="B273" s="2973" t="s">
        <v>3213</v>
      </c>
      <c r="C273" s="2985"/>
      <c r="D273" s="2985"/>
      <c r="E273" s="2985"/>
      <c r="F273" s="2974">
        <v>0.05</v>
      </c>
      <c r="G273" s="2991"/>
    </row>
    <row r="274" spans="1:7">
      <c r="A274" s="2984" t="s">
        <v>305</v>
      </c>
      <c r="B274" s="2973" t="s">
        <v>3214</v>
      </c>
      <c r="C274" s="2985"/>
      <c r="D274" s="2985"/>
      <c r="E274" s="2985"/>
      <c r="F274" s="2974">
        <v>0.05</v>
      </c>
      <c r="G274" s="2991"/>
    </row>
    <row r="275" spans="1:7">
      <c r="A275" s="2984" t="s">
        <v>305</v>
      </c>
      <c r="B275" s="2973" t="s">
        <v>3215</v>
      </c>
      <c r="C275" s="2985"/>
      <c r="D275" s="2985"/>
      <c r="E275" s="2985"/>
      <c r="F275" s="2974">
        <v>0.05</v>
      </c>
      <c r="G275" s="2991"/>
    </row>
    <row r="276" spans="1:7" ht="15" thickBot="1">
      <c r="A276" s="2987" t="s">
        <v>305</v>
      </c>
      <c r="B276" s="2977" t="s">
        <v>3216</v>
      </c>
      <c r="C276" s="2979"/>
      <c r="D276" s="2979"/>
      <c r="E276" s="2979"/>
      <c r="F276" s="2978">
        <v>0.05</v>
      </c>
      <c r="G276" s="2992"/>
    </row>
    <row r="277" spans="1:7">
      <c r="A277" s="2983" t="s">
        <v>306</v>
      </c>
      <c r="B277" s="2969" t="s">
        <v>2860</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2872</v>
      </c>
      <c r="C279" s="2974">
        <v>0.15</v>
      </c>
      <c r="D279" s="2974">
        <v>0.15</v>
      </c>
      <c r="E279" s="2974">
        <v>0.15</v>
      </c>
      <c r="F279" s="2974">
        <v>0.15</v>
      </c>
      <c r="G279" s="2975">
        <v>0.15</v>
      </c>
    </row>
    <row r="280" spans="1:7">
      <c r="A280" s="2984" t="s">
        <v>306</v>
      </c>
      <c r="B280" s="2973" t="s">
        <v>2876</v>
      </c>
      <c r="C280" s="2974">
        <v>0.15</v>
      </c>
      <c r="D280" s="2974">
        <v>0.15</v>
      </c>
      <c r="E280" s="2974">
        <v>0.15</v>
      </c>
      <c r="F280" s="2974">
        <v>0.15</v>
      </c>
      <c r="G280" s="2975">
        <v>0.15</v>
      </c>
    </row>
    <row r="281" spans="1:7">
      <c r="A281" s="2984" t="s">
        <v>306</v>
      </c>
      <c r="B281" s="2973" t="s">
        <v>2880</v>
      </c>
      <c r="C281" s="2974">
        <v>0.15</v>
      </c>
      <c r="D281" s="2974">
        <v>0.15</v>
      </c>
      <c r="E281" s="2974">
        <v>0.15</v>
      </c>
      <c r="F281" s="2974">
        <v>0.15</v>
      </c>
      <c r="G281" s="2975">
        <v>0.15</v>
      </c>
    </row>
    <row r="282" spans="1:7">
      <c r="A282" s="2984" t="s">
        <v>306</v>
      </c>
      <c r="B282" s="2973" t="s">
        <v>2884</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2899</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2904</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2914</v>
      </c>
      <c r="C293" s="2974">
        <v>0.15</v>
      </c>
      <c r="D293" s="2974">
        <v>0.15</v>
      </c>
      <c r="E293" s="2974">
        <v>0.15</v>
      </c>
      <c r="F293" s="2974">
        <v>0.14499999999999999</v>
      </c>
      <c r="G293" s="2975">
        <v>0.15</v>
      </c>
    </row>
    <row r="294" spans="1:7">
      <c r="A294" s="2984" t="s">
        <v>306</v>
      </c>
      <c r="B294" s="2973" t="s">
        <v>2916</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2933</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2946</v>
      </c>
      <c r="C302" s="2974">
        <v>0.15</v>
      </c>
      <c r="D302" s="2974">
        <v>0.15</v>
      </c>
      <c r="E302" s="2974">
        <v>0.15</v>
      </c>
      <c r="F302" s="2974">
        <v>0.14699999999999999</v>
      </c>
      <c r="G302" s="2975">
        <v>0.15</v>
      </c>
    </row>
    <row r="303" spans="1:7">
      <c r="A303" s="2984" t="s">
        <v>306</v>
      </c>
      <c r="B303" s="2973" t="s">
        <v>2953</v>
      </c>
      <c r="C303" s="2974">
        <v>0.15</v>
      </c>
      <c r="D303" s="2974">
        <v>0.15</v>
      </c>
      <c r="E303" s="2974">
        <v>0.15</v>
      </c>
      <c r="F303" s="2974">
        <v>0.14199999999999999</v>
      </c>
      <c r="G303" s="2975">
        <v>0.15</v>
      </c>
    </row>
    <row r="304" spans="1:7">
      <c r="A304" s="2984" t="s">
        <v>306</v>
      </c>
      <c r="B304" s="2973" t="s">
        <v>2960</v>
      </c>
      <c r="C304" s="2974">
        <v>0.15</v>
      </c>
      <c r="D304" s="2974">
        <v>0.15</v>
      </c>
      <c r="E304" s="2974">
        <v>0.15</v>
      </c>
      <c r="F304" s="2974">
        <v>0.14499999999999999</v>
      </c>
      <c r="G304" s="2975">
        <v>0.15</v>
      </c>
    </row>
    <row r="305" spans="1:7">
      <c r="A305" s="2984" t="s">
        <v>306</v>
      </c>
      <c r="B305" s="2973" t="s">
        <v>2966</v>
      </c>
      <c r="C305" s="2974">
        <v>0.15</v>
      </c>
      <c r="D305" s="2974">
        <v>0.15</v>
      </c>
      <c r="E305" s="2974">
        <v>0.15</v>
      </c>
      <c r="F305" s="2974">
        <v>0.111</v>
      </c>
      <c r="G305" s="2975">
        <v>0.15</v>
      </c>
    </row>
    <row r="306" spans="1:7">
      <c r="A306" s="2984" t="s">
        <v>306</v>
      </c>
      <c r="B306" s="2973" t="s">
        <v>2973</v>
      </c>
      <c r="C306" s="2974">
        <v>0.15</v>
      </c>
      <c r="D306" s="2974">
        <v>0.15</v>
      </c>
      <c r="E306" s="2974">
        <v>0.15</v>
      </c>
      <c r="F306" s="2974">
        <v>0.126</v>
      </c>
      <c r="G306" s="2975">
        <v>0.15</v>
      </c>
    </row>
    <row r="307" spans="1:7">
      <c r="A307" s="2984" t="s">
        <v>306</v>
      </c>
      <c r="B307" s="2973" t="s">
        <v>2978</v>
      </c>
      <c r="C307" s="2974">
        <v>0.15</v>
      </c>
      <c r="D307" s="2974">
        <v>0.15</v>
      </c>
      <c r="E307" s="2974">
        <v>0.15</v>
      </c>
      <c r="F307" s="2974">
        <v>0.12</v>
      </c>
      <c r="G307" s="2975">
        <v>0.15</v>
      </c>
    </row>
    <row r="308" spans="1:7">
      <c r="A308" s="2984" t="s">
        <v>306</v>
      </c>
      <c r="B308" s="2973" t="s">
        <v>2984</v>
      </c>
      <c r="C308" s="2974">
        <v>0.15</v>
      </c>
      <c r="D308" s="2974">
        <v>0.15</v>
      </c>
      <c r="E308" s="2974">
        <v>0.15</v>
      </c>
      <c r="F308" s="2974">
        <v>0.13</v>
      </c>
      <c r="G308" s="2975">
        <v>0.15</v>
      </c>
    </row>
    <row r="309" spans="1:7">
      <c r="A309" s="2984" t="s">
        <v>306</v>
      </c>
      <c r="B309" s="2973" t="s">
        <v>2988</v>
      </c>
      <c r="C309" s="2974">
        <v>0.15</v>
      </c>
      <c r="D309" s="2974">
        <v>0.15</v>
      </c>
      <c r="E309" s="2974">
        <v>0.15</v>
      </c>
      <c r="F309" s="2974">
        <v>0.14099999999999999</v>
      </c>
      <c r="G309" s="2975">
        <v>0.15</v>
      </c>
    </row>
    <row r="310" spans="1:7">
      <c r="A310" s="2984" t="s">
        <v>306</v>
      </c>
      <c r="B310" s="2973" t="s">
        <v>2993</v>
      </c>
      <c r="C310" s="2974">
        <v>0.15</v>
      </c>
      <c r="D310" s="2974">
        <v>0.15</v>
      </c>
      <c r="E310" s="2974">
        <v>0.15</v>
      </c>
      <c r="F310" s="2974">
        <v>0.15</v>
      </c>
      <c r="G310" s="2975">
        <v>0.15</v>
      </c>
    </row>
    <row r="311" spans="1:7">
      <c r="A311" s="2984" t="s">
        <v>306</v>
      </c>
      <c r="B311" s="2973" t="s">
        <v>2998</v>
      </c>
      <c r="C311" s="2974">
        <v>0.13200000000000001</v>
      </c>
      <c r="D311" s="2974">
        <v>0.13300000000000001</v>
      </c>
      <c r="E311" s="2974">
        <v>0.14499999999999999</v>
      </c>
      <c r="F311" s="2974">
        <v>0.14199999999999999</v>
      </c>
      <c r="G311" s="2975">
        <v>0.14000000000000001</v>
      </c>
    </row>
    <row r="312" spans="1:7">
      <c r="A312" s="2984" t="s">
        <v>306</v>
      </c>
      <c r="B312" s="2973" t="s">
        <v>3003</v>
      </c>
      <c r="C312" s="2974">
        <v>0.13800000000000001</v>
      </c>
      <c r="D312" s="2974">
        <v>0.14000000000000001</v>
      </c>
      <c r="E312" s="2974">
        <v>0.14599999999999999</v>
      </c>
      <c r="F312" s="2974">
        <v>0.14899999999999999</v>
      </c>
      <c r="G312" s="2975">
        <v>0.14199999999999999</v>
      </c>
    </row>
    <row r="313" spans="1:7">
      <c r="A313" s="2984" t="s">
        <v>306</v>
      </c>
      <c r="B313" s="2973" t="s">
        <v>3008</v>
      </c>
      <c r="C313" s="2974">
        <v>0.125</v>
      </c>
      <c r="D313" s="2974">
        <v>0.127</v>
      </c>
      <c r="E313" s="2974">
        <v>0.14399999999999999</v>
      </c>
      <c r="F313" s="2974">
        <v>0.115</v>
      </c>
      <c r="G313" s="2975">
        <v>0.13600000000000001</v>
      </c>
    </row>
    <row r="314" spans="1:7">
      <c r="A314" s="2984" t="s">
        <v>306</v>
      </c>
      <c r="B314" s="2973" t="s">
        <v>3217</v>
      </c>
      <c r="C314" s="2990"/>
      <c r="D314" s="2990"/>
      <c r="E314" s="2990"/>
      <c r="F314" s="2974">
        <v>0.05</v>
      </c>
      <c r="G314" s="2991"/>
    </row>
    <row r="315" spans="1:7">
      <c r="A315" s="2984" t="s">
        <v>306</v>
      </c>
      <c r="B315" s="2973" t="s">
        <v>3218</v>
      </c>
      <c r="C315" s="2990"/>
      <c r="D315" s="2990"/>
      <c r="E315" s="2990"/>
      <c r="F315" s="2974">
        <v>0.05</v>
      </c>
      <c r="G315" s="2991"/>
    </row>
    <row r="316" spans="1:7">
      <c r="A316" s="2984" t="s">
        <v>306</v>
      </c>
      <c r="B316" s="2973" t="s">
        <v>3219</v>
      </c>
      <c r="C316" s="2985"/>
      <c r="D316" s="2985"/>
      <c r="E316" s="2985"/>
      <c r="F316" s="2974">
        <v>0.05</v>
      </c>
      <c r="G316" s="2991"/>
    </row>
    <row r="317" spans="1:7">
      <c r="A317" s="2984" t="s">
        <v>306</v>
      </c>
      <c r="B317" s="2973" t="s">
        <v>3220</v>
      </c>
      <c r="C317" s="2985"/>
      <c r="D317" s="2985"/>
      <c r="E317" s="2985"/>
      <c r="F317" s="2974">
        <v>0.05</v>
      </c>
      <c r="G317" s="2991"/>
    </row>
    <row r="318" spans="1:7">
      <c r="A318" s="2984" t="s">
        <v>306</v>
      </c>
      <c r="B318" s="2973" t="s">
        <v>3221</v>
      </c>
      <c r="C318" s="2985"/>
      <c r="D318" s="2985"/>
      <c r="E318" s="2985"/>
      <c r="F318" s="2974">
        <v>0.05</v>
      </c>
      <c r="G318" s="2991"/>
    </row>
    <row r="319" spans="1:7">
      <c r="A319" s="2984" t="s">
        <v>306</v>
      </c>
      <c r="B319" s="2973" t="s">
        <v>3222</v>
      </c>
      <c r="C319" s="2985"/>
      <c r="D319" s="2985"/>
      <c r="E319" s="2985"/>
      <c r="F319" s="2974">
        <v>0.05</v>
      </c>
      <c r="G319" s="2991"/>
    </row>
    <row r="320" spans="1:7">
      <c r="A320" s="2984" t="s">
        <v>306</v>
      </c>
      <c r="B320" s="2973" t="s">
        <v>3223</v>
      </c>
      <c r="C320" s="2985"/>
      <c r="D320" s="2985"/>
      <c r="E320" s="2985"/>
      <c r="F320" s="2974">
        <v>0.05</v>
      </c>
      <c r="G320" s="2991"/>
    </row>
    <row r="321" spans="1:7">
      <c r="A321" s="2984" t="s">
        <v>306</v>
      </c>
      <c r="B321" s="2973" t="s">
        <v>3224</v>
      </c>
      <c r="C321" s="2985"/>
      <c r="D321" s="2985"/>
      <c r="E321" s="2985"/>
      <c r="F321" s="2974">
        <v>0.05</v>
      </c>
      <c r="G321" s="2991"/>
    </row>
    <row r="322" spans="1:7">
      <c r="A322" s="2984" t="s">
        <v>306</v>
      </c>
      <c r="B322" s="2973" t="s">
        <v>3225</v>
      </c>
      <c r="C322" s="2985"/>
      <c r="D322" s="2985"/>
      <c r="E322" s="2985"/>
      <c r="F322" s="2974">
        <v>0.05</v>
      </c>
      <c r="G322" s="2991"/>
    </row>
    <row r="323" spans="1:7">
      <c r="A323" s="2984" t="s">
        <v>306</v>
      </c>
      <c r="B323" s="2973" t="s">
        <v>3226</v>
      </c>
      <c r="C323" s="2985"/>
      <c r="D323" s="2985"/>
      <c r="E323" s="2985"/>
      <c r="F323" s="2974">
        <v>0.05</v>
      </c>
      <c r="G323" s="2991"/>
    </row>
    <row r="324" spans="1:7">
      <c r="A324" s="2984" t="s">
        <v>306</v>
      </c>
      <c r="B324" s="2973" t="s">
        <v>3227</v>
      </c>
      <c r="C324" s="2985"/>
      <c r="D324" s="2985"/>
      <c r="E324" s="2985"/>
      <c r="F324" s="2974">
        <v>0.05</v>
      </c>
      <c r="G324" s="2991"/>
    </row>
    <row r="325" spans="1:7">
      <c r="A325" s="2984" t="s">
        <v>306</v>
      </c>
      <c r="B325" s="2973" t="s">
        <v>3228</v>
      </c>
      <c r="C325" s="2985"/>
      <c r="D325" s="2985"/>
      <c r="E325" s="2985"/>
      <c r="F325" s="2974">
        <v>0.05</v>
      </c>
      <c r="G325" s="2991"/>
    </row>
    <row r="326" spans="1:7" ht="15" thickBot="1">
      <c r="A326" s="2987" t="s">
        <v>306</v>
      </c>
      <c r="B326" s="2977" t="s">
        <v>3229</v>
      </c>
      <c r="C326" s="2979"/>
      <c r="D326" s="2979"/>
      <c r="E326" s="2979"/>
      <c r="F326" s="2978">
        <v>0.05</v>
      </c>
      <c r="G326" s="2992"/>
    </row>
    <row r="327" spans="1:7">
      <c r="A327" s="2983" t="s">
        <v>307</v>
      </c>
      <c r="B327" s="2969" t="s">
        <v>2861</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2873</v>
      </c>
      <c r="C329" s="2974">
        <v>0.15</v>
      </c>
      <c r="D329" s="2974">
        <v>0.15</v>
      </c>
      <c r="E329" s="2974">
        <v>0.15</v>
      </c>
      <c r="F329" s="2974">
        <v>0.15</v>
      </c>
      <c r="G329" s="2975">
        <v>0.15</v>
      </c>
    </row>
    <row r="330" spans="1:7">
      <c r="A330" s="2984" t="s">
        <v>307</v>
      </c>
      <c r="B330" s="2973" t="s">
        <v>2877</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2885</v>
      </c>
      <c r="C332" s="2974">
        <v>0.15</v>
      </c>
      <c r="D332" s="2974">
        <v>0.15</v>
      </c>
      <c r="E332" s="2974">
        <v>0.15</v>
      </c>
      <c r="F332" s="2974">
        <v>0.15</v>
      </c>
      <c r="G332" s="2975">
        <v>0.15</v>
      </c>
    </row>
    <row r="333" spans="1:7">
      <c r="A333" s="2984" t="s">
        <v>307</v>
      </c>
      <c r="B333" s="2973" t="s">
        <v>2889</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2895</v>
      </c>
      <c r="C336" s="2974">
        <v>0.15</v>
      </c>
      <c r="D336" s="2974">
        <v>0.15</v>
      </c>
      <c r="E336" s="2974">
        <v>0.15</v>
      </c>
      <c r="F336" s="2974">
        <v>0.14199999999999999</v>
      </c>
      <c r="G336" s="2975">
        <v>0.15</v>
      </c>
    </row>
    <row r="337" spans="1:7">
      <c r="A337" s="2984" t="s">
        <v>307</v>
      </c>
      <c r="B337" s="2973" t="s">
        <v>2900</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2907</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2912</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2920</v>
      </c>
      <c r="C345" s="2974">
        <v>0.15</v>
      </c>
      <c r="D345" s="2974">
        <v>0.15</v>
      </c>
      <c r="E345" s="2974">
        <v>0.15</v>
      </c>
      <c r="F345" s="2974">
        <v>0.13800000000000001</v>
      </c>
      <c r="G345" s="2975">
        <v>0.15</v>
      </c>
    </row>
    <row r="346" spans="1:7">
      <c r="A346" s="2984" t="s">
        <v>307</v>
      </c>
      <c r="B346" s="2973" t="s">
        <v>2922</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2929</v>
      </c>
      <c r="C348" s="2974">
        <v>0.15</v>
      </c>
      <c r="D348" s="2974">
        <v>0.15</v>
      </c>
      <c r="E348" s="2974">
        <v>0.15</v>
      </c>
      <c r="F348" s="2974">
        <v>0.14399999999999999</v>
      </c>
      <c r="G348" s="2975">
        <v>0.15</v>
      </c>
    </row>
    <row r="349" spans="1:7">
      <c r="A349" s="2984" t="s">
        <v>307</v>
      </c>
      <c r="B349" s="2973" t="s">
        <v>2934</v>
      </c>
      <c r="C349" s="2974">
        <v>0.15</v>
      </c>
      <c r="D349" s="2974">
        <v>0.15</v>
      </c>
      <c r="E349" s="2974">
        <v>0.15</v>
      </c>
      <c r="F349" s="2974">
        <v>0.15</v>
      </c>
      <c r="G349" s="2975">
        <v>0.15</v>
      </c>
    </row>
    <row r="350" spans="1:7">
      <c r="A350" s="2984" t="s">
        <v>307</v>
      </c>
      <c r="B350" s="2973" t="s">
        <v>2937</v>
      </c>
      <c r="C350" s="2974">
        <v>0.15</v>
      </c>
      <c r="D350" s="2974">
        <v>0.15</v>
      </c>
      <c r="E350" s="2974">
        <v>0.15</v>
      </c>
      <c r="F350" s="2974">
        <v>0.14699999999999999</v>
      </c>
      <c r="G350" s="2975">
        <v>0.15</v>
      </c>
    </row>
    <row r="351" spans="1:7">
      <c r="A351" s="2984" t="s">
        <v>307</v>
      </c>
      <c r="B351" s="2973" t="s">
        <v>2942</v>
      </c>
      <c r="C351" s="2974">
        <v>0.15</v>
      </c>
      <c r="D351" s="2974">
        <v>0.15</v>
      </c>
      <c r="E351" s="2974">
        <v>0.15</v>
      </c>
      <c r="F351" s="2974">
        <v>0.13</v>
      </c>
      <c r="G351" s="2975">
        <v>0.15</v>
      </c>
    </row>
    <row r="352" spans="1:7">
      <c r="A352" s="2984" t="s">
        <v>307</v>
      </c>
      <c r="B352" s="2973" t="s">
        <v>2947</v>
      </c>
      <c r="C352" s="2974">
        <v>0.15</v>
      </c>
      <c r="D352" s="2974">
        <v>0.15</v>
      </c>
      <c r="E352" s="2974">
        <v>0.15</v>
      </c>
      <c r="F352" s="2974">
        <v>0.14599999999999999</v>
      </c>
      <c r="G352" s="2975">
        <v>0.15</v>
      </c>
    </row>
    <row r="353" spans="1:7">
      <c r="A353" s="2984" t="s">
        <v>307</v>
      </c>
      <c r="B353" s="2973" t="s">
        <v>2954</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2967</v>
      </c>
      <c r="C355" s="2974">
        <v>0.15</v>
      </c>
      <c r="D355" s="2974">
        <v>0.15</v>
      </c>
      <c r="E355" s="2974">
        <v>0.15</v>
      </c>
      <c r="F355" s="2974">
        <v>0.15</v>
      </c>
      <c r="G355" s="2975">
        <v>0.15</v>
      </c>
    </row>
    <row r="356" spans="1:7">
      <c r="A356" s="2984" t="s">
        <v>307</v>
      </c>
      <c r="B356" s="2973" t="s">
        <v>2974</v>
      </c>
      <c r="C356" s="2974">
        <v>0.15</v>
      </c>
      <c r="D356" s="2974">
        <v>0.15</v>
      </c>
      <c r="E356" s="2974">
        <v>0.15</v>
      </c>
      <c r="F356" s="2974">
        <v>0.15</v>
      </c>
      <c r="G356" s="2975">
        <v>0.15</v>
      </c>
    </row>
    <row r="357" spans="1:7" ht="15" thickBot="1">
      <c r="A357" s="2987" t="s">
        <v>307</v>
      </c>
      <c r="B357" s="2977" t="s">
        <v>2979</v>
      </c>
      <c r="C357" s="2978">
        <v>0.126</v>
      </c>
      <c r="D357" s="2978">
        <v>0.127</v>
      </c>
      <c r="E357" s="2978">
        <v>0.14299999999999999</v>
      </c>
      <c r="F357" s="2978">
        <v>0.125</v>
      </c>
      <c r="G357" s="2980">
        <v>0.129</v>
      </c>
    </row>
    <row r="358" spans="1:7">
      <c r="A358" s="2983" t="s">
        <v>2848</v>
      </c>
      <c r="B358" s="2969" t="s">
        <v>2862</v>
      </c>
      <c r="C358" s="2970">
        <v>0.15</v>
      </c>
      <c r="D358" s="2970">
        <v>0.15</v>
      </c>
      <c r="E358" s="2970">
        <v>0.15</v>
      </c>
      <c r="F358" s="2970">
        <v>0.15</v>
      </c>
      <c r="G358" s="2971">
        <v>0.15</v>
      </c>
    </row>
    <row r="359" spans="1:7">
      <c r="A359" s="2984" t="s">
        <v>2848</v>
      </c>
      <c r="B359" s="2973" t="s">
        <v>2868</v>
      </c>
      <c r="C359" s="2974">
        <v>0.1</v>
      </c>
      <c r="D359" s="2974">
        <v>0.1</v>
      </c>
      <c r="E359" s="2974">
        <v>0.1</v>
      </c>
      <c r="F359" s="2974">
        <v>0.1</v>
      </c>
      <c r="G359" s="2975">
        <v>0.1</v>
      </c>
    </row>
    <row r="360" spans="1:7">
      <c r="A360" s="2984" t="s">
        <v>2848</v>
      </c>
      <c r="B360" s="2973" t="s">
        <v>2874</v>
      </c>
      <c r="C360" s="2974">
        <v>0.15</v>
      </c>
      <c r="D360" s="2974">
        <v>0.15</v>
      </c>
      <c r="E360" s="2974">
        <v>0.15</v>
      </c>
      <c r="F360" s="2974">
        <v>0.14899999999999999</v>
      </c>
      <c r="G360" s="2975">
        <v>0.15</v>
      </c>
    </row>
    <row r="361" spans="1:7">
      <c r="A361" s="2984" t="s">
        <v>2848</v>
      </c>
      <c r="B361" s="2973" t="s">
        <v>153</v>
      </c>
      <c r="C361" s="2974">
        <v>0.15</v>
      </c>
      <c r="D361" s="2974">
        <v>0.15</v>
      </c>
      <c r="E361" s="2974">
        <v>0.15</v>
      </c>
      <c r="F361" s="2974">
        <v>0.115</v>
      </c>
      <c r="G361" s="2975">
        <v>0.15</v>
      </c>
    </row>
    <row r="362" spans="1:7">
      <c r="A362" s="2984" t="s">
        <v>2848</v>
      </c>
      <c r="B362" s="2973" t="s">
        <v>2881</v>
      </c>
      <c r="C362" s="2974">
        <v>0.15</v>
      </c>
      <c r="D362" s="2974">
        <v>0.15</v>
      </c>
      <c r="E362" s="2974">
        <v>0.15</v>
      </c>
      <c r="F362" s="2974">
        <v>0.106</v>
      </c>
      <c r="G362" s="2975">
        <v>0.15</v>
      </c>
    </row>
    <row r="363" spans="1:7">
      <c r="A363" s="2984" t="s">
        <v>2848</v>
      </c>
      <c r="B363" s="2973" t="s">
        <v>2886</v>
      </c>
      <c r="C363" s="2974">
        <v>0.15</v>
      </c>
      <c r="D363" s="2974">
        <v>0.15</v>
      </c>
      <c r="E363" s="2974">
        <v>0.15</v>
      </c>
      <c r="F363" s="2974">
        <v>0.14699999999999999</v>
      </c>
      <c r="G363" s="2975">
        <v>0.15</v>
      </c>
    </row>
    <row r="364" spans="1:7">
      <c r="A364" s="2984" t="s">
        <v>2848</v>
      </c>
      <c r="B364" s="2973" t="s">
        <v>2890</v>
      </c>
      <c r="C364" s="2974">
        <v>0.15</v>
      </c>
      <c r="D364" s="2974">
        <v>0.15</v>
      </c>
      <c r="E364" s="2974">
        <v>0.15</v>
      </c>
      <c r="F364" s="2974">
        <v>0.14799999999999999</v>
      </c>
      <c r="G364" s="2975">
        <v>0.15</v>
      </c>
    </row>
    <row r="365" spans="1:7">
      <c r="A365" s="2984" t="s">
        <v>2848</v>
      </c>
      <c r="B365" s="2973" t="s">
        <v>200</v>
      </c>
      <c r="C365" s="2974">
        <v>0.15</v>
      </c>
      <c r="D365" s="2974">
        <v>0.15</v>
      </c>
      <c r="E365" s="2974">
        <v>0.15</v>
      </c>
      <c r="F365" s="2974">
        <v>0.15</v>
      </c>
      <c r="G365" s="2975">
        <v>0.15</v>
      </c>
    </row>
    <row r="366" spans="1:7">
      <c r="A366" s="2984" t="s">
        <v>2848</v>
      </c>
      <c r="B366" s="2973" t="s">
        <v>2893</v>
      </c>
      <c r="C366" s="2974">
        <v>0.15</v>
      </c>
      <c r="D366" s="2974">
        <v>0.15</v>
      </c>
      <c r="E366" s="2974">
        <v>0.15</v>
      </c>
      <c r="F366" s="2974">
        <v>0.15</v>
      </c>
      <c r="G366" s="2975">
        <v>0.15</v>
      </c>
    </row>
    <row r="367" spans="1:7">
      <c r="A367" s="2984" t="s">
        <v>2848</v>
      </c>
      <c r="B367" s="2973" t="s">
        <v>2896</v>
      </c>
      <c r="C367" s="2974">
        <v>0.15</v>
      </c>
      <c r="D367" s="2974">
        <v>0.15</v>
      </c>
      <c r="E367" s="2974">
        <v>0.15</v>
      </c>
      <c r="F367" s="2974">
        <v>0.14699999999999999</v>
      </c>
      <c r="G367" s="2975">
        <v>0.15</v>
      </c>
    </row>
    <row r="368" spans="1:7">
      <c r="A368" s="2984" t="s">
        <v>2848</v>
      </c>
      <c r="B368" s="2973" t="s">
        <v>2901</v>
      </c>
      <c r="C368" s="2974">
        <v>0.15</v>
      </c>
      <c r="D368" s="2974">
        <v>0.15</v>
      </c>
      <c r="E368" s="2974">
        <v>0.15</v>
      </c>
      <c r="F368" s="2974">
        <v>0.13600000000000001</v>
      </c>
      <c r="G368" s="2975">
        <v>0.15</v>
      </c>
    </row>
    <row r="369" spans="1:7">
      <c r="A369" s="2984" t="s">
        <v>2848</v>
      </c>
      <c r="B369" s="2973" t="s">
        <v>214</v>
      </c>
      <c r="C369" s="2974">
        <v>0.15</v>
      </c>
      <c r="D369" s="2974">
        <v>0.15</v>
      </c>
      <c r="E369" s="2974">
        <v>0.15</v>
      </c>
      <c r="F369" s="2974">
        <v>0.14399999999999999</v>
      </c>
      <c r="G369" s="2975">
        <v>0.15</v>
      </c>
    </row>
    <row r="370" spans="1:7">
      <c r="A370" s="2984" t="s">
        <v>2848</v>
      </c>
      <c r="B370" s="2973" t="s">
        <v>221</v>
      </c>
      <c r="C370" s="2974">
        <v>0.15</v>
      </c>
      <c r="D370" s="2974">
        <v>0.15</v>
      </c>
      <c r="E370" s="2974">
        <v>0.15</v>
      </c>
      <c r="F370" s="2974">
        <v>0.14599999999999999</v>
      </c>
      <c r="G370" s="2975">
        <v>0.15</v>
      </c>
    </row>
    <row r="371" spans="1:7">
      <c r="A371" s="2984" t="s">
        <v>2848</v>
      </c>
      <c r="B371" s="2973" t="s">
        <v>229</v>
      </c>
      <c r="C371" s="2974">
        <v>0.15</v>
      </c>
      <c r="D371" s="2974">
        <v>0.15</v>
      </c>
      <c r="E371" s="2974">
        <v>0.15</v>
      </c>
      <c r="F371" s="2974">
        <v>0.12</v>
      </c>
      <c r="G371" s="2975">
        <v>0.15</v>
      </c>
    </row>
    <row r="372" spans="1:7">
      <c r="A372" s="2984" t="s">
        <v>2848</v>
      </c>
      <c r="B372" s="2973" t="s">
        <v>2909</v>
      </c>
      <c r="C372" s="2974">
        <v>0.15</v>
      </c>
      <c r="D372" s="2974">
        <v>0.15</v>
      </c>
      <c r="E372" s="2974">
        <v>0.15</v>
      </c>
      <c r="F372" s="2974">
        <v>0.14299999999999999</v>
      </c>
      <c r="G372" s="2975">
        <v>0.15</v>
      </c>
    </row>
    <row r="373" spans="1:7">
      <c r="A373" s="2984" t="s">
        <v>2848</v>
      </c>
      <c r="B373" s="2973" t="s">
        <v>258</v>
      </c>
      <c r="C373" s="2974">
        <v>0.15</v>
      </c>
      <c r="D373" s="2974">
        <v>0.15</v>
      </c>
      <c r="E373" s="2974">
        <v>0.15</v>
      </c>
      <c r="F373" s="2974">
        <v>0.14599999999999999</v>
      </c>
      <c r="G373" s="2975">
        <v>0.15</v>
      </c>
    </row>
    <row r="374" spans="1:7">
      <c r="A374" s="2984" t="s">
        <v>2848</v>
      </c>
      <c r="B374" s="2973" t="s">
        <v>266</v>
      </c>
      <c r="C374" s="2974">
        <v>0.15</v>
      </c>
      <c r="D374" s="2974">
        <v>0.15</v>
      </c>
      <c r="E374" s="2974">
        <v>0.15</v>
      </c>
      <c r="F374" s="2974">
        <v>0.14399999999999999</v>
      </c>
      <c r="G374" s="2975">
        <v>0.15</v>
      </c>
    </row>
    <row r="375" spans="1:7">
      <c r="A375" s="2984" t="s">
        <v>2848</v>
      </c>
      <c r="B375" s="2973" t="s">
        <v>2917</v>
      </c>
      <c r="C375" s="2974">
        <v>0.15</v>
      </c>
      <c r="D375" s="2974">
        <v>0.15</v>
      </c>
      <c r="E375" s="2974">
        <v>0.15</v>
      </c>
      <c r="F375" s="2974">
        <v>0.13</v>
      </c>
      <c r="G375" s="2975">
        <v>0.15</v>
      </c>
    </row>
    <row r="376" spans="1:7">
      <c r="A376" s="2984" t="s">
        <v>2848</v>
      </c>
      <c r="B376" s="2973" t="s">
        <v>277</v>
      </c>
      <c r="C376" s="2974">
        <v>0.15</v>
      </c>
      <c r="D376" s="2974">
        <v>0.15</v>
      </c>
      <c r="E376" s="2974">
        <v>0.15</v>
      </c>
      <c r="F376" s="2974">
        <v>0.14199999999999999</v>
      </c>
      <c r="G376" s="2975">
        <v>0.15</v>
      </c>
    </row>
    <row r="377" spans="1:7" ht="15" thickBot="1">
      <c r="A377" s="2987" t="s">
        <v>2848</v>
      </c>
      <c r="B377" s="2977" t="s">
        <v>2923</v>
      </c>
      <c r="C377" s="2978">
        <v>0.15</v>
      </c>
      <c r="D377" s="2978">
        <v>0.15</v>
      </c>
      <c r="E377" s="2978">
        <v>0.15</v>
      </c>
      <c r="F377" s="2978">
        <v>0.14000000000000001</v>
      </c>
      <c r="G377" s="2980">
        <v>0.15</v>
      </c>
    </row>
    <row r="378" spans="1:7">
      <c r="A378" s="2983" t="s">
        <v>2849</v>
      </c>
      <c r="B378" s="2969" t="s">
        <v>2863</v>
      </c>
      <c r="C378" s="2970">
        <v>0.15</v>
      </c>
      <c r="D378" s="2970">
        <v>0.15</v>
      </c>
      <c r="E378" s="2970">
        <v>0.15</v>
      </c>
      <c r="F378" s="2970">
        <v>0.107</v>
      </c>
      <c r="G378" s="2971">
        <v>0.15</v>
      </c>
    </row>
    <row r="379" spans="1:7">
      <c r="A379" s="2984" t="s">
        <v>2849</v>
      </c>
      <c r="B379" s="2973" t="s">
        <v>2869</v>
      </c>
      <c r="C379" s="2974">
        <v>0.15</v>
      </c>
      <c r="D379" s="2974">
        <v>0.15</v>
      </c>
      <c r="E379" s="2974">
        <v>0.15</v>
      </c>
      <c r="F379" s="2974">
        <v>0.115</v>
      </c>
      <c r="G379" s="2975">
        <v>0.14899999999999999</v>
      </c>
    </row>
    <row r="380" spans="1:7">
      <c r="A380" s="2984" t="s">
        <v>2849</v>
      </c>
      <c r="B380" s="2973" t="s">
        <v>2875</v>
      </c>
      <c r="C380" s="2974">
        <v>0.15</v>
      </c>
      <c r="D380" s="2974">
        <v>0.15</v>
      </c>
      <c r="E380" s="2974">
        <v>0.15</v>
      </c>
      <c r="F380" s="2974">
        <v>0.1</v>
      </c>
      <c r="G380" s="2975">
        <v>0.14799999999999999</v>
      </c>
    </row>
    <row r="381" spans="1:7">
      <c r="A381" s="2984" t="s">
        <v>2849</v>
      </c>
      <c r="B381" s="2973" t="s">
        <v>2878</v>
      </c>
      <c r="C381" s="2974">
        <v>0.15</v>
      </c>
      <c r="D381" s="2974">
        <v>0.15</v>
      </c>
      <c r="E381" s="2974">
        <v>0.15</v>
      </c>
      <c r="F381" s="2974">
        <v>0.126</v>
      </c>
      <c r="G381" s="2975">
        <v>0.15</v>
      </c>
    </row>
    <row r="382" spans="1:7">
      <c r="A382" s="2984" t="s">
        <v>2849</v>
      </c>
      <c r="B382" s="2973" t="s">
        <v>2882</v>
      </c>
      <c r="C382" s="2974">
        <v>0.15</v>
      </c>
      <c r="D382" s="2974">
        <v>0.15</v>
      </c>
      <c r="E382" s="2974">
        <v>0.15</v>
      </c>
      <c r="F382" s="2974">
        <v>0.15</v>
      </c>
      <c r="G382" s="2975">
        <v>0.15</v>
      </c>
    </row>
    <row r="383" spans="1:7">
      <c r="A383" s="2984" t="s">
        <v>2849</v>
      </c>
      <c r="B383" s="2973" t="s">
        <v>2887</v>
      </c>
      <c r="C383" s="2974">
        <v>0.15</v>
      </c>
      <c r="D383" s="2974">
        <v>0.15</v>
      </c>
      <c r="E383" s="2974">
        <v>0.15</v>
      </c>
      <c r="F383" s="2974">
        <v>0.14699999999999999</v>
      </c>
      <c r="G383" s="2975">
        <v>0.15</v>
      </c>
    </row>
    <row r="384" spans="1:7" ht="15" thickBot="1">
      <c r="A384" s="2994" t="s">
        <v>2849</v>
      </c>
      <c r="B384" s="2995" t="s">
        <v>2891</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9"/>
  </cols>
  <sheetData>
    <row r="1" spans="1:6">
      <c r="A1" s="3508" t="s">
        <v>3230</v>
      </c>
      <c r="B1" s="3508"/>
      <c r="C1" s="3508"/>
      <c r="D1" s="3508"/>
      <c r="E1" s="3508"/>
      <c r="F1" s="3509"/>
    </row>
    <row r="2" spans="1:6">
      <c r="A2" s="2998" t="s">
        <v>3231</v>
      </c>
    </row>
    <row r="3" spans="1:6">
      <c r="A3" s="2998" t="s">
        <v>3232</v>
      </c>
      <c r="F3" s="2999" t="s">
        <v>3233</v>
      </c>
    </row>
    <row r="4" spans="1:6">
      <c r="A4" s="3000" t="s">
        <v>672</v>
      </c>
      <c r="B4" s="3000" t="s">
        <v>673</v>
      </c>
      <c r="C4" s="3000" t="s">
        <v>21</v>
      </c>
      <c r="D4" s="3000" t="s">
        <v>674</v>
      </c>
      <c r="E4" s="3000" t="s">
        <v>3</v>
      </c>
      <c r="F4" s="3000" t="s">
        <v>3234</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3">
        <f>基准地价修正!G23</f>
        <v>45828</v>
      </c>
      <c r="B1" s="2925" t="s">
        <v>3375</v>
      </c>
      <c r="C1" s="2926"/>
      <c r="D1" s="2926"/>
      <c r="E1" s="2926"/>
      <c r="F1" s="2926"/>
      <c r="G1" s="2926"/>
      <c r="H1" s="2926"/>
      <c r="I1" s="2926"/>
      <c r="J1" s="2892"/>
      <c r="K1" s="2926" t="s">
        <v>454</v>
      </c>
      <c r="L1" s="2926"/>
      <c r="M1" s="2926"/>
      <c r="N1" s="2926"/>
      <c r="O1" s="2926"/>
      <c r="P1" s="2926"/>
      <c r="Q1" s="2892"/>
      <c r="R1" s="3510" t="s">
        <v>456</v>
      </c>
      <c r="S1" s="3511"/>
      <c r="T1" s="3511"/>
      <c r="U1" s="3511"/>
      <c r="V1" s="3511"/>
      <c r="W1" s="3511"/>
      <c r="X1" s="2892"/>
      <c r="Y1" s="3510" t="s">
        <v>457</v>
      </c>
      <c r="Z1" s="3511"/>
      <c r="AA1" s="3511"/>
      <c r="AB1" s="3511"/>
      <c r="AC1" s="3511"/>
      <c r="AD1" s="3511"/>
    </row>
    <row r="2" spans="1:44" s="2010" customFormat="1" ht="15" thickBot="1">
      <c r="B2" s="2877"/>
      <c r="C2" s="2878"/>
      <c r="D2" s="2011" t="s">
        <v>2808</v>
      </c>
      <c r="E2" s="2012" t="s">
        <v>2809</v>
      </c>
      <c r="F2" s="2012" t="s">
        <v>2810</v>
      </c>
      <c r="G2" s="2012" t="s">
        <v>2811</v>
      </c>
      <c r="H2" s="2012" t="s">
        <v>2812</v>
      </c>
      <c r="I2" s="2012" t="s">
        <v>2629</v>
      </c>
      <c r="J2" s="2879"/>
      <c r="K2" s="2011" t="s">
        <v>2808</v>
      </c>
      <c r="L2" s="2012" t="s">
        <v>2809</v>
      </c>
      <c r="M2" s="2012" t="s">
        <v>2810</v>
      </c>
      <c r="N2" s="2012" t="s">
        <v>2811</v>
      </c>
      <c r="O2" s="2012" t="s">
        <v>2813</v>
      </c>
      <c r="P2" s="2012" t="s">
        <v>2629</v>
      </c>
      <c r="Q2" s="2879"/>
      <c r="R2" s="2011" t="s">
        <v>2808</v>
      </c>
      <c r="S2" s="2012" t="s">
        <v>2809</v>
      </c>
      <c r="T2" s="2012" t="s">
        <v>2810</v>
      </c>
      <c r="U2" s="2012" t="s">
        <v>2814</v>
      </c>
      <c r="V2" s="2012" t="s">
        <v>2815</v>
      </c>
      <c r="W2" s="2012" t="s">
        <v>2629</v>
      </c>
      <c r="X2" s="2879"/>
      <c r="Y2" s="2011" t="s">
        <v>2808</v>
      </c>
      <c r="Z2" s="2012" t="s">
        <v>2809</v>
      </c>
      <c r="AA2" s="2012" t="s">
        <v>2810</v>
      </c>
      <c r="AB2" s="2012" t="s">
        <v>2816</v>
      </c>
      <c r="AC2" s="2012" t="s">
        <v>2815</v>
      </c>
      <c r="AD2" s="2012" t="s">
        <v>2629</v>
      </c>
      <c r="AF2" t="s">
        <v>3402</v>
      </c>
      <c r="AG2" t="s">
        <v>673</v>
      </c>
      <c r="AH2" t="s">
        <v>21</v>
      </c>
      <c r="AI2" t="s">
        <v>3403</v>
      </c>
      <c r="AJ2" t="s">
        <v>3</v>
      </c>
      <c r="AK2" t="s">
        <v>3404</v>
      </c>
      <c r="AM2" t="s">
        <v>3402</v>
      </c>
      <c r="AN2" t="s">
        <v>673</v>
      </c>
      <c r="AO2" t="s">
        <v>21</v>
      </c>
      <c r="AP2" t="s">
        <v>3403</v>
      </c>
      <c r="AQ2" t="s">
        <v>3</v>
      </c>
      <c r="AR2" t="s">
        <v>3404</v>
      </c>
    </row>
    <row r="3" spans="1:44" s="2882" customFormat="1" ht="13.2">
      <c r="A3" s="2880" t="s">
        <v>2817</v>
      </c>
      <c r="B3" s="2881"/>
      <c r="D3" s="2882">
        <f>ROUND(AVERAGEIF(D4:D24,"&lt;&gt;0"),2)</f>
        <v>0.39</v>
      </c>
      <c r="E3" s="2882">
        <f t="shared" ref="E3:H3" si="0">ROUND(AVERAGEIF(E4:E24,"&lt;&gt;0"),2)</f>
        <v>0.21</v>
      </c>
      <c r="F3" s="2882">
        <f t="shared" si="0"/>
        <v>-0.06</v>
      </c>
      <c r="G3" s="2882">
        <f t="shared" si="0"/>
        <v>0.46</v>
      </c>
      <c r="H3" s="2882">
        <f t="shared" si="0"/>
        <v>0.51</v>
      </c>
      <c r="I3" s="2882">
        <f>F3</f>
        <v>-0.06</v>
      </c>
      <c r="J3" s="2883"/>
      <c r="K3" s="2884">
        <f>ROUND(AVERAGEIF(K4:K24,"&lt;&gt;0"),4)</f>
        <v>3.8999999999999998E-3</v>
      </c>
      <c r="L3" s="2885">
        <f t="shared" ref="L3:O3" si="1">ROUND(AVERAGEIF(L4:L24,"&lt;&gt;0"),4)</f>
        <v>2.0999999999999999E-3</v>
      </c>
      <c r="M3" s="2885">
        <f t="shared" si="1"/>
        <v>-5.9999999999999995E-4</v>
      </c>
      <c r="N3" s="2885">
        <f t="shared" si="1"/>
        <v>4.5999999999999999E-3</v>
      </c>
      <c r="O3" s="2885">
        <f t="shared" si="1"/>
        <v>5.1000000000000004E-3</v>
      </c>
      <c r="P3" s="2885">
        <f>M3</f>
        <v>-5.9999999999999995E-4</v>
      </c>
      <c r="Q3" s="2883"/>
      <c r="R3" s="2886">
        <f>ROUND(SUMPRODUCT(PRODUCT(1+K4:K24)),4)</f>
        <v>1.0674999999999999</v>
      </c>
      <c r="S3" s="2887">
        <f t="shared" ref="S3:V3" si="2">ROUND(SUMPRODUCT(PRODUCT(1+L4:L24)),4)</f>
        <v>1.0355000000000001</v>
      </c>
      <c r="T3" s="2887">
        <f t="shared" si="2"/>
        <v>0.98880000000000001</v>
      </c>
      <c r="U3" s="2887">
        <f t="shared" si="2"/>
        <v>1.0798000000000001</v>
      </c>
      <c r="V3" s="2887">
        <f t="shared" si="2"/>
        <v>1.0911</v>
      </c>
      <c r="W3" s="2886">
        <f>T3</f>
        <v>0.98880000000000001</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9" customFormat="1" ht="13.2">
      <c r="B4" s="2025"/>
      <c r="J4" s="2892"/>
      <c r="K4" s="2893"/>
      <c r="L4" s="2894"/>
      <c r="M4" s="2894"/>
      <c r="N4" s="2894"/>
      <c r="O4" s="2894"/>
      <c r="P4" s="2894"/>
      <c r="Q4" s="2892"/>
      <c r="R4" s="2027"/>
      <c r="S4" s="2895"/>
      <c r="T4" s="2896"/>
      <c r="U4" s="2027"/>
      <c r="V4" s="2897"/>
      <c r="W4" s="2027"/>
      <c r="X4" s="2892"/>
      <c r="Y4" s="2028"/>
      <c r="Z4" s="2898"/>
      <c r="AA4" s="2899"/>
      <c r="AB4" s="2028"/>
      <c r="AC4" s="2900"/>
      <c r="AD4" s="2028"/>
    </row>
    <row r="5" spans="1:44" s="2045" customFormat="1">
      <c r="A5" s="2040" t="s">
        <v>3401</v>
      </c>
      <c r="B5" s="2031">
        <v>2025</v>
      </c>
      <c r="C5" s="2042">
        <v>4</v>
      </c>
      <c r="D5" s="2007">
        <v>0</v>
      </c>
      <c r="E5" s="2007">
        <v>0</v>
      </c>
      <c r="F5" s="2007">
        <v>0</v>
      </c>
      <c r="G5" s="2007">
        <v>0</v>
      </c>
      <c r="H5" s="2007">
        <v>0</v>
      </c>
      <c r="I5" s="2008">
        <f t="shared" ref="I5" si="4">F5</f>
        <v>0</v>
      </c>
      <c r="J5" s="2902"/>
      <c r="K5" s="2043">
        <f t="shared" ref="K5" si="5">D5/100</f>
        <v>0</v>
      </c>
      <c r="L5" s="2028">
        <f t="shared" ref="L5" si="6">E5/100</f>
        <v>0</v>
      </c>
      <c r="M5" s="2028">
        <f t="shared" ref="M5" si="7">F5/100</f>
        <v>0</v>
      </c>
      <c r="N5" s="2028">
        <f t="shared" ref="N5" si="8">G5/100</f>
        <v>0</v>
      </c>
      <c r="O5" s="2028">
        <f t="shared" ref="O5" si="9">H5/100</f>
        <v>0</v>
      </c>
      <c r="P5" s="2028">
        <f t="shared" ref="P5:P11" si="10">M5</f>
        <v>0</v>
      </c>
      <c r="Q5" s="2902"/>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2"/>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49">
        <f>$AF$24*R5</f>
        <v>105.72</v>
      </c>
      <c r="AG5" s="3149">
        <f t="shared" ref="AG5:AK5" si="18">$AF$24*S5</f>
        <v>103.39</v>
      </c>
      <c r="AH5" s="3149">
        <f t="shared" si="18"/>
        <v>99.13</v>
      </c>
      <c r="AI5" s="3149">
        <f t="shared" si="18"/>
        <v>106.79</v>
      </c>
      <c r="AJ5" s="3149">
        <f t="shared" si="18"/>
        <v>108.72</v>
      </c>
      <c r="AK5" s="3149">
        <f t="shared" si="18"/>
        <v>99.13</v>
      </c>
      <c r="AM5" s="3155">
        <v>100</v>
      </c>
      <c r="AN5" s="3155">
        <v>100</v>
      </c>
      <c r="AO5" s="3155">
        <v>100</v>
      </c>
      <c r="AP5" s="3155">
        <v>100</v>
      </c>
      <c r="AQ5" s="3155">
        <v>100</v>
      </c>
      <c r="AR5" s="3155">
        <v>100</v>
      </c>
    </row>
    <row r="6" spans="1:44" s="2045" customFormat="1" ht="13.2">
      <c r="A6" s="2040" t="s">
        <v>3400</v>
      </c>
      <c r="B6" s="2031">
        <v>2025</v>
      </c>
      <c r="C6" s="2042">
        <v>3</v>
      </c>
      <c r="D6" s="2007">
        <v>0</v>
      </c>
      <c r="E6" s="2007">
        <v>0</v>
      </c>
      <c r="F6" s="2007">
        <v>0</v>
      </c>
      <c r="G6" s="2007">
        <v>0</v>
      </c>
      <c r="H6" s="2007">
        <v>0</v>
      </c>
      <c r="I6" s="2008">
        <f t="shared" ref="I6" si="19">F6</f>
        <v>0</v>
      </c>
      <c r="J6" s="2902"/>
      <c r="K6" s="2043">
        <f t="shared" ref="K6" si="20">D6/100</f>
        <v>0</v>
      </c>
      <c r="L6" s="2028">
        <f t="shared" ref="L6" si="21">E6/100</f>
        <v>0</v>
      </c>
      <c r="M6" s="2028">
        <f t="shared" ref="M6" si="22">F6/100</f>
        <v>0</v>
      </c>
      <c r="N6" s="2028">
        <f t="shared" ref="N6" si="23">G6/100</f>
        <v>0</v>
      </c>
      <c r="O6" s="2028">
        <f t="shared" ref="O6" si="24">H6/100</f>
        <v>0</v>
      </c>
      <c r="P6" s="2028">
        <f t="shared" si="10"/>
        <v>0</v>
      </c>
      <c r="Q6" s="2902"/>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2"/>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49">
        <f t="shared" ref="AF6:AF23" si="30">$AF$24*R6</f>
        <v>105.72</v>
      </c>
      <c r="AG6" s="3149">
        <f t="shared" ref="AG6:AG23" si="31">$AF$24*S6</f>
        <v>103.39</v>
      </c>
      <c r="AH6" s="3149">
        <f t="shared" ref="AH6:AH23" si="32">$AF$24*T6</f>
        <v>99.13</v>
      </c>
      <c r="AI6" s="3149">
        <f t="shared" ref="AI6:AI23" si="33">$AF$24*U6</f>
        <v>106.79</v>
      </c>
      <c r="AJ6" s="3149">
        <f t="shared" ref="AJ6:AJ23" si="34">$AF$24*V6</f>
        <v>108.72</v>
      </c>
      <c r="AK6" s="3149">
        <f t="shared" ref="AK6:AK23" si="35">$AF$24*W6</f>
        <v>99.13</v>
      </c>
      <c r="AM6" s="3149">
        <f>AM5/(1+D5/100)</f>
        <v>100</v>
      </c>
      <c r="AN6" s="3149">
        <f t="shared" ref="AN6:AR6" si="36">AN5/(1+E5/100)</f>
        <v>100</v>
      </c>
      <c r="AO6" s="3149">
        <f t="shared" si="36"/>
        <v>100</v>
      </c>
      <c r="AP6" s="3149">
        <f t="shared" si="36"/>
        <v>100</v>
      </c>
      <c r="AQ6" s="3149">
        <f t="shared" si="36"/>
        <v>100</v>
      </c>
      <c r="AR6" s="3149">
        <f t="shared" si="36"/>
        <v>100</v>
      </c>
    </row>
    <row r="7" spans="1:44" s="2912" customFormat="1" ht="13.2">
      <c r="A7" s="2903" t="s">
        <v>3399</v>
      </c>
      <c r="B7" s="2904">
        <v>2025</v>
      </c>
      <c r="C7" s="2905">
        <v>2</v>
      </c>
      <c r="D7" s="2906">
        <v>0</v>
      </c>
      <c r="E7" s="2906">
        <v>0</v>
      </c>
      <c r="F7" s="2906">
        <v>0</v>
      </c>
      <c r="G7" s="2906">
        <v>0</v>
      </c>
      <c r="H7" s="2907">
        <v>0</v>
      </c>
      <c r="I7" s="2908">
        <f t="shared" ref="I7" si="37">F7</f>
        <v>0</v>
      </c>
      <c r="J7" s="2909"/>
      <c r="K7" s="2910">
        <f t="shared" ref="K7" si="38">D7/100</f>
        <v>0</v>
      </c>
      <c r="L7" s="2911">
        <f t="shared" ref="L7" si="39">E7/100</f>
        <v>0</v>
      </c>
      <c r="M7" s="2911">
        <f t="shared" ref="M7" si="40">F7/100</f>
        <v>0</v>
      </c>
      <c r="N7" s="2911">
        <f t="shared" ref="N7" si="41">G7/100</f>
        <v>0</v>
      </c>
      <c r="O7" s="2911">
        <f t="shared" ref="O7" si="42">H7/100</f>
        <v>0</v>
      </c>
      <c r="P7" s="2911">
        <f t="shared" si="10"/>
        <v>0</v>
      </c>
      <c r="Q7" s="2909"/>
      <c r="R7" s="2909">
        <f>ROUND(IF(项目基本情况!$B$8="出让",SUMPRODUCT(PRODUCT(1+K7:$K$24)),SUMPRODUCT(PRODUCT(1+K7:$K$23))),4)</f>
        <v>1.0571999999999999</v>
      </c>
      <c r="S7" s="2909">
        <f>ROUND(IF(项目基本情况!$B$8="出让",SUMPRODUCT(PRODUCT(1+L7:$L$24)),SUMPRODUCT(PRODUCT(1+L7:$L$23))),4)</f>
        <v>1.0339</v>
      </c>
      <c r="T7" s="2909">
        <f>ROUND(IF(项目基本情况!$B$8="出让",SUMPRODUCT(PRODUCT(1+M7:$M$24)),SUMPRODUCT(PRODUCT(1+M7:$M$23))),4)</f>
        <v>0.99129999999999996</v>
      </c>
      <c r="U7" s="2909">
        <f>ROUND(IF(项目基本情况!$B$8="出让",SUMPRODUCT(PRODUCT(1+N7:$N$24)),SUMPRODUCT(PRODUCT(1+N7:$N$23))),4)</f>
        <v>1.0679000000000001</v>
      </c>
      <c r="V7" s="2909">
        <f>ROUND(IF(项目基本情况!$B$8="出让",SUMPRODUCT(PRODUCT(1+O7:$O$24)),SUMPRODUCT(PRODUCT(1+O7:$O$23))),4)</f>
        <v>1.0871999999999999</v>
      </c>
      <c r="W7" s="2909">
        <f t="shared" si="11"/>
        <v>0.99129999999999996</v>
      </c>
      <c r="X7" s="2909"/>
      <c r="Y7" s="2911">
        <f t="shared" si="12"/>
        <v>0</v>
      </c>
      <c r="Z7" s="2911">
        <f t="shared" ref="Z7" si="43">IF(E7=0,0,ROUND(AVERAGE(E7:E20)/100,4))</f>
        <v>0</v>
      </c>
      <c r="AA7" s="2911">
        <f t="shared" ref="AA7" si="44">IF(F7=0,0,ROUND(AVERAGE(F7:F20)/100,4))</f>
        <v>0</v>
      </c>
      <c r="AB7" s="2911">
        <f t="shared" ref="AB7" si="45">IF(G7=0,0,ROUND(AVERAGE(G7:G20)/100,4))</f>
        <v>0</v>
      </c>
      <c r="AC7" s="2911">
        <f t="shared" ref="AC7" si="46">IF(H7=0,0,ROUND(AVERAGE(H7:H20)/100,4))</f>
        <v>0</v>
      </c>
      <c r="AD7" s="2911">
        <f t="shared" ref="AD7" si="47">AA7</f>
        <v>0</v>
      </c>
      <c r="AF7" s="3150">
        <f t="shared" si="30"/>
        <v>105.72</v>
      </c>
      <c r="AG7" s="3150">
        <f t="shared" si="31"/>
        <v>103.39</v>
      </c>
      <c r="AH7" s="3150">
        <f t="shared" si="32"/>
        <v>99.13</v>
      </c>
      <c r="AI7" s="3150">
        <f t="shared" si="33"/>
        <v>106.79</v>
      </c>
      <c r="AJ7" s="3150">
        <f t="shared" si="34"/>
        <v>108.72</v>
      </c>
      <c r="AK7" s="3150">
        <f t="shared" si="35"/>
        <v>99.13</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5" customFormat="1" ht="13.2">
      <c r="A8" s="2040" t="s">
        <v>3407</v>
      </c>
      <c r="B8" s="2031">
        <v>2025</v>
      </c>
      <c r="C8" s="2042">
        <v>1</v>
      </c>
      <c r="D8" s="2007">
        <v>0.56999999999999995</v>
      </c>
      <c r="E8" s="2007">
        <v>-0.56999999999999995</v>
      </c>
      <c r="F8" s="2007">
        <v>-0.9</v>
      </c>
      <c r="G8" s="2007">
        <v>1.1200000000000001</v>
      </c>
      <c r="H8" s="2007">
        <v>0.42</v>
      </c>
      <c r="I8" s="2008">
        <f t="shared" ref="I8" si="54">F8</f>
        <v>-0.9</v>
      </c>
      <c r="J8" s="2902"/>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2"/>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2"/>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100</v>
      </c>
      <c r="AN8" s="3149">
        <f t="shared" si="49"/>
        <v>100</v>
      </c>
      <c r="AO8" s="3149">
        <f t="shared" si="50"/>
        <v>100</v>
      </c>
      <c r="AP8" s="3149">
        <f t="shared" si="51"/>
        <v>100</v>
      </c>
      <c r="AQ8" s="3149">
        <f t="shared" si="52"/>
        <v>100</v>
      </c>
      <c r="AR8" s="3149">
        <f t="shared" si="53"/>
        <v>100</v>
      </c>
    </row>
    <row r="9" spans="1:44" s="2045" customFormat="1" ht="13.2">
      <c r="A9" s="2040" t="s">
        <v>3406</v>
      </c>
      <c r="B9" s="2031">
        <v>2024</v>
      </c>
      <c r="C9" s="2042">
        <v>4</v>
      </c>
      <c r="D9" s="2007">
        <v>-1.02</v>
      </c>
      <c r="E9" s="2007">
        <v>-0.48</v>
      </c>
      <c r="F9" s="2007">
        <v>-0.75</v>
      </c>
      <c r="G9" s="2007">
        <v>-1.05</v>
      </c>
      <c r="H9" s="2007">
        <v>0.08</v>
      </c>
      <c r="I9" s="2008">
        <f t="shared" ref="I9" si="65">F9</f>
        <v>-0.75</v>
      </c>
      <c r="J9" s="2902"/>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2"/>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2"/>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99.433230585661718</v>
      </c>
      <c r="AN9" s="3149">
        <f t="shared" si="49"/>
        <v>100.57326762546515</v>
      </c>
      <c r="AO9" s="3149">
        <f t="shared" si="50"/>
        <v>100.90817356205852</v>
      </c>
      <c r="AP9" s="3149">
        <f t="shared" si="51"/>
        <v>98.892405063291136</v>
      </c>
      <c r="AQ9" s="3149">
        <f t="shared" si="52"/>
        <v>99.581756622186816</v>
      </c>
      <c r="AR9" s="3149">
        <f t="shared" si="53"/>
        <v>100.90817356205852</v>
      </c>
    </row>
    <row r="10" spans="1:44" s="2045" customFormat="1" ht="13.2">
      <c r="A10" s="2040" t="s">
        <v>3379</v>
      </c>
      <c r="B10" s="2031">
        <v>2024</v>
      </c>
      <c r="C10" s="2042">
        <v>3</v>
      </c>
      <c r="D10" s="2007">
        <v>-1.19</v>
      </c>
      <c r="E10" s="2007">
        <v>-0.47</v>
      </c>
      <c r="F10" s="2007">
        <v>-0.28999999999999998</v>
      </c>
      <c r="G10" s="2007">
        <v>-0.74</v>
      </c>
      <c r="H10" s="2007">
        <v>-0.21</v>
      </c>
      <c r="I10" s="2008">
        <f t="shared" ref="I10" si="76">F10</f>
        <v>-0.28999999999999998</v>
      </c>
      <c r="J10" s="2902"/>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2"/>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2"/>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100.45790117767399</v>
      </c>
      <c r="AN10" s="3149">
        <f t="shared" si="49"/>
        <v>101.05834769439826</v>
      </c>
      <c r="AO10" s="3149">
        <f t="shared" si="50"/>
        <v>101.670703840865</v>
      </c>
      <c r="AP10" s="3149">
        <f t="shared" si="51"/>
        <v>99.941793899233076</v>
      </c>
      <c r="AQ10" s="3149">
        <f t="shared" si="52"/>
        <v>99.502154898268216</v>
      </c>
      <c r="AR10" s="3149">
        <f t="shared" si="53"/>
        <v>101.670703840865</v>
      </c>
    </row>
    <row r="11" spans="1:44" s="2045" customFormat="1" ht="13.2">
      <c r="A11" s="2901" t="s">
        <v>3373</v>
      </c>
      <c r="B11" s="2031">
        <v>2024</v>
      </c>
      <c r="C11" s="2042">
        <v>2</v>
      </c>
      <c r="D11" s="2007">
        <v>-0.59</v>
      </c>
      <c r="E11" s="2007">
        <v>-0.21</v>
      </c>
      <c r="F11" s="2007">
        <v>-1.38</v>
      </c>
      <c r="G11" s="2007">
        <v>-1.24</v>
      </c>
      <c r="H11" s="2913">
        <v>0.34</v>
      </c>
      <c r="I11" s="2008">
        <f t="shared" ref="I11:I24" si="87">F11</f>
        <v>-1.38</v>
      </c>
      <c r="J11" s="2902"/>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2"/>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2"/>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101.66774737139357</v>
      </c>
      <c r="AN11" s="3149">
        <f t="shared" si="49"/>
        <v>101.53556484918946</v>
      </c>
      <c r="AO11" s="3149">
        <f t="shared" si="50"/>
        <v>101.9664064194815</v>
      </c>
      <c r="AP11" s="3149">
        <f t="shared" si="51"/>
        <v>100.68687678746028</v>
      </c>
      <c r="AQ11" s="3149">
        <f t="shared" si="52"/>
        <v>99.711549151486338</v>
      </c>
      <c r="AR11" s="3149">
        <f t="shared" si="53"/>
        <v>101.9664064194815</v>
      </c>
    </row>
    <row r="12" spans="1:44" s="2045" customFormat="1" ht="13.2">
      <c r="A12" s="2901" t="s">
        <v>3372</v>
      </c>
      <c r="B12" s="2031">
        <v>2024</v>
      </c>
      <c r="C12" s="2042">
        <v>1</v>
      </c>
      <c r="D12" s="2007">
        <v>0.08</v>
      </c>
      <c r="E12" s="2007">
        <v>0.46</v>
      </c>
      <c r="F12" s="2007">
        <v>-0.16</v>
      </c>
      <c r="G12" s="2007">
        <v>0.26</v>
      </c>
      <c r="H12" s="2913">
        <v>0.59</v>
      </c>
      <c r="I12" s="2008">
        <f t="shared" si="87"/>
        <v>-0.16</v>
      </c>
      <c r="J12" s="2902"/>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2"/>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2"/>
      <c r="Y12" s="2028"/>
      <c r="Z12" s="2028"/>
      <c r="AA12" s="2028"/>
      <c r="AB12" s="2028"/>
      <c r="AC12" s="2028"/>
      <c r="AD12" s="2028"/>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102.27114713951673</v>
      </c>
      <c r="AN12" s="3149">
        <f t="shared" si="49"/>
        <v>101.74923824951344</v>
      </c>
      <c r="AO12" s="3149">
        <f t="shared" si="50"/>
        <v>103.3932330353696</v>
      </c>
      <c r="AP12" s="3149">
        <f t="shared" si="51"/>
        <v>101.95107005615662</v>
      </c>
      <c r="AQ12" s="3149">
        <f t="shared" si="52"/>
        <v>99.373678644096401</v>
      </c>
      <c r="AR12" s="3149">
        <f t="shared" si="53"/>
        <v>103.3932330353696</v>
      </c>
    </row>
    <row r="13" spans="1:44" s="2045" customFormat="1" ht="13.2">
      <c r="A13" s="2901" t="s">
        <v>3368</v>
      </c>
      <c r="B13" s="2031">
        <v>2023</v>
      </c>
      <c r="C13" s="2042">
        <v>4</v>
      </c>
      <c r="D13" s="2007">
        <v>0.19</v>
      </c>
      <c r="E13" s="2007">
        <v>0.24</v>
      </c>
      <c r="F13" s="2007">
        <v>-0.16</v>
      </c>
      <c r="G13" s="2007">
        <v>0.17</v>
      </c>
      <c r="H13" s="2913">
        <v>0.61</v>
      </c>
      <c r="I13" s="2008">
        <f>F13</f>
        <v>-0.16</v>
      </c>
      <c r="J13" s="2902"/>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2"/>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2"/>
      <c r="Y13" s="2028"/>
      <c r="Z13" s="2028"/>
      <c r="AA13" s="2028"/>
      <c r="AB13" s="2028"/>
      <c r="AC13" s="2028"/>
      <c r="AD13" s="2028"/>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102.18939562301833</v>
      </c>
      <c r="AN13" s="3149">
        <f t="shared" si="49"/>
        <v>101.28333490893236</v>
      </c>
      <c r="AO13" s="3149">
        <f t="shared" si="50"/>
        <v>103.55892731908014</v>
      </c>
      <c r="AP13" s="3149">
        <f t="shared" si="51"/>
        <v>101.68668467599903</v>
      </c>
      <c r="AQ13" s="3149">
        <f t="shared" si="52"/>
        <v>98.79081284829148</v>
      </c>
      <c r="AR13" s="3149">
        <f t="shared" si="53"/>
        <v>103.55892731908014</v>
      </c>
    </row>
    <row r="14" spans="1:44" s="2045" customFormat="1" ht="13.2">
      <c r="A14" s="2901" t="s">
        <v>3367</v>
      </c>
      <c r="B14" s="2031">
        <v>2023</v>
      </c>
      <c r="C14" s="2042">
        <v>3</v>
      </c>
      <c r="D14" s="2007">
        <v>0.25</v>
      </c>
      <c r="E14" s="2007">
        <v>0.5</v>
      </c>
      <c r="F14" s="2007">
        <v>0.31</v>
      </c>
      <c r="G14" s="2007">
        <v>0.21</v>
      </c>
      <c r="H14" s="2913">
        <v>0.43</v>
      </c>
      <c r="I14" s="2008">
        <f t="shared" si="87"/>
        <v>0.31</v>
      </c>
      <c r="J14" s="2902"/>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2"/>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2"/>
      <c r="Y14" s="2028"/>
      <c r="Z14" s="2028"/>
      <c r="AA14" s="2028"/>
      <c r="AB14" s="2028"/>
      <c r="AC14" s="2028"/>
      <c r="AD14" s="2028"/>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101.99560397546495</v>
      </c>
      <c r="AN14" s="3149">
        <f t="shared" si="49"/>
        <v>101.04083690037147</v>
      </c>
      <c r="AO14" s="3149">
        <f t="shared" si="50"/>
        <v>103.72488713850174</v>
      </c>
      <c r="AP14" s="3149">
        <f t="shared" si="51"/>
        <v>101.51411068782971</v>
      </c>
      <c r="AQ14" s="3149">
        <f t="shared" si="52"/>
        <v>98.191842608380355</v>
      </c>
      <c r="AR14" s="3149">
        <f t="shared" si="53"/>
        <v>103.72488713850174</v>
      </c>
    </row>
    <row r="15" spans="1:44" s="2045" customFormat="1" ht="13.2">
      <c r="A15" s="2901" t="s">
        <v>3365</v>
      </c>
      <c r="B15" s="2031">
        <v>2023</v>
      </c>
      <c r="C15" s="2042">
        <v>2</v>
      </c>
      <c r="D15" s="2007">
        <v>0.91</v>
      </c>
      <c r="E15" s="2007">
        <v>0.66</v>
      </c>
      <c r="F15" s="2007">
        <v>0.47</v>
      </c>
      <c r="G15" s="2007">
        <v>0.96</v>
      </c>
      <c r="H15" s="2913">
        <v>0.71</v>
      </c>
      <c r="I15" s="2008">
        <f t="shared" si="87"/>
        <v>0.47</v>
      </c>
      <c r="J15" s="2902"/>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2"/>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2"/>
      <c r="Y15" s="2028"/>
      <c r="Z15" s="2028"/>
      <c r="AA15" s="2028"/>
      <c r="AB15" s="2028"/>
      <c r="AC15" s="2028"/>
      <c r="AD15" s="2028"/>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101.74125084834409</v>
      </c>
      <c r="AN15" s="3149">
        <f t="shared" si="49"/>
        <v>100.53814616952387</v>
      </c>
      <c r="AO15" s="3149">
        <f t="shared" si="50"/>
        <v>103.40433370401927</v>
      </c>
      <c r="AP15" s="3149">
        <f t="shared" si="51"/>
        <v>101.30137779446135</v>
      </c>
      <c r="AQ15" s="3149">
        <f t="shared" si="52"/>
        <v>97.771425478821428</v>
      </c>
      <c r="AR15" s="3149">
        <f t="shared" si="53"/>
        <v>103.40433370401927</v>
      </c>
    </row>
    <row r="16" spans="1:44" s="2045" customFormat="1" ht="13.2">
      <c r="A16" s="2901" t="s">
        <v>3364</v>
      </c>
      <c r="B16" s="2031">
        <v>2023</v>
      </c>
      <c r="C16" s="2042">
        <v>1</v>
      </c>
      <c r="D16" s="2007">
        <v>0.89</v>
      </c>
      <c r="E16" s="2007">
        <v>0.74</v>
      </c>
      <c r="F16" s="2007">
        <v>0.56999999999999995</v>
      </c>
      <c r="G16" s="2007">
        <v>0.92</v>
      </c>
      <c r="H16" s="2913">
        <v>0.5</v>
      </c>
      <c r="I16" s="2008">
        <f t="shared" si="87"/>
        <v>0.56999999999999995</v>
      </c>
      <c r="J16" s="2902"/>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2"/>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2"/>
      <c r="Y16" s="2028"/>
      <c r="Z16" s="2028"/>
      <c r="AA16" s="2028"/>
      <c r="AB16" s="2028"/>
      <c r="AC16" s="2028"/>
      <c r="AD16" s="2028"/>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100.82375468074926</v>
      </c>
      <c r="AN16" s="3149">
        <f t="shared" si="49"/>
        <v>99.878945131654959</v>
      </c>
      <c r="AO16" s="3149">
        <f t="shared" si="50"/>
        <v>102.92060685181573</v>
      </c>
      <c r="AP16" s="3149">
        <f t="shared" si="51"/>
        <v>100.33813172985474</v>
      </c>
      <c r="AQ16" s="3149">
        <f t="shared" si="52"/>
        <v>97.082142268713554</v>
      </c>
      <c r="AR16" s="3149">
        <f t="shared" si="53"/>
        <v>102.92060685181573</v>
      </c>
    </row>
    <row r="17" spans="1:44" s="2045" customFormat="1" ht="13.2">
      <c r="A17" s="2901" t="s">
        <v>3363</v>
      </c>
      <c r="B17" s="2031">
        <v>2022</v>
      </c>
      <c r="C17" s="2042">
        <v>4</v>
      </c>
      <c r="D17" s="2007">
        <v>0.62</v>
      </c>
      <c r="E17" s="2007">
        <v>0.2</v>
      </c>
      <c r="F17" s="2007">
        <v>0.11</v>
      </c>
      <c r="G17" s="2007">
        <v>0.69</v>
      </c>
      <c r="H17" s="2913">
        <v>0.53</v>
      </c>
      <c r="I17" s="2008">
        <f t="shared" si="87"/>
        <v>0.11</v>
      </c>
      <c r="J17" s="2902"/>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2"/>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2"/>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99.934339063087791</v>
      </c>
      <c r="AN17" s="3149">
        <f t="shared" si="49"/>
        <v>99.145270132673176</v>
      </c>
      <c r="AO17" s="3149">
        <f t="shared" si="50"/>
        <v>102.3372843311283</v>
      </c>
      <c r="AP17" s="3149">
        <f t="shared" si="51"/>
        <v>99.423436117573061</v>
      </c>
      <c r="AQ17" s="3149">
        <f t="shared" si="52"/>
        <v>96.599146536033402</v>
      </c>
      <c r="AR17" s="3149">
        <f t="shared" si="53"/>
        <v>102.3372843311283</v>
      </c>
    </row>
    <row r="18" spans="1:44" s="2045" customFormat="1" ht="13.2">
      <c r="A18" s="2901" t="s">
        <v>3361</v>
      </c>
      <c r="B18" s="2031">
        <v>2022</v>
      </c>
      <c r="C18" s="2042">
        <v>3</v>
      </c>
      <c r="D18" s="2007">
        <v>0.66</v>
      </c>
      <c r="E18" s="2007">
        <v>0.32</v>
      </c>
      <c r="F18" s="2007">
        <v>0.23</v>
      </c>
      <c r="G18" s="2007">
        <v>0.72</v>
      </c>
      <c r="H18" s="2913">
        <v>0.63</v>
      </c>
      <c r="I18" s="2008">
        <f t="shared" si="87"/>
        <v>0.23</v>
      </c>
      <c r="J18" s="2902"/>
      <c r="K18" s="2043">
        <f t="shared" si="88"/>
        <v>6.6E-3</v>
      </c>
      <c r="L18" s="2028">
        <f t="shared" si="88"/>
        <v>3.2000000000000002E-3</v>
      </c>
      <c r="M18" s="2028">
        <f t="shared" si="88"/>
        <v>2.3E-3</v>
      </c>
      <c r="N18" s="2028">
        <f t="shared" si="88"/>
        <v>7.1999999999999998E-3</v>
      </c>
      <c r="O18" s="2028">
        <f t="shared" si="88"/>
        <v>6.3E-3</v>
      </c>
      <c r="P18" s="2028">
        <f t="shared" si="108"/>
        <v>2.3E-3</v>
      </c>
      <c r="Q18" s="2902"/>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2"/>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99.318563966495518</v>
      </c>
      <c r="AN18" s="3149">
        <f t="shared" si="49"/>
        <v>98.947375381909353</v>
      </c>
      <c r="AO18" s="3149">
        <f t="shared" si="50"/>
        <v>102.22483701041683</v>
      </c>
      <c r="AP18" s="3149">
        <f t="shared" si="51"/>
        <v>98.742115520481747</v>
      </c>
      <c r="AQ18" s="3149">
        <f t="shared" si="52"/>
        <v>96.089870223847001</v>
      </c>
      <c r="AR18" s="3149">
        <f t="shared" si="53"/>
        <v>102.22483701041683</v>
      </c>
    </row>
    <row r="19" spans="1:44" s="2045" customFormat="1" ht="13.2">
      <c r="A19" s="2901" t="s">
        <v>3352</v>
      </c>
      <c r="B19" s="2031">
        <v>2022</v>
      </c>
      <c r="C19" s="2042">
        <v>2</v>
      </c>
      <c r="D19" s="2007">
        <v>0.93</v>
      </c>
      <c r="E19" s="2007">
        <v>0.15</v>
      </c>
      <c r="F19" s="2007">
        <v>0.01</v>
      </c>
      <c r="G19" s="2007">
        <v>1.05</v>
      </c>
      <c r="H19" s="2913">
        <v>1.08</v>
      </c>
      <c r="I19" s="2008">
        <f t="shared" si="87"/>
        <v>0.01</v>
      </c>
      <c r="J19" s="2902"/>
      <c r="K19" s="2043">
        <f t="shared" si="88"/>
        <v>9.300000000000001E-3</v>
      </c>
      <c r="L19" s="2028">
        <f t="shared" si="88"/>
        <v>1.5E-3</v>
      </c>
      <c r="M19" s="2028">
        <f t="shared" si="88"/>
        <v>1E-4</v>
      </c>
      <c r="N19" s="2028">
        <f t="shared" si="88"/>
        <v>1.0500000000000001E-2</v>
      </c>
      <c r="O19" s="2028">
        <f t="shared" si="88"/>
        <v>1.0800000000000001E-2</v>
      </c>
      <c r="P19" s="2028">
        <f t="shared" si="108"/>
        <v>1E-4</v>
      </c>
      <c r="Q19" s="2902"/>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2"/>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98.667359394491882</v>
      </c>
      <c r="AN19" s="3149">
        <f t="shared" si="49"/>
        <v>98.631753769845844</v>
      </c>
      <c r="AO19" s="3149">
        <f t="shared" si="50"/>
        <v>101.99025941376517</v>
      </c>
      <c r="AP19" s="3149">
        <f t="shared" si="51"/>
        <v>98.036254488166932</v>
      </c>
      <c r="AQ19" s="3149">
        <f t="shared" si="52"/>
        <v>95.488293971824504</v>
      </c>
      <c r="AR19" s="3149">
        <f t="shared" si="53"/>
        <v>101.99025941376517</v>
      </c>
    </row>
    <row r="20" spans="1:44" s="2045" customFormat="1" ht="13.2">
      <c r="A20" s="2901" t="s">
        <v>2818</v>
      </c>
      <c r="B20" s="2031">
        <v>2022</v>
      </c>
      <c r="C20" s="2042">
        <v>1</v>
      </c>
      <c r="D20" s="2007">
        <v>0.89</v>
      </c>
      <c r="E20" s="2007">
        <v>0.44</v>
      </c>
      <c r="F20" s="2007">
        <v>0.37</v>
      </c>
      <c r="G20" s="2007">
        <v>0.96</v>
      </c>
      <c r="H20" s="2913">
        <v>0.64</v>
      </c>
      <c r="I20" s="2008">
        <f t="shared" si="87"/>
        <v>0.37</v>
      </c>
      <c r="J20" s="2902"/>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2"/>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2"/>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97.758208059538163</v>
      </c>
      <c r="AN20" s="3149">
        <f t="shared" si="49"/>
        <v>98.484027728253452</v>
      </c>
      <c r="AO20" s="3149">
        <f t="shared" si="50"/>
        <v>101.98006140762442</v>
      </c>
      <c r="AP20" s="3149">
        <f t="shared" si="51"/>
        <v>97.017570003134026</v>
      </c>
      <c r="AQ20" s="3149">
        <f t="shared" si="52"/>
        <v>94.468039149015155</v>
      </c>
      <c r="AR20" s="3149">
        <f t="shared" si="53"/>
        <v>101.98006140762442</v>
      </c>
    </row>
    <row r="21" spans="1:44" s="2045" customFormat="1" ht="13.2">
      <c r="A21" s="2901" t="s">
        <v>2819</v>
      </c>
      <c r="B21" s="2031">
        <v>2021</v>
      </c>
      <c r="C21" s="2042">
        <v>4</v>
      </c>
      <c r="D21" s="2007">
        <v>1.03</v>
      </c>
      <c r="E21" s="2007">
        <v>0.24</v>
      </c>
      <c r="F21" s="2007">
        <v>7.0000000000000007E-2</v>
      </c>
      <c r="G21" s="2007">
        <v>1.17</v>
      </c>
      <c r="H21" s="2913">
        <v>0.55000000000000004</v>
      </c>
      <c r="I21" s="2008">
        <f t="shared" si="87"/>
        <v>7.0000000000000007E-2</v>
      </c>
      <c r="J21" s="2902"/>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2"/>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2"/>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96.895835126908679</v>
      </c>
      <c r="AN21" s="3149">
        <f t="shared" si="49"/>
        <v>98.0525963045136</v>
      </c>
      <c r="AO21" s="3149">
        <f t="shared" si="50"/>
        <v>101.60412614090308</v>
      </c>
      <c r="AP21" s="3149">
        <f t="shared" si="51"/>
        <v>96.095057451598677</v>
      </c>
      <c r="AQ21" s="3149">
        <f t="shared" si="52"/>
        <v>93.867288502598527</v>
      </c>
      <c r="AR21" s="3149">
        <f t="shared" si="53"/>
        <v>101.60412614090308</v>
      </c>
    </row>
    <row r="22" spans="1:44" s="2045" customFormat="1" ht="13.2">
      <c r="A22" s="2901" t="s">
        <v>2820</v>
      </c>
      <c r="B22" s="2031">
        <v>2021</v>
      </c>
      <c r="C22" s="2042">
        <v>3</v>
      </c>
      <c r="D22" s="2007">
        <v>0.47</v>
      </c>
      <c r="E22" s="2007">
        <v>0.41</v>
      </c>
      <c r="F22" s="2007">
        <v>0.24</v>
      </c>
      <c r="G22" s="2007">
        <v>0.48</v>
      </c>
      <c r="H22" s="2913">
        <v>0.48</v>
      </c>
      <c r="I22" s="2008">
        <f t="shared" si="87"/>
        <v>0.24</v>
      </c>
      <c r="J22" s="2902"/>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2"/>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2"/>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95.907982903007706</v>
      </c>
      <c r="AN22" s="3149">
        <f t="shared" si="49"/>
        <v>97.81783350410376</v>
      </c>
      <c r="AO22" s="3149">
        <f t="shared" si="50"/>
        <v>101.53305300380042</v>
      </c>
      <c r="AP22" s="3149">
        <f t="shared" si="51"/>
        <v>94.983747604624568</v>
      </c>
      <c r="AQ22" s="3149">
        <f t="shared" si="52"/>
        <v>93.353842369565911</v>
      </c>
      <c r="AR22" s="3149">
        <f t="shared" si="53"/>
        <v>101.53305300380042</v>
      </c>
    </row>
    <row r="23" spans="1:44" s="2045" customFormat="1" ht="13.2">
      <c r="A23" s="2901" t="s">
        <v>2821</v>
      </c>
      <c r="B23" s="2031">
        <v>2021</v>
      </c>
      <c r="C23" s="2042">
        <v>2</v>
      </c>
      <c r="D23" s="2007">
        <v>0.92</v>
      </c>
      <c r="E23" s="2007">
        <v>0.72</v>
      </c>
      <c r="F23" s="2007">
        <v>0.41</v>
      </c>
      <c r="G23" s="2007">
        <v>0.95</v>
      </c>
      <c r="H23" s="2913">
        <v>1.01</v>
      </c>
      <c r="I23" s="2008">
        <f t="shared" si="87"/>
        <v>0.41</v>
      </c>
      <c r="J23" s="2902"/>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2"/>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2"/>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95.459324079832498</v>
      </c>
      <c r="AN23" s="3149">
        <f t="shared" si="49"/>
        <v>97.418417990343357</v>
      </c>
      <c r="AO23" s="3149">
        <f t="shared" si="50"/>
        <v>101.28995710674424</v>
      </c>
      <c r="AP23" s="3149">
        <f t="shared" si="51"/>
        <v>94.530003587405034</v>
      </c>
      <c r="AQ23" s="3149">
        <f t="shared" si="52"/>
        <v>92.907884523851436</v>
      </c>
      <c r="AR23" s="3149">
        <f t="shared" si="53"/>
        <v>101.28995710674424</v>
      </c>
    </row>
    <row r="24" spans="1:44" s="2924" customFormat="1" ht="15" thickBot="1">
      <c r="A24" s="2914" t="s">
        <v>2822</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94.589104320087685</v>
      </c>
      <c r="AN24" s="3156">
        <f t="shared" si="49"/>
        <v>96.722019450301175</v>
      </c>
      <c r="AO24" s="3156">
        <f t="shared" si="50"/>
        <v>100.87636401428567</v>
      </c>
      <c r="AP24" s="3156">
        <f t="shared" si="51"/>
        <v>93.640419601193685</v>
      </c>
      <c r="AQ24" s="3156">
        <f t="shared" si="52"/>
        <v>91.978897657510586</v>
      </c>
      <c r="AR24" s="3156">
        <f t="shared" si="53"/>
        <v>100.87636401428567</v>
      </c>
    </row>
    <row r="25" spans="1:44" ht="15" thickTop="1"/>
    <row r="26" spans="1:44">
      <c r="A26" s="3139" t="s">
        <v>3378</v>
      </c>
    </row>
    <row r="27" spans="1:44">
      <c r="I27" s="1405" t="s">
        <v>2823</v>
      </c>
    </row>
    <row r="29" spans="1:44" s="2009" customFormat="1" ht="13.2">
      <c r="B29" s="2925" t="s">
        <v>3376</v>
      </c>
      <c r="C29" s="2926"/>
      <c r="D29" s="2926"/>
      <c r="E29" s="2926"/>
      <c r="F29" s="2926"/>
      <c r="G29" s="2926"/>
      <c r="H29" s="2926"/>
      <c r="I29" s="2926"/>
      <c r="J29" s="2892"/>
      <c r="K29" s="2926" t="s">
        <v>2824</v>
      </c>
      <c r="L29" s="2926"/>
      <c r="M29" s="2926"/>
      <c r="N29" s="2926"/>
      <c r="O29" s="2926"/>
      <c r="P29" s="2926"/>
      <c r="Q29" s="2892"/>
      <c r="R29" s="3510" t="s">
        <v>2825</v>
      </c>
      <c r="S29" s="3511"/>
      <c r="T29" s="3511"/>
      <c r="U29" s="3511"/>
      <c r="V29" s="3511"/>
      <c r="W29" s="3511"/>
      <c r="X29" s="2892"/>
      <c r="Y29" s="3510" t="s">
        <v>2826</v>
      </c>
      <c r="Z29" s="3511"/>
      <c r="AA29" s="3511"/>
      <c r="AB29" s="3511"/>
      <c r="AC29" s="3511"/>
      <c r="AD29" s="3511"/>
    </row>
    <row r="30" spans="1:44" s="2010" customFormat="1" ht="15" thickBot="1">
      <c r="B30" s="2877"/>
      <c r="C30" s="2878"/>
      <c r="D30" s="2011" t="s">
        <v>2827</v>
      </c>
      <c r="E30" s="2012" t="s">
        <v>2828</v>
      </c>
      <c r="F30" s="2012" t="s">
        <v>2829</v>
      </c>
      <c r="G30" s="2012" t="s">
        <v>2830</v>
      </c>
      <c r="H30" s="2012"/>
      <c r="I30" s="2012" t="s">
        <v>2831</v>
      </c>
      <c r="J30" s="2879"/>
      <c r="K30" s="2011" t="s">
        <v>2827</v>
      </c>
      <c r="L30" s="2012" t="s">
        <v>2828</v>
      </c>
      <c r="M30" s="2012" t="s">
        <v>2829</v>
      </c>
      <c r="N30" s="2012" t="s">
        <v>2830</v>
      </c>
      <c r="O30" s="2012"/>
      <c r="P30" s="2012" t="s">
        <v>2831</v>
      </c>
      <c r="Q30" s="2879"/>
      <c r="R30" s="2011" t="s">
        <v>2827</v>
      </c>
      <c r="S30" s="2012" t="s">
        <v>2828</v>
      </c>
      <c r="T30" s="2012" t="s">
        <v>2829</v>
      </c>
      <c r="U30" s="2012" t="s">
        <v>2830</v>
      </c>
      <c r="V30" s="2012"/>
      <c r="W30" s="2012" t="s">
        <v>2831</v>
      </c>
      <c r="X30" s="2879"/>
      <c r="Y30" s="2011" t="s">
        <v>2827</v>
      </c>
      <c r="Z30" s="2012" t="s">
        <v>2828</v>
      </c>
      <c r="AA30" s="2012" t="s">
        <v>2829</v>
      </c>
      <c r="AB30" s="2012" t="s">
        <v>2830</v>
      </c>
      <c r="AC30" s="2012"/>
      <c r="AD30" s="2012" t="s">
        <v>2831</v>
      </c>
      <c r="AG30" t="s">
        <v>673</v>
      </c>
      <c r="AH30" t="s">
        <v>21</v>
      </c>
      <c r="AI30" t="s">
        <v>3403</v>
      </c>
      <c r="AJ30"/>
      <c r="AK30" t="s">
        <v>3404</v>
      </c>
      <c r="AN30" t="s">
        <v>673</v>
      </c>
      <c r="AO30" t="s">
        <v>21</v>
      </c>
      <c r="AP30" t="s">
        <v>3403</v>
      </c>
      <c r="AQ30"/>
      <c r="AR30" t="s">
        <v>3404</v>
      </c>
    </row>
    <row r="31" spans="1:44" s="2882" customFormat="1" ht="13.2">
      <c r="A31" s="2880" t="s">
        <v>2832</v>
      </c>
      <c r="B31" s="2881"/>
      <c r="E31" s="2882">
        <f t="shared" ref="E31:G31" si="115">ROUND(AVERAGEIF(E32:E52,"&lt;&gt;0"),2)</f>
        <v>0.11</v>
      </c>
      <c r="F31" s="2882">
        <f t="shared" si="115"/>
        <v>7.0000000000000007E-2</v>
      </c>
      <c r="G31" s="2882">
        <f t="shared" si="115"/>
        <v>0.26</v>
      </c>
      <c r="I31" s="2882">
        <f>F31</f>
        <v>7.0000000000000007E-2</v>
      </c>
      <c r="J31" s="2883"/>
      <c r="K31" s="2884"/>
      <c r="L31" s="2885">
        <f t="shared" ref="L31:N31" si="116">ROUND(AVERAGEIF(L32:L52,"&lt;&gt;0"),4)</f>
        <v>1.1000000000000001E-3</v>
      </c>
      <c r="M31" s="2885">
        <f t="shared" si="116"/>
        <v>6.9999999999999999E-4</v>
      </c>
      <c r="N31" s="2885">
        <f t="shared" si="116"/>
        <v>2.5999999999999999E-3</v>
      </c>
      <c r="O31" s="2885"/>
      <c r="P31" s="2885">
        <f>M31</f>
        <v>6.9999999999999999E-4</v>
      </c>
      <c r="Q31" s="2883"/>
      <c r="R31" s="2886"/>
      <c r="S31" s="2887">
        <f>ROUND(SUMPRODUCT(PRODUCT(1+L32:L52)),4)</f>
        <v>1.0185</v>
      </c>
      <c r="T31" s="2887">
        <f t="shared" ref="T31:U31" si="117">ROUND(SUMPRODUCT(PRODUCT(1+M32:M52)),4)</f>
        <v>1.012</v>
      </c>
      <c r="U31" s="2887">
        <f t="shared" si="117"/>
        <v>1.0436000000000001</v>
      </c>
      <c r="V31" s="2887"/>
      <c r="W31" s="2886">
        <f>T31</f>
        <v>1.012</v>
      </c>
      <c r="X31" s="2883"/>
      <c r="Y31" s="2888"/>
      <c r="Z31" s="2889">
        <f t="shared" ref="Z31:AB31" si="118">ROUND(AVERAGEIF(Z32:Z52,"&lt;&gt;0"),4)</f>
        <v>3.5999999999999999E-3</v>
      </c>
      <c r="AA31" s="2890">
        <f t="shared" si="118"/>
        <v>3.0000000000000001E-3</v>
      </c>
      <c r="AB31" s="2888">
        <f t="shared" si="118"/>
        <v>7.0000000000000001E-3</v>
      </c>
      <c r="AC31" s="2891"/>
      <c r="AD31" s="2888">
        <f>AA31</f>
        <v>3.0000000000000001E-3</v>
      </c>
    </row>
    <row r="32" spans="1:44" s="2009" customFormat="1" ht="13.2">
      <c r="B32" s="2025"/>
      <c r="J32" s="2892"/>
      <c r="K32" s="2893"/>
      <c r="L32" s="2894"/>
      <c r="M32" s="2894"/>
      <c r="N32" s="2894"/>
      <c r="O32" s="2894"/>
      <c r="P32" s="2894"/>
      <c r="Q32" s="2892"/>
      <c r="R32" s="2027"/>
      <c r="S32" s="2895"/>
      <c r="T32" s="2896"/>
      <c r="U32" s="2027"/>
      <c r="V32" s="2897"/>
      <c r="W32" s="2027"/>
      <c r="X32" s="2892"/>
      <c r="Y32" s="2028"/>
      <c r="Z32" s="2898"/>
      <c r="AA32" s="2899"/>
      <c r="AB32" s="2028"/>
      <c r="AC32" s="2900"/>
      <c r="AD32" s="2028"/>
    </row>
    <row r="33" spans="1:44" s="2045" customFormat="1">
      <c r="A33" s="2040" t="s">
        <v>3401</v>
      </c>
      <c r="B33" s="2031">
        <v>2025</v>
      </c>
      <c r="C33" s="2042">
        <v>4</v>
      </c>
      <c r="D33" s="2007"/>
      <c r="E33" s="2007">
        <v>0</v>
      </c>
      <c r="F33" s="2007">
        <v>0</v>
      </c>
      <c r="G33" s="2007">
        <v>0</v>
      </c>
      <c r="H33" s="2007"/>
      <c r="I33" s="2008">
        <f t="shared" ref="I33" si="119">F33</f>
        <v>0</v>
      </c>
      <c r="J33" s="2902"/>
      <c r="K33" s="2043"/>
      <c r="L33" s="2028">
        <f t="shared" ref="L33" si="120">E33/100</f>
        <v>0</v>
      </c>
      <c r="M33" s="2028">
        <f t="shared" ref="M33" si="121">F33/100</f>
        <v>0</v>
      </c>
      <c r="N33" s="2028">
        <f t="shared" ref="N33" si="122">G33/100</f>
        <v>0</v>
      </c>
      <c r="O33" s="2028"/>
      <c r="P33" s="2028">
        <f t="shared" ref="P33:P39" si="123">M33</f>
        <v>0</v>
      </c>
      <c r="Q33" s="2902"/>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2"/>
      <c r="Y33" s="2028"/>
      <c r="Z33" s="2898">
        <f t="shared" ref="Z33" si="125">IF(E33=0,0,ROUND(AVERAGE(E33:E46)/100,4))</f>
        <v>0</v>
      </c>
      <c r="AA33" s="2898">
        <f t="shared" ref="AA33" si="126">IF(F33=0,0,ROUND(AVERAGE(F33:F46)/100,4))</f>
        <v>0</v>
      </c>
      <c r="AB33" s="2898">
        <f t="shared" ref="AB33" si="127">IF(G33=0,0,ROUND(AVERAGE(G33:G46)/100,4))</f>
        <v>0</v>
      </c>
      <c r="AC33" s="2900"/>
      <c r="AD33" s="2028">
        <f t="shared" ref="AD33:AD39" si="128">IF(I33=0,0,ROUND(AVERAGE(I33:I46)/100,4))</f>
        <v>0</v>
      </c>
      <c r="AG33" s="3149">
        <f t="shared" ref="AG33:AG50" si="129">$AG$52*S33</f>
        <v>101.49</v>
      </c>
      <c r="AH33" s="3149">
        <f t="shared" ref="AH33:AH50" si="130">$AG$52*T33</f>
        <v>100.72000000000001</v>
      </c>
      <c r="AI33" s="3149">
        <f t="shared" ref="AI33:AI50" si="131">$AG$52*U33</f>
        <v>103.35000000000001</v>
      </c>
      <c r="AJ33" s="3151"/>
      <c r="AK33" s="3149">
        <f t="shared" ref="AK33:AK50" si="132">$AG$52*W33</f>
        <v>100.72000000000001</v>
      </c>
      <c r="AN33" s="3154">
        <v>100</v>
      </c>
      <c r="AO33" s="3154">
        <v>100</v>
      </c>
      <c r="AP33" s="3154">
        <v>100</v>
      </c>
      <c r="AQ33" s="3154"/>
      <c r="AR33" s="3154">
        <v>100</v>
      </c>
    </row>
    <row r="34" spans="1:44" s="2045" customFormat="1" ht="13.2">
      <c r="A34" s="2040" t="s">
        <v>3400</v>
      </c>
      <c r="B34" s="2031">
        <v>2025</v>
      </c>
      <c r="C34" s="2042">
        <v>3</v>
      </c>
      <c r="D34" s="2007"/>
      <c r="E34" s="2007">
        <v>0</v>
      </c>
      <c r="F34" s="2007">
        <v>0</v>
      </c>
      <c r="G34" s="2007">
        <v>0</v>
      </c>
      <c r="H34" s="2007"/>
      <c r="I34" s="2008">
        <f t="shared" ref="I34" si="133">F34</f>
        <v>0</v>
      </c>
      <c r="J34" s="2902"/>
      <c r="K34" s="2043"/>
      <c r="L34" s="2028">
        <f t="shared" ref="L34" si="134">E34/100</f>
        <v>0</v>
      </c>
      <c r="M34" s="2028">
        <f t="shared" ref="M34" si="135">F34/100</f>
        <v>0</v>
      </c>
      <c r="N34" s="2028">
        <f t="shared" ref="N34" si="136">G34/100</f>
        <v>0</v>
      </c>
      <c r="O34" s="2028"/>
      <c r="P34" s="2028">
        <f t="shared" si="123"/>
        <v>0</v>
      </c>
      <c r="Q34" s="2902"/>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2"/>
      <c r="Y34" s="2028"/>
      <c r="Z34" s="2898">
        <f t="shared" ref="Z34" si="137">IF(E34=0,0,ROUND(AVERAGE(E34:E47)/100,4))</f>
        <v>0</v>
      </c>
      <c r="AA34" s="2898">
        <f t="shared" ref="AA34" si="138">IF(F34=0,0,ROUND(AVERAGE(F34:F47)/100,4))</f>
        <v>0</v>
      </c>
      <c r="AB34" s="2898">
        <f t="shared" ref="AB34" si="139">IF(G34=0,0,ROUND(AVERAGE(G34:G47)/100,4))</f>
        <v>0</v>
      </c>
      <c r="AC34" s="2900"/>
      <c r="AD34" s="2028">
        <f t="shared" si="128"/>
        <v>0</v>
      </c>
      <c r="AG34" s="3149">
        <f t="shared" si="129"/>
        <v>101.49</v>
      </c>
      <c r="AH34" s="3149">
        <f t="shared" si="130"/>
        <v>100.72000000000001</v>
      </c>
      <c r="AI34" s="3149">
        <f t="shared" si="131"/>
        <v>103.35000000000001</v>
      </c>
      <c r="AJ34" s="3151"/>
      <c r="AK34" s="3149">
        <f t="shared" si="132"/>
        <v>100.72000000000001</v>
      </c>
      <c r="AN34" s="3149">
        <f>AN33/(1+E33/100)</f>
        <v>100</v>
      </c>
      <c r="AO34" s="3149">
        <f t="shared" ref="AO34:AR34" si="140">AO33/(1+F33/100)</f>
        <v>100</v>
      </c>
      <c r="AP34" s="3149">
        <f t="shared" si="140"/>
        <v>100</v>
      </c>
      <c r="AQ34" s="3149"/>
      <c r="AR34" s="3149">
        <f t="shared" si="140"/>
        <v>100</v>
      </c>
    </row>
    <row r="35" spans="1:44" s="2912" customFormat="1" ht="13.2">
      <c r="A35" s="2903" t="s">
        <v>3408</v>
      </c>
      <c r="B35" s="2904">
        <v>2025</v>
      </c>
      <c r="C35" s="2905">
        <v>2</v>
      </c>
      <c r="D35" s="2906"/>
      <c r="E35" s="2906">
        <v>0</v>
      </c>
      <c r="F35" s="2906">
        <v>0</v>
      </c>
      <c r="G35" s="2906">
        <v>0</v>
      </c>
      <c r="H35" s="2907"/>
      <c r="I35" s="2908">
        <f t="shared" ref="I35" si="141">F35</f>
        <v>0</v>
      </c>
      <c r="J35" s="2909"/>
      <c r="K35" s="2910"/>
      <c r="L35" s="2911">
        <f t="shared" ref="L35" si="142">E35/100</f>
        <v>0</v>
      </c>
      <c r="M35" s="2911">
        <f t="shared" ref="M35" si="143">F35/100</f>
        <v>0</v>
      </c>
      <c r="N35" s="2911">
        <f t="shared" ref="N35" si="144">G35/100</f>
        <v>0</v>
      </c>
      <c r="O35" s="2911"/>
      <c r="P35" s="2911">
        <f t="shared" si="123"/>
        <v>0</v>
      </c>
      <c r="Q35" s="2909"/>
      <c r="R35" s="2909"/>
      <c r="S35" s="2909">
        <f>ROUND(IF(项目基本情况!$B$8="出让",SUMPRODUCT(PRODUCT(1+L35:L$52)),SUMPRODUCT(PRODUCT(1+L35:L$51))),4)</f>
        <v>1.0148999999999999</v>
      </c>
      <c r="T35" s="2909">
        <f>ROUND(IF(项目基本情况!$B$8="出让",SUMPRODUCT(PRODUCT(1+M35:M$52)),SUMPRODUCT(PRODUCT(1+M35:M$51))),4)</f>
        <v>1.0072000000000001</v>
      </c>
      <c r="U35" s="2909">
        <f>ROUND(IF(项目基本情况!$B$8="出让",SUMPRODUCT(PRODUCT(1+N35:N$52)),SUMPRODUCT(PRODUCT(1+N35:N$51))),4)</f>
        <v>1.0335000000000001</v>
      </c>
      <c r="V35" s="2909"/>
      <c r="W35" s="2909">
        <f t="shared" si="124"/>
        <v>1.0072000000000001</v>
      </c>
      <c r="X35" s="2909"/>
      <c r="Y35" s="2911"/>
      <c r="Z35" s="2927">
        <f t="shared" ref="Z35" si="145">IF(E35=0,0,ROUND(AVERAGE(E35:E48)/100,4))</f>
        <v>0</v>
      </c>
      <c r="AA35" s="2928">
        <f t="shared" ref="AA35" si="146">IF(F35=0,0,ROUND(AVERAGE(F35:F48)/100,4))</f>
        <v>0</v>
      </c>
      <c r="AB35" s="2911">
        <f t="shared" ref="AB35" si="147">IF(G35=0,0,ROUND(AVERAGE(G35:G48)/100,4))</f>
        <v>0</v>
      </c>
      <c r="AC35" s="2929"/>
      <c r="AD35" s="2911">
        <f t="shared" si="128"/>
        <v>0</v>
      </c>
      <c r="AG35" s="3150">
        <f t="shared" si="129"/>
        <v>101.49</v>
      </c>
      <c r="AH35" s="3150">
        <f t="shared" si="130"/>
        <v>100.72000000000001</v>
      </c>
      <c r="AI35" s="3150">
        <f t="shared" si="131"/>
        <v>103.35000000000001</v>
      </c>
      <c r="AJ35" s="3152"/>
      <c r="AK35" s="3150">
        <f t="shared" si="132"/>
        <v>100.72000000000001</v>
      </c>
      <c r="AN35" s="3150">
        <f t="shared" ref="AN35:AN52" si="148">AN34/(1+E34/100)</f>
        <v>100</v>
      </c>
      <c r="AO35" s="3150">
        <f t="shared" ref="AO35" si="149">AO34/(1+F34/100)</f>
        <v>100</v>
      </c>
      <c r="AP35" s="3150">
        <f t="shared" ref="AP35" si="150">AP34/(1+G34/100)</f>
        <v>100</v>
      </c>
      <c r="AQ35" s="3150"/>
      <c r="AR35" s="3150">
        <f t="shared" ref="AR35" si="151">AR34/(1+I34/100)</f>
        <v>100</v>
      </c>
    </row>
    <row r="36" spans="1:44" s="2045" customFormat="1" ht="13.2">
      <c r="A36" s="2040" t="s">
        <v>3405</v>
      </c>
      <c r="B36" s="2031">
        <v>2025</v>
      </c>
      <c r="C36" s="2042">
        <v>1</v>
      </c>
      <c r="D36" s="2007"/>
      <c r="E36" s="2007">
        <v>-1.47</v>
      </c>
      <c r="F36" s="2007">
        <v>-0.98</v>
      </c>
      <c r="G36" s="2007">
        <v>-0.51</v>
      </c>
      <c r="H36" s="2007"/>
      <c r="I36" s="2008">
        <f t="shared" ref="I36" si="152">F36</f>
        <v>-0.98</v>
      </c>
      <c r="J36" s="2902"/>
      <c r="K36" s="2043"/>
      <c r="L36" s="2028">
        <f t="shared" ref="L36" si="153">E36/100</f>
        <v>-1.47E-2</v>
      </c>
      <c r="M36" s="2028">
        <f t="shared" ref="M36" si="154">F36/100</f>
        <v>-9.7999999999999997E-3</v>
      </c>
      <c r="N36" s="2028">
        <f t="shared" ref="N36" si="155">G36/100</f>
        <v>-5.1000000000000004E-3</v>
      </c>
      <c r="O36" s="2028"/>
      <c r="P36" s="2028">
        <f t="shared" si="123"/>
        <v>-9.7999999999999997E-3</v>
      </c>
      <c r="Q36" s="2902"/>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2"/>
      <c r="Y36" s="2028"/>
      <c r="Z36" s="2898">
        <f t="shared" ref="Z36" si="156">IF(E36=0,0,ROUND(AVERAGE(E36:E49)/100,4))</f>
        <v>4.0000000000000002E-4</v>
      </c>
      <c r="AA36" s="2898">
        <f t="shared" ref="AA36" si="157">IF(F36=0,0,ROUND(AVERAGE(F36:F49)/100,4))</f>
        <v>0</v>
      </c>
      <c r="AB36" s="2898">
        <f t="shared" ref="AB36" si="158">IF(G36=0,0,ROUND(AVERAGE(G36:G49)/100,4))</f>
        <v>1E-3</v>
      </c>
      <c r="AC36" s="2900"/>
      <c r="AD36" s="2028">
        <f t="shared" si="128"/>
        <v>0</v>
      </c>
      <c r="AG36" s="3149">
        <f t="shared" si="129"/>
        <v>101.49</v>
      </c>
      <c r="AH36" s="3149">
        <f t="shared" si="130"/>
        <v>100.72000000000001</v>
      </c>
      <c r="AI36" s="3149">
        <f t="shared" si="131"/>
        <v>103.35000000000001</v>
      </c>
      <c r="AJ36" s="3151"/>
      <c r="AK36" s="3149">
        <f t="shared" si="132"/>
        <v>100.72000000000001</v>
      </c>
      <c r="AN36" s="3149">
        <f t="shared" si="148"/>
        <v>100</v>
      </c>
      <c r="AO36" s="3149">
        <f t="shared" ref="AO36:AO52" si="159">AO35/(1+F35/100)</f>
        <v>100</v>
      </c>
      <c r="AP36" s="3149">
        <f t="shared" ref="AP36:AP52" si="160">AP35/(1+G35/100)</f>
        <v>100</v>
      </c>
      <c r="AQ36" s="3149"/>
      <c r="AR36" s="3149">
        <f t="shared" ref="AR36:AR52" si="161">AR35/(1+I35/100)</f>
        <v>100</v>
      </c>
    </row>
    <row r="37" spans="1:44" s="2045" customFormat="1" ht="13.2">
      <c r="A37" s="2040" t="s">
        <v>3406</v>
      </c>
      <c r="B37" s="2031">
        <v>2024</v>
      </c>
      <c r="C37" s="2042">
        <v>4</v>
      </c>
      <c r="D37" s="2007"/>
      <c r="E37" s="2007">
        <v>-0.61</v>
      </c>
      <c r="F37" s="2007">
        <v>-0.71</v>
      </c>
      <c r="G37" s="2007">
        <v>-0.88</v>
      </c>
      <c r="H37" s="2007"/>
      <c r="I37" s="2008">
        <f t="shared" ref="I37" si="162">F37</f>
        <v>-0.71</v>
      </c>
      <c r="J37" s="2902"/>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2"/>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2"/>
      <c r="Y37" s="2028"/>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8">
        <f t="shared" si="128"/>
        <v>8.9999999999999998E-4</v>
      </c>
      <c r="AG37" s="3149">
        <f t="shared" si="129"/>
        <v>103.01</v>
      </c>
      <c r="AH37" s="3149">
        <f t="shared" si="130"/>
        <v>101.71</v>
      </c>
      <c r="AI37" s="3149">
        <f t="shared" si="131"/>
        <v>103.88</v>
      </c>
      <c r="AJ37" s="3151"/>
      <c r="AK37" s="3149">
        <f t="shared" si="132"/>
        <v>101.71</v>
      </c>
      <c r="AN37" s="3149">
        <f t="shared" si="148"/>
        <v>101.49193139145439</v>
      </c>
      <c r="AO37" s="3149">
        <f t="shared" si="159"/>
        <v>100.98969905069683</v>
      </c>
      <c r="AP37" s="3149">
        <f t="shared" si="160"/>
        <v>100.51261433309881</v>
      </c>
      <c r="AQ37" s="3149"/>
      <c r="AR37" s="3149">
        <f t="shared" si="161"/>
        <v>100.98969905069683</v>
      </c>
    </row>
    <row r="38" spans="1:44" s="2045" customFormat="1" ht="13.2">
      <c r="A38" s="2040" t="s">
        <v>3370</v>
      </c>
      <c r="B38" s="2031">
        <v>2024</v>
      </c>
      <c r="C38" s="2042">
        <v>3</v>
      </c>
      <c r="D38" s="2007"/>
      <c r="E38" s="2007">
        <v>-0.66</v>
      </c>
      <c r="F38" s="2007">
        <v>-0.52</v>
      </c>
      <c r="G38" s="2007">
        <v>-2.87</v>
      </c>
      <c r="H38" s="2007"/>
      <c r="I38" s="2008">
        <f t="shared" ref="I38" si="169">F38</f>
        <v>-0.52</v>
      </c>
      <c r="J38" s="2902"/>
      <c r="K38" s="2043"/>
      <c r="L38" s="2028">
        <f t="shared" ref="L38" si="170">E38/100</f>
        <v>-6.6E-3</v>
      </c>
      <c r="M38" s="2028">
        <f t="shared" ref="M38" si="171">F38/100</f>
        <v>-5.1999999999999998E-3</v>
      </c>
      <c r="N38" s="2028">
        <f t="shared" ref="N38" si="172">G38/100</f>
        <v>-2.87E-2</v>
      </c>
      <c r="O38" s="2028"/>
      <c r="P38" s="2028">
        <f t="shared" si="123"/>
        <v>-5.1999999999999998E-3</v>
      </c>
      <c r="Q38" s="2902"/>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2"/>
      <c r="Y38" s="2028"/>
      <c r="Z38" s="2898">
        <f t="shared" ref="Z38:AB39" si="173">IF(E38=0,0,ROUND(AVERAGE(E38:E51)/100,4))</f>
        <v>2.5999999999999999E-3</v>
      </c>
      <c r="AA38" s="2898">
        <f t="shared" si="173"/>
        <v>1.6999999999999999E-3</v>
      </c>
      <c r="AB38" s="2898">
        <f t="shared" si="173"/>
        <v>3.3999999999999998E-3</v>
      </c>
      <c r="AC38" s="2900"/>
      <c r="AD38" s="2028">
        <f t="shared" si="128"/>
        <v>1.6999999999999999E-3</v>
      </c>
      <c r="AG38" s="3149">
        <f t="shared" si="129"/>
        <v>103.64</v>
      </c>
      <c r="AH38" s="3149">
        <f t="shared" si="130"/>
        <v>102.44</v>
      </c>
      <c r="AI38" s="3149">
        <f t="shared" si="131"/>
        <v>104.80000000000001</v>
      </c>
      <c r="AJ38" s="3151"/>
      <c r="AK38" s="3149">
        <f t="shared" si="132"/>
        <v>102.44</v>
      </c>
      <c r="AN38" s="3149">
        <f t="shared" si="148"/>
        <v>102.11483186583598</v>
      </c>
      <c r="AO38" s="3149">
        <f t="shared" si="159"/>
        <v>101.71185320847701</v>
      </c>
      <c r="AP38" s="3149">
        <f t="shared" si="160"/>
        <v>101.4049781407373</v>
      </c>
      <c r="AQ38" s="3149"/>
      <c r="AR38" s="3149">
        <f t="shared" si="161"/>
        <v>101.71185320847701</v>
      </c>
    </row>
    <row r="39" spans="1:44" s="2045" customFormat="1" ht="13.2">
      <c r="A39" s="2901" t="s">
        <v>3374</v>
      </c>
      <c r="B39" s="2031">
        <v>2024</v>
      </c>
      <c r="C39" s="2042">
        <v>2</v>
      </c>
      <c r="D39" s="2007"/>
      <c r="E39" s="2007">
        <v>-0.31</v>
      </c>
      <c r="F39" s="2007">
        <v>-0.39</v>
      </c>
      <c r="G39" s="2007">
        <v>1.23</v>
      </c>
      <c r="H39" s="2913"/>
      <c r="I39" s="2008">
        <f t="shared" ref="I39:I52" si="174">F39</f>
        <v>-0.39</v>
      </c>
      <c r="J39" s="2902"/>
      <c r="K39" s="2043"/>
      <c r="L39" s="2028">
        <f t="shared" ref="L39:N52" si="175">E39/100</f>
        <v>-3.0999999999999999E-3</v>
      </c>
      <c r="M39" s="2028">
        <f t="shared" si="175"/>
        <v>-3.9000000000000003E-3</v>
      </c>
      <c r="N39" s="2028">
        <f t="shared" si="175"/>
        <v>1.23E-2</v>
      </c>
      <c r="O39" s="2028"/>
      <c r="P39" s="2028">
        <f t="shared" si="123"/>
        <v>-3.9000000000000003E-3</v>
      </c>
      <c r="Q39" s="2902"/>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2"/>
      <c r="Y39" s="2028"/>
      <c r="Z39" s="2898">
        <f t="shared" si="173"/>
        <v>3.3E-3</v>
      </c>
      <c r="AA39" s="2899">
        <f t="shared" si="173"/>
        <v>2.3999999999999998E-3</v>
      </c>
      <c r="AB39" s="2028">
        <f t="shared" si="173"/>
        <v>6.1999999999999998E-3</v>
      </c>
      <c r="AC39" s="2900"/>
      <c r="AD39" s="2028">
        <f t="shared" si="128"/>
        <v>2.3999999999999998E-3</v>
      </c>
      <c r="AG39" s="3149">
        <f t="shared" si="129"/>
        <v>104.32999999999998</v>
      </c>
      <c r="AH39" s="3149">
        <f t="shared" si="130"/>
        <v>102.98</v>
      </c>
      <c r="AI39" s="3149">
        <f t="shared" si="131"/>
        <v>107.89999999999999</v>
      </c>
      <c r="AJ39" s="3151"/>
      <c r="AK39" s="3149">
        <f t="shared" si="132"/>
        <v>102.98</v>
      </c>
      <c r="AN39" s="3149">
        <f t="shared" si="148"/>
        <v>102.79326743087979</v>
      </c>
      <c r="AO39" s="3149">
        <f t="shared" si="159"/>
        <v>102.24351950992863</v>
      </c>
      <c r="AP39" s="3149">
        <f t="shared" si="160"/>
        <v>104.40129531631555</v>
      </c>
      <c r="AQ39" s="3149"/>
      <c r="AR39" s="3149">
        <f t="shared" si="161"/>
        <v>102.24351950992863</v>
      </c>
    </row>
    <row r="40" spans="1:44" s="2045" customFormat="1" ht="13.2">
      <c r="A40" s="2901" t="s">
        <v>3371</v>
      </c>
      <c r="B40" s="2031">
        <v>2024</v>
      </c>
      <c r="C40" s="2042">
        <v>1</v>
      </c>
      <c r="D40" s="2007"/>
      <c r="E40" s="2007">
        <v>0.25</v>
      </c>
      <c r="F40" s="2007">
        <v>0.4</v>
      </c>
      <c r="G40" s="2007">
        <v>-0.63</v>
      </c>
      <c r="H40" s="2913"/>
      <c r="I40" s="2008">
        <f t="shared" ref="I40:I41" si="176">F40</f>
        <v>0.4</v>
      </c>
      <c r="J40" s="2902"/>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2"/>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2"/>
      <c r="Y40" s="2028"/>
      <c r="Z40" s="2898"/>
      <c r="AA40" s="2899"/>
      <c r="AB40" s="2028"/>
      <c r="AC40" s="2900"/>
      <c r="AD40" s="2028"/>
      <c r="AG40" s="3149">
        <f t="shared" si="129"/>
        <v>104.65</v>
      </c>
      <c r="AH40" s="3149">
        <f t="shared" si="130"/>
        <v>103.38000000000001</v>
      </c>
      <c r="AI40" s="3149">
        <f t="shared" si="131"/>
        <v>106.59</v>
      </c>
      <c r="AJ40" s="3151"/>
      <c r="AK40" s="3149">
        <f t="shared" si="132"/>
        <v>103.38000000000001</v>
      </c>
      <c r="AN40" s="3149">
        <f t="shared" si="148"/>
        <v>103.11291747505246</v>
      </c>
      <c r="AO40" s="3149">
        <f t="shared" si="159"/>
        <v>102.64383044867849</v>
      </c>
      <c r="AP40" s="3149">
        <f t="shared" si="160"/>
        <v>103.13276233953923</v>
      </c>
      <c r="AQ40" s="3149"/>
      <c r="AR40" s="3149">
        <f t="shared" si="161"/>
        <v>102.64383044867849</v>
      </c>
    </row>
    <row r="41" spans="1:44" s="2045" customFormat="1" ht="13.2">
      <c r="A41" s="2901" t="s">
        <v>3369</v>
      </c>
      <c r="B41" s="2031">
        <v>2023</v>
      </c>
      <c r="C41" s="2042">
        <v>4</v>
      </c>
      <c r="D41" s="2007"/>
      <c r="E41" s="2007">
        <v>7.0000000000000007E-2</v>
      </c>
      <c r="F41" s="2007">
        <v>0.09</v>
      </c>
      <c r="G41" s="2007">
        <v>0.03</v>
      </c>
      <c r="H41" s="2913"/>
      <c r="I41" s="2008">
        <f t="shared" si="176"/>
        <v>0.09</v>
      </c>
      <c r="J41" s="2902"/>
      <c r="K41" s="2043"/>
      <c r="L41" s="2028">
        <f t="shared" si="175"/>
        <v>7.000000000000001E-4</v>
      </c>
      <c r="M41" s="2028">
        <f t="shared" si="175"/>
        <v>8.9999999999999998E-4</v>
      </c>
      <c r="N41" s="2028">
        <f t="shared" si="175"/>
        <v>2.9999999999999997E-4</v>
      </c>
      <c r="O41" s="2028"/>
      <c r="P41" s="2028">
        <f t="shared" ref="P41" si="182">M41</f>
        <v>8.9999999999999998E-4</v>
      </c>
      <c r="Q41" s="2902"/>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2"/>
      <c r="Y41" s="2028"/>
      <c r="Z41" s="2898"/>
      <c r="AA41" s="2899"/>
      <c r="AB41" s="2028"/>
      <c r="AC41" s="2900"/>
      <c r="AD41" s="2028"/>
      <c r="AG41" s="3149">
        <f t="shared" si="129"/>
        <v>104.39</v>
      </c>
      <c r="AH41" s="3149">
        <f t="shared" si="130"/>
        <v>102.97</v>
      </c>
      <c r="AI41" s="3149">
        <f t="shared" si="131"/>
        <v>107.27</v>
      </c>
      <c r="AJ41" s="3151"/>
      <c r="AK41" s="3149">
        <f t="shared" si="132"/>
        <v>102.97</v>
      </c>
      <c r="AN41" s="3149">
        <f t="shared" si="148"/>
        <v>102.85577802997751</v>
      </c>
      <c r="AO41" s="3149">
        <f t="shared" si="159"/>
        <v>102.23489088513793</v>
      </c>
      <c r="AP41" s="3149">
        <f t="shared" si="160"/>
        <v>103.78661803314806</v>
      </c>
      <c r="AQ41" s="3149"/>
      <c r="AR41" s="3149">
        <f t="shared" si="161"/>
        <v>102.23489088513793</v>
      </c>
    </row>
    <row r="42" spans="1:44" s="2045" customFormat="1" ht="13.2">
      <c r="A42" s="2901" t="s">
        <v>3367</v>
      </c>
      <c r="B42" s="2031">
        <v>2023</v>
      </c>
      <c r="C42" s="2042">
        <v>3</v>
      </c>
      <c r="D42" s="2007"/>
      <c r="E42" s="2007">
        <v>0.35</v>
      </c>
      <c r="F42" s="2007">
        <v>0.17</v>
      </c>
      <c r="G42" s="2007">
        <v>0.52</v>
      </c>
      <c r="H42" s="2913"/>
      <c r="I42" s="2008">
        <f t="shared" si="174"/>
        <v>0.17</v>
      </c>
      <c r="J42" s="2902"/>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2"/>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2"/>
      <c r="Y42" s="2028"/>
      <c r="Z42" s="2898"/>
      <c r="AA42" s="2899"/>
      <c r="AB42" s="2028"/>
      <c r="AC42" s="2900"/>
      <c r="AD42" s="2028"/>
      <c r="AG42" s="3149">
        <f t="shared" si="129"/>
        <v>104.32</v>
      </c>
      <c r="AH42" s="3149">
        <f t="shared" si="130"/>
        <v>102.86999999999999</v>
      </c>
      <c r="AI42" s="3149">
        <f t="shared" si="131"/>
        <v>107.23</v>
      </c>
      <c r="AJ42" s="3151"/>
      <c r="AK42" s="3149">
        <f t="shared" si="132"/>
        <v>102.86999999999999</v>
      </c>
      <c r="AN42" s="3149">
        <f t="shared" si="148"/>
        <v>102.78382934943292</v>
      </c>
      <c r="AO42" s="3149">
        <f t="shared" si="159"/>
        <v>102.14296221914071</v>
      </c>
      <c r="AP42" s="3149">
        <f t="shared" si="160"/>
        <v>103.75549138573234</v>
      </c>
      <c r="AQ42" s="3149"/>
      <c r="AR42" s="3149">
        <f t="shared" si="161"/>
        <v>102.14296221914071</v>
      </c>
    </row>
    <row r="43" spans="1:44" s="2045" customFormat="1" ht="13.2">
      <c r="A43" s="2901" t="s">
        <v>3366</v>
      </c>
      <c r="B43" s="2031">
        <v>2023</v>
      </c>
      <c r="C43" s="2042">
        <v>2</v>
      </c>
      <c r="D43" s="2007"/>
      <c r="E43" s="2007">
        <v>0.5</v>
      </c>
      <c r="F43" s="2007">
        <v>0.45</v>
      </c>
      <c r="G43" s="2007">
        <v>0.89</v>
      </c>
      <c r="H43" s="2913"/>
      <c r="I43" s="2008">
        <f t="shared" si="174"/>
        <v>0.45</v>
      </c>
      <c r="J43" s="2902"/>
      <c r="K43" s="2043"/>
      <c r="L43" s="2028">
        <f t="shared" si="184"/>
        <v>5.0000000000000001E-3</v>
      </c>
      <c r="M43" s="2028">
        <f t="shared" si="185"/>
        <v>4.5000000000000005E-3</v>
      </c>
      <c r="N43" s="2028">
        <f t="shared" si="186"/>
        <v>8.8999999999999999E-3</v>
      </c>
      <c r="O43" s="2028"/>
      <c r="P43" s="2028">
        <f t="shared" si="187"/>
        <v>4.5000000000000005E-3</v>
      </c>
      <c r="Q43" s="2902"/>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2"/>
      <c r="Y43" s="2028"/>
      <c r="Z43" s="2898"/>
      <c r="AA43" s="2899"/>
      <c r="AB43" s="2028"/>
      <c r="AC43" s="2900"/>
      <c r="AD43" s="2028"/>
      <c r="AG43" s="3149">
        <f t="shared" si="129"/>
        <v>103.96000000000001</v>
      </c>
      <c r="AH43" s="3149">
        <f t="shared" si="130"/>
        <v>102.69999999999999</v>
      </c>
      <c r="AI43" s="3149">
        <f t="shared" si="131"/>
        <v>106.67999999999999</v>
      </c>
      <c r="AJ43" s="3151"/>
      <c r="AK43" s="3149">
        <f t="shared" si="132"/>
        <v>102.69999999999999</v>
      </c>
      <c r="AN43" s="3149">
        <f t="shared" si="148"/>
        <v>102.42534065713295</v>
      </c>
      <c r="AO43" s="3149">
        <f t="shared" si="159"/>
        <v>101.96961387555227</v>
      </c>
      <c r="AP43" s="3149">
        <f t="shared" si="160"/>
        <v>103.21875386563104</v>
      </c>
      <c r="AQ43" s="3149"/>
      <c r="AR43" s="3149">
        <f t="shared" si="161"/>
        <v>101.96961387555227</v>
      </c>
    </row>
    <row r="44" spans="1:44" s="2045" customFormat="1" ht="13.2">
      <c r="A44" s="2901" t="s">
        <v>3364</v>
      </c>
      <c r="B44" s="2031">
        <v>2023</v>
      </c>
      <c r="C44" s="2042">
        <v>1</v>
      </c>
      <c r="D44" s="2007"/>
      <c r="E44" s="2007">
        <v>0.55000000000000004</v>
      </c>
      <c r="F44" s="2007">
        <v>0.59</v>
      </c>
      <c r="G44" s="2007">
        <v>0.64</v>
      </c>
      <c r="H44" s="2913"/>
      <c r="I44" s="2008">
        <f t="shared" si="174"/>
        <v>0.59</v>
      </c>
      <c r="J44" s="2902"/>
      <c r="K44" s="2043"/>
      <c r="L44" s="2028">
        <f t="shared" si="184"/>
        <v>5.5000000000000005E-3</v>
      </c>
      <c r="M44" s="2028">
        <f t="shared" si="185"/>
        <v>5.8999999999999999E-3</v>
      </c>
      <c r="N44" s="2028">
        <f t="shared" si="186"/>
        <v>6.4000000000000003E-3</v>
      </c>
      <c r="O44" s="2028"/>
      <c r="P44" s="2028">
        <f t="shared" si="187"/>
        <v>5.8999999999999999E-3</v>
      </c>
      <c r="Q44" s="2902"/>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2"/>
      <c r="Y44" s="2028"/>
      <c r="Z44" s="2898"/>
      <c r="AA44" s="2899"/>
      <c r="AB44" s="2028"/>
      <c r="AC44" s="2900"/>
      <c r="AD44" s="2028"/>
      <c r="AG44" s="3149">
        <f t="shared" si="129"/>
        <v>103.44</v>
      </c>
      <c r="AH44" s="3149">
        <f t="shared" si="130"/>
        <v>102.24</v>
      </c>
      <c r="AI44" s="3149">
        <f t="shared" si="131"/>
        <v>105.74</v>
      </c>
      <c r="AJ44" s="3151"/>
      <c r="AK44" s="3149">
        <f t="shared" si="132"/>
        <v>102.24</v>
      </c>
      <c r="AN44" s="3149">
        <f t="shared" si="148"/>
        <v>101.91576184789349</v>
      </c>
      <c r="AO44" s="3149">
        <f t="shared" si="159"/>
        <v>101.5128062474388</v>
      </c>
      <c r="AP44" s="3149">
        <f t="shared" si="160"/>
        <v>102.30821078960358</v>
      </c>
      <c r="AQ44" s="3149"/>
      <c r="AR44" s="3149">
        <f t="shared" si="161"/>
        <v>101.5128062474388</v>
      </c>
    </row>
    <row r="45" spans="1:44" s="2045" customFormat="1" ht="13.2">
      <c r="A45" s="2901" t="s">
        <v>3363</v>
      </c>
      <c r="B45" s="2031">
        <v>2022</v>
      </c>
      <c r="C45" s="2042">
        <v>4</v>
      </c>
      <c r="D45" s="2007"/>
      <c r="E45" s="2007">
        <v>0.45</v>
      </c>
      <c r="F45" s="2007">
        <v>0.2</v>
      </c>
      <c r="G45" s="2007">
        <v>0.38</v>
      </c>
      <c r="H45" s="2913"/>
      <c r="I45" s="2008">
        <f t="shared" si="174"/>
        <v>0.2</v>
      </c>
      <c r="J45" s="2902"/>
      <c r="K45" s="2043"/>
      <c r="L45" s="2028">
        <f t="shared" si="175"/>
        <v>4.5000000000000005E-3</v>
      </c>
      <c r="M45" s="2028">
        <f t="shared" si="175"/>
        <v>2E-3</v>
      </c>
      <c r="N45" s="2028">
        <f t="shared" si="175"/>
        <v>3.8E-3</v>
      </c>
      <c r="O45" s="2028"/>
      <c r="P45" s="2028">
        <f t="shared" ref="P45:P52" si="189">M45</f>
        <v>2E-3</v>
      </c>
      <c r="Q45" s="2902"/>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2"/>
      <c r="Y45" s="2028"/>
      <c r="Z45" s="2898">
        <f t="shared" ref="Z45:AD52" si="191">IF(E45=0,0,ROUND(AVERAGE(E45:E53)/100,4))</f>
        <v>4.0000000000000001E-3</v>
      </c>
      <c r="AA45" s="2899">
        <f t="shared" si="191"/>
        <v>2.5999999999999999E-3</v>
      </c>
      <c r="AB45" s="2028">
        <f t="shared" si="191"/>
        <v>7.4000000000000003E-3</v>
      </c>
      <c r="AC45" s="2900"/>
      <c r="AD45" s="2028">
        <f t="shared" si="191"/>
        <v>2.5999999999999999E-3</v>
      </c>
      <c r="AG45" s="3149">
        <f t="shared" si="129"/>
        <v>102.86999999999999</v>
      </c>
      <c r="AH45" s="3149">
        <f t="shared" si="130"/>
        <v>101.64</v>
      </c>
      <c r="AI45" s="3149">
        <f t="shared" si="131"/>
        <v>105.06</v>
      </c>
      <c r="AJ45" s="3151"/>
      <c r="AK45" s="3149">
        <f t="shared" si="132"/>
        <v>101.64</v>
      </c>
      <c r="AN45" s="3149">
        <f t="shared" si="148"/>
        <v>101.35829124604027</v>
      </c>
      <c r="AO45" s="3149">
        <f t="shared" si="159"/>
        <v>100.91739362505101</v>
      </c>
      <c r="AP45" s="3149">
        <f t="shared" si="160"/>
        <v>101.6576021359336</v>
      </c>
      <c r="AQ45" s="3149"/>
      <c r="AR45" s="3149">
        <f t="shared" si="161"/>
        <v>100.91739362505101</v>
      </c>
    </row>
    <row r="46" spans="1:44" s="2045" customFormat="1" ht="13.2">
      <c r="A46" s="2901" t="s">
        <v>3362</v>
      </c>
      <c r="B46" s="2031">
        <v>2022</v>
      </c>
      <c r="C46" s="2042">
        <v>3</v>
      </c>
      <c r="D46" s="2007"/>
      <c r="E46" s="2007">
        <v>0.3</v>
      </c>
      <c r="F46" s="2007">
        <v>0.28999999999999998</v>
      </c>
      <c r="G46" s="2007">
        <v>0.83</v>
      </c>
      <c r="H46" s="2913"/>
      <c r="I46" s="2008">
        <f t="shared" si="174"/>
        <v>0.28999999999999998</v>
      </c>
      <c r="J46" s="2902"/>
      <c r="K46" s="2043"/>
      <c r="L46" s="2028">
        <f t="shared" si="175"/>
        <v>3.0000000000000001E-3</v>
      </c>
      <c r="M46" s="2028">
        <f t="shared" si="175"/>
        <v>2.8999999999999998E-3</v>
      </c>
      <c r="N46" s="2028">
        <f t="shared" si="175"/>
        <v>8.3000000000000001E-3</v>
      </c>
      <c r="O46" s="2028"/>
      <c r="P46" s="2028">
        <f t="shared" si="189"/>
        <v>2.8999999999999998E-3</v>
      </c>
      <c r="Q46" s="2902"/>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2"/>
      <c r="Y46" s="2028"/>
      <c r="Z46" s="2898">
        <f t="shared" si="191"/>
        <v>3.8999999999999998E-3</v>
      </c>
      <c r="AA46" s="2899">
        <f t="shared" si="191"/>
        <v>2.7000000000000001E-3</v>
      </c>
      <c r="AB46" s="2028">
        <f t="shared" si="191"/>
        <v>7.9000000000000008E-3</v>
      </c>
      <c r="AC46" s="2900"/>
      <c r="AD46" s="2028">
        <f t="shared" si="191"/>
        <v>2.7000000000000001E-3</v>
      </c>
      <c r="AG46" s="3149">
        <f t="shared" si="129"/>
        <v>102.41</v>
      </c>
      <c r="AH46" s="3149">
        <f t="shared" si="130"/>
        <v>101.44</v>
      </c>
      <c r="AI46" s="3149">
        <f t="shared" si="131"/>
        <v>104.67</v>
      </c>
      <c r="AJ46" s="3151"/>
      <c r="AK46" s="3149">
        <f t="shared" si="132"/>
        <v>101.44</v>
      </c>
      <c r="AN46" s="3149">
        <f t="shared" si="148"/>
        <v>100.90422224593357</v>
      </c>
      <c r="AO46" s="3149">
        <f t="shared" si="159"/>
        <v>100.71596170164771</v>
      </c>
      <c r="AP46" s="3149">
        <f t="shared" si="160"/>
        <v>101.2727656265527</v>
      </c>
      <c r="AQ46" s="3149"/>
      <c r="AR46" s="3149">
        <f t="shared" si="161"/>
        <v>100.71596170164771</v>
      </c>
    </row>
    <row r="47" spans="1:44" s="2045" customFormat="1" ht="13.2">
      <c r="A47" s="2901" t="s">
        <v>3352</v>
      </c>
      <c r="B47" s="2031">
        <v>2022</v>
      </c>
      <c r="C47" s="2042">
        <v>2</v>
      </c>
      <c r="D47" s="2007"/>
      <c r="E47" s="2007">
        <v>-0.11</v>
      </c>
      <c r="F47" s="2007">
        <v>-0.13</v>
      </c>
      <c r="G47" s="2007">
        <v>0.53</v>
      </c>
      <c r="H47" s="2913"/>
      <c r="I47" s="2008">
        <f t="shared" si="174"/>
        <v>-0.13</v>
      </c>
      <c r="J47" s="2902"/>
      <c r="K47" s="2043"/>
      <c r="L47" s="2028">
        <f t="shared" si="175"/>
        <v>-1.1000000000000001E-3</v>
      </c>
      <c r="M47" s="2028">
        <f t="shared" si="175"/>
        <v>-1.2999999999999999E-3</v>
      </c>
      <c r="N47" s="2028">
        <f t="shared" si="175"/>
        <v>5.3E-3</v>
      </c>
      <c r="O47" s="2028"/>
      <c r="P47" s="2028">
        <f t="shared" si="189"/>
        <v>-1.2999999999999999E-3</v>
      </c>
      <c r="Q47" s="2902"/>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2"/>
      <c r="Y47" s="2028"/>
      <c r="Z47" s="2898">
        <f t="shared" si="191"/>
        <v>4.1000000000000003E-3</v>
      </c>
      <c r="AA47" s="2899">
        <f t="shared" si="191"/>
        <v>2.7000000000000001E-3</v>
      </c>
      <c r="AB47" s="2028">
        <f t="shared" si="191"/>
        <v>7.9000000000000008E-3</v>
      </c>
      <c r="AC47" s="2900"/>
      <c r="AD47" s="2028">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100.60241500093079</v>
      </c>
      <c r="AO47" s="3149">
        <f t="shared" si="159"/>
        <v>100.42472998469212</v>
      </c>
      <c r="AP47" s="3149">
        <f t="shared" si="160"/>
        <v>100.43912092289268</v>
      </c>
      <c r="AQ47" s="3149"/>
      <c r="AR47" s="3149">
        <f t="shared" si="161"/>
        <v>100.42472998469212</v>
      </c>
    </row>
    <row r="48" spans="1:44" s="2045" customFormat="1" ht="13.2">
      <c r="A48" s="2901" t="s">
        <v>2833</v>
      </c>
      <c r="B48" s="2031">
        <v>2022</v>
      </c>
      <c r="C48" s="2042">
        <v>1</v>
      </c>
      <c r="D48" s="2007"/>
      <c r="E48" s="2007">
        <v>0.6</v>
      </c>
      <c r="F48" s="2007">
        <v>0.45</v>
      </c>
      <c r="G48" s="2007">
        <v>0.53</v>
      </c>
      <c r="H48" s="2913"/>
      <c r="I48" s="2008">
        <f t="shared" si="174"/>
        <v>0.45</v>
      </c>
      <c r="J48" s="2902"/>
      <c r="K48" s="2043"/>
      <c r="L48" s="2028">
        <f t="shared" si="175"/>
        <v>6.0000000000000001E-3</v>
      </c>
      <c r="M48" s="2028">
        <f t="shared" si="175"/>
        <v>4.5000000000000005E-3</v>
      </c>
      <c r="N48" s="2028">
        <f t="shared" si="175"/>
        <v>5.3E-3</v>
      </c>
      <c r="O48" s="2028"/>
      <c r="P48" s="2028">
        <f t="shared" si="189"/>
        <v>4.5000000000000005E-3</v>
      </c>
      <c r="Q48" s="2902"/>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2"/>
      <c r="Y48" s="2028"/>
      <c r="Z48" s="2898">
        <f t="shared" si="191"/>
        <v>5.1000000000000004E-3</v>
      </c>
      <c r="AA48" s="2899">
        <f t="shared" si="191"/>
        <v>3.5000000000000001E-3</v>
      </c>
      <c r="AB48" s="2028">
        <f t="shared" si="191"/>
        <v>8.3999999999999995E-3</v>
      </c>
      <c r="AC48" s="2900"/>
      <c r="AD48" s="2028">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100.71319952040324</v>
      </c>
      <c r="AO48" s="3149">
        <f t="shared" si="159"/>
        <v>100.55545207238622</v>
      </c>
      <c r="AP48" s="3149">
        <f t="shared" si="160"/>
        <v>99.90960004266654</v>
      </c>
      <c r="AQ48" s="3149"/>
      <c r="AR48" s="3149">
        <f t="shared" si="161"/>
        <v>100.55545207238622</v>
      </c>
    </row>
    <row r="49" spans="1:44" s="2045" customFormat="1" ht="13.2">
      <c r="A49" s="2901" t="s">
        <v>2834</v>
      </c>
      <c r="B49" s="2031">
        <v>2021</v>
      </c>
      <c r="C49" s="2042">
        <v>4</v>
      </c>
      <c r="D49" s="2007"/>
      <c r="E49" s="2007">
        <v>0.57999999999999996</v>
      </c>
      <c r="F49" s="2007">
        <v>0.08</v>
      </c>
      <c r="G49" s="2007">
        <v>0.68</v>
      </c>
      <c r="H49" s="2913"/>
      <c r="I49" s="2008">
        <f t="shared" si="174"/>
        <v>0.08</v>
      </c>
      <c r="J49" s="2902"/>
      <c r="K49" s="2043"/>
      <c r="L49" s="2028">
        <f t="shared" si="175"/>
        <v>5.7999999999999996E-3</v>
      </c>
      <c r="M49" s="2028">
        <f t="shared" si="175"/>
        <v>8.0000000000000004E-4</v>
      </c>
      <c r="N49" s="2028">
        <f t="shared" si="175"/>
        <v>6.8000000000000005E-3</v>
      </c>
      <c r="O49" s="2028"/>
      <c r="P49" s="2028">
        <f t="shared" si="189"/>
        <v>8.0000000000000004E-4</v>
      </c>
      <c r="Q49" s="2902"/>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2"/>
      <c r="Y49" s="2028"/>
      <c r="Z49" s="2898">
        <f t="shared" si="191"/>
        <v>4.8999999999999998E-3</v>
      </c>
      <c r="AA49" s="2899">
        <f t="shared" si="191"/>
        <v>3.3E-3</v>
      </c>
      <c r="AB49" s="2028">
        <f t="shared" si="191"/>
        <v>9.1999999999999998E-3</v>
      </c>
      <c r="AC49" s="2900"/>
      <c r="AD49" s="2028">
        <f t="shared" si="191"/>
        <v>3.3E-3</v>
      </c>
      <c r="AG49" s="3149">
        <f t="shared" si="129"/>
        <v>101.61</v>
      </c>
      <c r="AH49" s="3149">
        <f t="shared" si="130"/>
        <v>100.82</v>
      </c>
      <c r="AI49" s="3149">
        <f t="shared" si="131"/>
        <v>102.71</v>
      </c>
      <c r="AJ49" s="3151"/>
      <c r="AK49" s="3149">
        <f t="shared" si="132"/>
        <v>100.82</v>
      </c>
      <c r="AN49" s="3149">
        <f t="shared" si="148"/>
        <v>100.11252437415828</v>
      </c>
      <c r="AO49" s="3149">
        <f t="shared" si="159"/>
        <v>100.10497966389867</v>
      </c>
      <c r="AP49" s="3149">
        <f t="shared" si="160"/>
        <v>99.382870827281934</v>
      </c>
      <c r="AQ49" s="3149"/>
      <c r="AR49" s="3149">
        <f t="shared" si="161"/>
        <v>100.10497966389867</v>
      </c>
    </row>
    <row r="50" spans="1:44" s="2045" customFormat="1" ht="13.2">
      <c r="A50" s="2901" t="s">
        <v>2835</v>
      </c>
      <c r="B50" s="2031">
        <v>2021</v>
      </c>
      <c r="C50" s="2042">
        <v>3</v>
      </c>
      <c r="D50" s="2007"/>
      <c r="E50" s="2007">
        <v>0.47</v>
      </c>
      <c r="F50" s="2007">
        <v>0.28000000000000003</v>
      </c>
      <c r="G50" s="2007">
        <v>0.91</v>
      </c>
      <c r="H50" s="2913"/>
      <c r="I50" s="2008">
        <f t="shared" si="174"/>
        <v>0.28000000000000003</v>
      </c>
      <c r="J50" s="2902"/>
      <c r="K50" s="2043"/>
      <c r="L50" s="2028">
        <f t="shared" si="175"/>
        <v>4.6999999999999993E-3</v>
      </c>
      <c r="M50" s="2028">
        <f t="shared" si="175"/>
        <v>2.8000000000000004E-3</v>
      </c>
      <c r="N50" s="2028">
        <f t="shared" si="175"/>
        <v>9.1000000000000004E-3</v>
      </c>
      <c r="O50" s="2028"/>
      <c r="P50" s="2028">
        <f t="shared" si="189"/>
        <v>2.8000000000000004E-3</v>
      </c>
      <c r="Q50" s="2902"/>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2"/>
      <c r="Y50" s="2028"/>
      <c r="Z50" s="2898">
        <f t="shared" si="191"/>
        <v>4.5999999999999999E-3</v>
      </c>
      <c r="AA50" s="2899">
        <f t="shared" si="191"/>
        <v>4.1000000000000003E-3</v>
      </c>
      <c r="AB50" s="2028">
        <f t="shared" si="191"/>
        <v>0.01</v>
      </c>
      <c r="AC50" s="2900"/>
      <c r="AD50" s="2028">
        <f t="shared" si="191"/>
        <v>4.1000000000000003E-3</v>
      </c>
      <c r="AG50" s="3149">
        <f t="shared" si="129"/>
        <v>101.02</v>
      </c>
      <c r="AH50" s="3149">
        <f t="shared" si="130"/>
        <v>100.74000000000001</v>
      </c>
      <c r="AI50" s="3149">
        <f t="shared" si="131"/>
        <v>102.02</v>
      </c>
      <c r="AJ50" s="3151"/>
      <c r="AK50" s="3149">
        <f t="shared" si="132"/>
        <v>100.74000000000001</v>
      </c>
      <c r="AN50" s="3149">
        <f t="shared" si="148"/>
        <v>99.535220097592244</v>
      </c>
      <c r="AO50" s="3149">
        <f t="shared" si="159"/>
        <v>100.02495969614176</v>
      </c>
      <c r="AP50" s="3149">
        <f t="shared" si="160"/>
        <v>98.711631731507694</v>
      </c>
      <c r="AQ50" s="3149"/>
      <c r="AR50" s="3149">
        <f t="shared" si="161"/>
        <v>100.02495969614176</v>
      </c>
    </row>
    <row r="51" spans="1:44" s="2045" customFormat="1" ht="13.2">
      <c r="A51" s="2901" t="s">
        <v>2836</v>
      </c>
      <c r="B51" s="2031">
        <v>2021</v>
      </c>
      <c r="C51" s="2042">
        <v>2</v>
      </c>
      <c r="D51" s="2007"/>
      <c r="E51" s="2007">
        <v>0.55000000000000004</v>
      </c>
      <c r="F51" s="2007">
        <v>0.46</v>
      </c>
      <c r="G51" s="2007">
        <v>1.1000000000000001</v>
      </c>
      <c r="H51" s="2913"/>
      <c r="I51" s="2008">
        <f t="shared" si="174"/>
        <v>0.46</v>
      </c>
      <c r="J51" s="2902"/>
      <c r="K51" s="2043"/>
      <c r="L51" s="2028">
        <f t="shared" si="175"/>
        <v>5.5000000000000005E-3</v>
      </c>
      <c r="M51" s="2028">
        <f t="shared" si="175"/>
        <v>4.5999999999999999E-3</v>
      </c>
      <c r="N51" s="2028">
        <f t="shared" si="175"/>
        <v>1.1000000000000001E-2</v>
      </c>
      <c r="O51" s="2028"/>
      <c r="P51" s="2028">
        <f t="shared" si="189"/>
        <v>4.5999999999999999E-3</v>
      </c>
      <c r="Q51" s="2902"/>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2"/>
      <c r="Y51" s="2028"/>
      <c r="Z51" s="2898">
        <f t="shared" si="191"/>
        <v>4.4999999999999997E-3</v>
      </c>
      <c r="AA51" s="2899">
        <f t="shared" si="191"/>
        <v>4.7000000000000002E-3</v>
      </c>
      <c r="AB51" s="2028">
        <f t="shared" si="191"/>
        <v>1.04E-2</v>
      </c>
      <c r="AC51" s="2900"/>
      <c r="AD51" s="2028">
        <f t="shared" si="191"/>
        <v>4.7000000000000002E-3</v>
      </c>
      <c r="AG51" s="3149">
        <f>$AG$52*S51</f>
        <v>100.55000000000001</v>
      </c>
      <c r="AH51" s="3149">
        <f t="shared" ref="AH51:AK51" si="192">$AG$52*T51</f>
        <v>100.46</v>
      </c>
      <c r="AI51" s="3149">
        <f t="shared" si="192"/>
        <v>101.1</v>
      </c>
      <c r="AJ51" s="3151"/>
      <c r="AK51" s="3149">
        <f t="shared" si="192"/>
        <v>100.46</v>
      </c>
      <c r="AN51" s="3149">
        <f t="shared" si="148"/>
        <v>99.069593010443171</v>
      </c>
      <c r="AO51" s="3149">
        <f t="shared" si="159"/>
        <v>99.745671815059609</v>
      </c>
      <c r="AP51" s="3149">
        <f t="shared" si="160"/>
        <v>97.821456477561867</v>
      </c>
      <c r="AQ51" s="3149"/>
      <c r="AR51" s="3149">
        <f t="shared" si="161"/>
        <v>99.745671815059609</v>
      </c>
    </row>
    <row r="52" spans="1:44" s="2924" customFormat="1" ht="15" thickBot="1">
      <c r="A52" s="2914" t="s">
        <v>2822</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98.527690711529758</v>
      </c>
      <c r="AO52" s="3156">
        <f t="shared" si="159"/>
        <v>99.288942678737428</v>
      </c>
      <c r="AP52" s="3156">
        <f t="shared" si="160"/>
        <v>96.757128068805017</v>
      </c>
      <c r="AQ52" s="3156"/>
      <c r="AR52" s="3156">
        <f t="shared" si="161"/>
        <v>99.288942678737428</v>
      </c>
    </row>
    <row r="53" spans="1:44" ht="15" thickTop="1"/>
    <row r="54" spans="1:44">
      <c r="A54" s="3139"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15" t="s">
        <v>452</v>
      </c>
      <c r="C1" s="3515"/>
      <c r="D1" s="3515"/>
      <c r="E1" s="3515"/>
      <c r="F1" s="3515"/>
      <c r="G1" s="3511" t="s">
        <v>453</v>
      </c>
      <c r="H1" s="3511"/>
      <c r="I1" s="3511"/>
      <c r="J1" s="3511"/>
      <c r="K1" s="3511"/>
      <c r="L1" s="3511"/>
      <c r="N1" s="3511" t="s">
        <v>454</v>
      </c>
      <c r="O1" s="3511"/>
      <c r="P1" s="3511"/>
      <c r="Q1" s="3511"/>
      <c r="S1" s="3511" t="s">
        <v>455</v>
      </c>
      <c r="T1" s="3511"/>
      <c r="U1" s="3511"/>
      <c r="V1" s="3511"/>
      <c r="X1" s="3510" t="s">
        <v>456</v>
      </c>
      <c r="Y1" s="3511"/>
      <c r="Z1" s="3511"/>
      <c r="AA1" s="3511"/>
      <c r="AB1" s="3511"/>
      <c r="AD1" s="3510" t="s">
        <v>457</v>
      </c>
      <c r="AE1" s="3511"/>
      <c r="AF1" s="3511"/>
      <c r="AG1" s="3511"/>
      <c r="AH1" s="3511"/>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51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1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1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1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1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1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1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1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1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1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1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1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1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1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1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3">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14">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1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3">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14">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23" t="s">
        <v>2837</v>
      </c>
      <c r="B1" s="3523"/>
      <c r="C1" s="3523"/>
      <c r="D1" s="3523"/>
      <c r="E1" s="3523"/>
      <c r="F1" s="3523"/>
      <c r="G1" s="3524"/>
      <c r="I1" s="2934" t="s">
        <v>2838</v>
      </c>
      <c r="J1" s="2935" t="s">
        <v>2839</v>
      </c>
      <c r="K1" s="2935" t="s">
        <v>2840</v>
      </c>
      <c r="L1" s="2935" t="s">
        <v>2841</v>
      </c>
      <c r="M1" s="2935" t="s">
        <v>2842</v>
      </c>
      <c r="N1" s="2935" t="s">
        <v>2843</v>
      </c>
      <c r="O1" s="2935" t="s">
        <v>2844</v>
      </c>
      <c r="P1" s="2935" t="s">
        <v>2845</v>
      </c>
      <c r="Q1" s="2935" t="s">
        <v>2846</v>
      </c>
      <c r="R1" s="2935" t="s">
        <v>2847</v>
      </c>
      <c r="S1" s="2935" t="s">
        <v>2848</v>
      </c>
      <c r="T1" s="2936" t="s">
        <v>2849</v>
      </c>
    </row>
    <row r="2" spans="1:20" ht="11.4" thickBot="1">
      <c r="A2" s="2937" t="s">
        <v>2850</v>
      </c>
      <c r="B2" s="2937"/>
      <c r="C2" s="2937"/>
      <c r="D2" s="2937"/>
      <c r="E2" s="2937"/>
      <c r="F2" s="2937"/>
      <c r="G2" s="2938" t="s">
        <v>2851</v>
      </c>
      <c r="I2" s="2939" t="s">
        <v>2852</v>
      </c>
      <c r="J2" s="2939" t="s">
        <v>2853</v>
      </c>
      <c r="K2" s="2939" t="s">
        <v>2854</v>
      </c>
      <c r="L2" s="2939" t="s">
        <v>2855</v>
      </c>
      <c r="M2" s="2939" t="s">
        <v>2856</v>
      </c>
      <c r="N2" s="2939" t="s">
        <v>2857</v>
      </c>
      <c r="O2" s="2939" t="s">
        <v>2858</v>
      </c>
      <c r="P2" s="2939" t="s">
        <v>2859</v>
      </c>
      <c r="Q2" s="2939" t="s">
        <v>2860</v>
      </c>
      <c r="R2" s="2939" t="s">
        <v>2861</v>
      </c>
      <c r="S2" s="2939" t="s">
        <v>2862</v>
      </c>
      <c r="T2" s="2939" t="s">
        <v>2863</v>
      </c>
    </row>
    <row r="3" spans="1:20" s="2945" customFormat="1">
      <c r="A3" s="3521" t="s">
        <v>2864</v>
      </c>
      <c r="B3" s="2940"/>
      <c r="C3" s="2941" t="s">
        <v>2809</v>
      </c>
      <c r="D3" s="2941" t="s">
        <v>2865</v>
      </c>
      <c r="E3" s="2941" t="s">
        <v>2811</v>
      </c>
      <c r="F3" s="2941" t="s">
        <v>2866</v>
      </c>
      <c r="G3" s="2941" t="s">
        <v>2629</v>
      </c>
      <c r="H3" s="2942"/>
      <c r="I3" s="2943" t="s">
        <v>2867</v>
      </c>
      <c r="J3" s="2944" t="s">
        <v>128</v>
      </c>
      <c r="K3" s="2944" t="s">
        <v>129</v>
      </c>
      <c r="L3" s="2943" t="s">
        <v>130</v>
      </c>
      <c r="M3" s="2943" t="s">
        <v>131</v>
      </c>
      <c r="N3" s="2943" t="s">
        <v>132</v>
      </c>
      <c r="O3" s="2943" t="s">
        <v>133</v>
      </c>
      <c r="P3" s="2943" t="s">
        <v>134</v>
      </c>
      <c r="Q3" s="2943" t="s">
        <v>135</v>
      </c>
      <c r="R3" s="2943" t="s">
        <v>136</v>
      </c>
      <c r="S3" s="2943" t="s">
        <v>2868</v>
      </c>
      <c r="T3" s="2943" t="s">
        <v>2869</v>
      </c>
    </row>
    <row r="4" spans="1:20" s="2945" customFormat="1" ht="11.4" thickBot="1">
      <c r="A4" s="3522"/>
      <c r="B4" s="2946" t="s">
        <v>2870</v>
      </c>
      <c r="C4" s="2946" t="s">
        <v>2871</v>
      </c>
      <c r="D4" s="2946" t="s">
        <v>2871</v>
      </c>
      <c r="E4" s="2946" t="s">
        <v>2871</v>
      </c>
      <c r="F4" s="2947" t="s">
        <v>2871</v>
      </c>
      <c r="G4" s="2947" t="s">
        <v>2871</v>
      </c>
      <c r="H4" s="2942"/>
      <c r="I4" s="2944" t="s">
        <v>137</v>
      </c>
      <c r="J4" s="2944" t="s">
        <v>111</v>
      </c>
      <c r="K4" s="2944" t="s">
        <v>138</v>
      </c>
      <c r="L4" s="2943" t="s">
        <v>139</v>
      </c>
      <c r="M4" s="2943" t="s">
        <v>140</v>
      </c>
      <c r="N4" s="2943" t="s">
        <v>141</v>
      </c>
      <c r="O4" s="2943" t="s">
        <v>142</v>
      </c>
      <c r="P4" s="2943" t="s">
        <v>143</v>
      </c>
      <c r="Q4" s="2943" t="s">
        <v>2872</v>
      </c>
      <c r="R4" s="2943" t="s">
        <v>2873</v>
      </c>
      <c r="S4" s="2943" t="s">
        <v>2874</v>
      </c>
      <c r="T4" s="2943" t="s">
        <v>2875</v>
      </c>
    </row>
    <row r="5" spans="1:20">
      <c r="A5" s="2948" t="s">
        <v>2838</v>
      </c>
      <c r="B5" s="2939" t="s">
        <v>2852</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2876</v>
      </c>
      <c r="R5" s="2943" t="s">
        <v>2877</v>
      </c>
      <c r="S5" s="2943" t="s">
        <v>153</v>
      </c>
      <c r="T5" s="2943" t="s">
        <v>2878</v>
      </c>
    </row>
    <row r="6" spans="1:20" ht="11.4" thickBot="1">
      <c r="A6" s="2943" t="s">
        <v>144</v>
      </c>
      <c r="B6" s="2943" t="s">
        <v>2867</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2879</v>
      </c>
      <c r="Q6" s="2943" t="s">
        <v>2880</v>
      </c>
      <c r="R6" s="2943" t="s">
        <v>161</v>
      </c>
      <c r="S6" s="2943" t="s">
        <v>2881</v>
      </c>
      <c r="T6" s="2943" t="s">
        <v>2882</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2883</v>
      </c>
      <c r="Q7" s="2943" t="s">
        <v>2884</v>
      </c>
      <c r="R7" s="2943" t="s">
        <v>2885</v>
      </c>
      <c r="S7" s="2943" t="s">
        <v>2886</v>
      </c>
      <c r="T7" s="2943" t="s">
        <v>2887</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2888</v>
      </c>
      <c r="Q8" s="2943" t="s">
        <v>174</v>
      </c>
      <c r="R8" s="2943" t="s">
        <v>2889</v>
      </c>
      <c r="S8" s="2943" t="s">
        <v>2890</v>
      </c>
      <c r="T8" s="2950" t="s">
        <v>2891</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2892</v>
      </c>
      <c r="Q9" s="2943" t="s">
        <v>182</v>
      </c>
      <c r="R9" s="2943" t="s">
        <v>183</v>
      </c>
      <c r="S9" s="2943" t="s">
        <v>200</v>
      </c>
    </row>
    <row r="10" spans="1:20">
      <c r="A10" s="2948" t="s">
        <v>184</v>
      </c>
      <c r="B10" s="2939" t="s">
        <v>2853</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2893</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2894</v>
      </c>
      <c r="P11" s="2943" t="s">
        <v>191</v>
      </c>
      <c r="Q11" s="2943" t="s">
        <v>199</v>
      </c>
      <c r="R11" s="2943" t="s">
        <v>2895</v>
      </c>
      <c r="S11" s="2943" t="s">
        <v>2896</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2897</v>
      </c>
      <c r="P12" s="2943" t="s">
        <v>2898</v>
      </c>
      <c r="Q12" s="2943" t="s">
        <v>2899</v>
      </c>
      <c r="R12" s="2943" t="s">
        <v>2900</v>
      </c>
      <c r="S12" s="2943" t="s">
        <v>2901</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2902</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2903</v>
      </c>
      <c r="K14" s="2944" t="s">
        <v>215</v>
      </c>
      <c r="L14" s="2943" t="s">
        <v>216</v>
      </c>
      <c r="M14" s="2943" t="s">
        <v>217</v>
      </c>
      <c r="N14" s="2943" t="s">
        <v>218</v>
      </c>
      <c r="O14" s="2943" t="s">
        <v>240</v>
      </c>
      <c r="P14" s="2943" t="s">
        <v>213</v>
      </c>
      <c r="Q14" s="2943" t="s">
        <v>2904</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2905</v>
      </c>
      <c r="P15" s="2943" t="s">
        <v>2906</v>
      </c>
      <c r="Q15" s="2943" t="s">
        <v>242</v>
      </c>
      <c r="R15" s="2943" t="s">
        <v>2907</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2908</v>
      </c>
      <c r="P16" s="2943" t="s">
        <v>227</v>
      </c>
      <c r="Q16" s="2943" t="s">
        <v>250</v>
      </c>
      <c r="R16" s="2943" t="s">
        <v>207</v>
      </c>
      <c r="S16" s="2943" t="s">
        <v>2909</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2910</v>
      </c>
      <c r="P17" s="2943" t="s">
        <v>2911</v>
      </c>
      <c r="Q17" s="2943" t="s">
        <v>256</v>
      </c>
      <c r="R17" s="2943" t="s">
        <v>2912</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2913</v>
      </c>
      <c r="P18" s="2943" t="s">
        <v>241</v>
      </c>
      <c r="Q18" s="2943" t="s">
        <v>2914</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2915</v>
      </c>
      <c r="P19" s="2943" t="s">
        <v>249</v>
      </c>
      <c r="Q19" s="2943" t="s">
        <v>2916</v>
      </c>
      <c r="R19" s="2943" t="s">
        <v>265</v>
      </c>
      <c r="S19" s="2943" t="s">
        <v>2917</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2918</v>
      </c>
      <c r="P20" s="2943" t="s">
        <v>2919</v>
      </c>
      <c r="Q20" s="2943" t="s">
        <v>290</v>
      </c>
      <c r="R20" s="2943" t="s">
        <v>2920</v>
      </c>
      <c r="S20" s="2943" t="s">
        <v>277</v>
      </c>
    </row>
    <row r="21" spans="1:19" ht="14.25" customHeight="1" thickBot="1">
      <c r="A21" s="2943" t="s">
        <v>184</v>
      </c>
      <c r="B21" s="2944" t="s">
        <v>208</v>
      </c>
      <c r="C21" s="2943">
        <v>32370</v>
      </c>
      <c r="D21" s="2943">
        <v>26730</v>
      </c>
      <c r="E21" s="2943">
        <v>26640</v>
      </c>
      <c r="F21" s="2943"/>
      <c r="G21" s="2943">
        <v>19440</v>
      </c>
      <c r="J21" s="2950" t="s">
        <v>2921</v>
      </c>
      <c r="K21" s="2944" t="s">
        <v>267</v>
      </c>
      <c r="L21" s="2943" t="s">
        <v>268</v>
      </c>
      <c r="M21" s="2943" t="s">
        <v>269</v>
      </c>
      <c r="N21" s="2943" t="s">
        <v>270</v>
      </c>
      <c r="O21" s="2943" t="s">
        <v>264</v>
      </c>
      <c r="P21" s="2943" t="s">
        <v>283</v>
      </c>
      <c r="Q21" s="2943" t="s">
        <v>293</v>
      </c>
      <c r="R21" s="2943" t="s">
        <v>2922</v>
      </c>
      <c r="S21" s="2950" t="s">
        <v>2923</v>
      </c>
    </row>
    <row r="22" spans="1:19" ht="14.25" customHeight="1">
      <c r="A22" s="2943" t="s">
        <v>184</v>
      </c>
      <c r="B22" s="2944" t="s">
        <v>2903</v>
      </c>
      <c r="C22" s="2943">
        <v>29830</v>
      </c>
      <c r="D22" s="2943">
        <v>27600</v>
      </c>
      <c r="E22" s="2943">
        <v>28150</v>
      </c>
      <c r="F22" s="2943"/>
      <c r="G22" s="2943">
        <v>20080</v>
      </c>
      <c r="K22" s="2944" t="s">
        <v>2924</v>
      </c>
      <c r="L22" s="2943" t="s">
        <v>272</v>
      </c>
      <c r="M22" s="2943" t="s">
        <v>273</v>
      </c>
      <c r="N22" s="2943" t="s">
        <v>274</v>
      </c>
      <c r="O22" s="2943" t="s">
        <v>2925</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2926</v>
      </c>
      <c r="L23" s="2943" t="s">
        <v>278</v>
      </c>
      <c r="M23" s="2943" t="s">
        <v>279</v>
      </c>
      <c r="N23" s="2943" t="s">
        <v>2927</v>
      </c>
      <c r="O23" s="2943" t="s">
        <v>2928</v>
      </c>
      <c r="P23" s="2943" t="s">
        <v>289</v>
      </c>
      <c r="Q23" s="2943" t="s">
        <v>298</v>
      </c>
      <c r="R23" s="2943" t="s">
        <v>2929</v>
      </c>
    </row>
    <row r="24" spans="1:19" ht="14.25" customHeight="1">
      <c r="A24" s="2943" t="s">
        <v>184</v>
      </c>
      <c r="B24" s="2944" t="s">
        <v>230</v>
      </c>
      <c r="C24" s="2943">
        <v>27930</v>
      </c>
      <c r="D24" s="2943">
        <v>32260</v>
      </c>
      <c r="E24" s="2943">
        <v>32120</v>
      </c>
      <c r="F24" s="2943"/>
      <c r="G24" s="2943">
        <v>23470</v>
      </c>
      <c r="K24" s="2944" t="s">
        <v>2930</v>
      </c>
      <c r="L24" s="2943" t="s">
        <v>281</v>
      </c>
      <c r="M24" s="2943" t="s">
        <v>282</v>
      </c>
      <c r="N24" s="2943" t="s">
        <v>2931</v>
      </c>
      <c r="O24" s="2943" t="s">
        <v>285</v>
      </c>
      <c r="P24" s="2943" t="s">
        <v>2932</v>
      </c>
      <c r="Q24" s="2952" t="s">
        <v>2933</v>
      </c>
      <c r="R24" s="2943" t="s">
        <v>2934</v>
      </c>
    </row>
    <row r="25" spans="1:19" ht="14.25" customHeight="1">
      <c r="A25" s="2943" t="s">
        <v>184</v>
      </c>
      <c r="B25" s="2944" t="s">
        <v>235</v>
      </c>
      <c r="C25" s="2943">
        <v>32230</v>
      </c>
      <c r="D25" s="2943">
        <v>29640</v>
      </c>
      <c r="E25" s="2943">
        <v>29510</v>
      </c>
      <c r="F25" s="2943"/>
      <c r="G25" s="2943">
        <v>21560</v>
      </c>
      <c r="K25" s="2944" t="s">
        <v>2935</v>
      </c>
      <c r="L25" s="2943" t="s">
        <v>2936</v>
      </c>
      <c r="M25" s="2943" t="s">
        <v>284</v>
      </c>
      <c r="N25" s="2943" t="s">
        <v>292</v>
      </c>
      <c r="O25" s="2943" t="s">
        <v>288</v>
      </c>
      <c r="P25" s="2943" t="s">
        <v>275</v>
      </c>
      <c r="Q25" s="2952" t="s">
        <v>271</v>
      </c>
      <c r="R25" s="2943" t="s">
        <v>2937</v>
      </c>
    </row>
    <row r="26" spans="1:19" ht="14.25" customHeight="1" thickBot="1">
      <c r="A26" s="2943" t="s">
        <v>184</v>
      </c>
      <c r="B26" s="2944" t="s">
        <v>244</v>
      </c>
      <c r="C26" s="2943">
        <v>31690</v>
      </c>
      <c r="D26" s="2943">
        <v>27650</v>
      </c>
      <c r="E26" s="2943">
        <v>28200</v>
      </c>
      <c r="F26" s="2943"/>
      <c r="G26" s="2943">
        <v>20110</v>
      </c>
      <c r="K26" s="2949" t="s">
        <v>2938</v>
      </c>
      <c r="L26" s="2943" t="s">
        <v>2939</v>
      </c>
      <c r="M26" s="2943" t="s">
        <v>287</v>
      </c>
      <c r="N26" s="2943" t="s">
        <v>294</v>
      </c>
      <c r="O26" s="2943" t="s">
        <v>2940</v>
      </c>
      <c r="P26" s="2943" t="s">
        <v>2941</v>
      </c>
      <c r="Q26" s="2952" t="s">
        <v>276</v>
      </c>
      <c r="R26" s="2943" t="s">
        <v>2942</v>
      </c>
    </row>
    <row r="27" spans="1:19" ht="14.25" customHeight="1">
      <c r="A27" s="2943" t="s">
        <v>184</v>
      </c>
      <c r="B27" s="2944" t="s">
        <v>251</v>
      </c>
      <c r="C27" s="2943">
        <v>29610</v>
      </c>
      <c r="D27" s="2943">
        <v>27770</v>
      </c>
      <c r="E27" s="2943">
        <v>28300</v>
      </c>
      <c r="F27" s="2943"/>
      <c r="G27" s="2943">
        <v>20210</v>
      </c>
      <c r="L27" s="2943" t="s">
        <v>2943</v>
      </c>
      <c r="M27" s="2943" t="s">
        <v>291</v>
      </c>
      <c r="N27" s="2943" t="s">
        <v>297</v>
      </c>
      <c r="O27" s="2943" t="s">
        <v>2944</v>
      </c>
      <c r="P27" s="2943" t="s">
        <v>2945</v>
      </c>
      <c r="Q27" s="2943" t="s">
        <v>2946</v>
      </c>
      <c r="R27" s="2943" t="s">
        <v>2947</v>
      </c>
    </row>
    <row r="28" spans="1:19" ht="14.25" customHeight="1">
      <c r="A28" s="2943" t="s">
        <v>184</v>
      </c>
      <c r="B28" s="2944" t="s">
        <v>259</v>
      </c>
      <c r="C28" s="2943"/>
      <c r="D28" s="2943">
        <v>31520</v>
      </c>
      <c r="E28" s="2943">
        <v>31410</v>
      </c>
      <c r="F28" s="2943"/>
      <c r="G28" s="2943">
        <v>22940</v>
      </c>
      <c r="L28" s="2943" t="s">
        <v>2948</v>
      </c>
      <c r="M28" s="2943" t="s">
        <v>2949</v>
      </c>
      <c r="N28" s="2943" t="s">
        <v>2950</v>
      </c>
      <c r="O28" s="2943" t="s">
        <v>2951</v>
      </c>
      <c r="P28" s="2943" t="s">
        <v>2952</v>
      </c>
      <c r="Q28" s="2943" t="s">
        <v>2953</v>
      </c>
      <c r="R28" s="2943" t="s">
        <v>2954</v>
      </c>
    </row>
    <row r="29" spans="1:19" ht="14.25" customHeight="1" thickBot="1">
      <c r="A29" s="2951" t="s">
        <v>184</v>
      </c>
      <c r="B29" s="2953" t="s">
        <v>2921</v>
      </c>
      <c r="C29" s="2954"/>
      <c r="D29" s="2954">
        <v>29460</v>
      </c>
      <c r="E29" s="2954">
        <v>28640</v>
      </c>
      <c r="F29" s="2954"/>
      <c r="G29" s="2954">
        <v>21430</v>
      </c>
      <c r="L29" s="2943" t="s">
        <v>2955</v>
      </c>
      <c r="M29" s="2943" t="s">
        <v>2956</v>
      </c>
      <c r="N29" s="2943" t="s">
        <v>2957</v>
      </c>
      <c r="O29" s="2943" t="s">
        <v>2958</v>
      </c>
      <c r="P29" s="2943" t="s">
        <v>2959</v>
      </c>
      <c r="Q29" s="2943" t="s">
        <v>2960</v>
      </c>
      <c r="R29" s="2943" t="s">
        <v>280</v>
      </c>
    </row>
    <row r="30" spans="1:19" ht="14.25" customHeight="1">
      <c r="A30" s="2948" t="s">
        <v>296</v>
      </c>
      <c r="B30" s="2939" t="s">
        <v>2854</v>
      </c>
      <c r="C30" s="2939">
        <v>26890</v>
      </c>
      <c r="D30" s="2939">
        <v>26770</v>
      </c>
      <c r="E30" s="2939">
        <v>25700</v>
      </c>
      <c r="F30" s="2939">
        <v>8180</v>
      </c>
      <c r="G30" s="2955">
        <v>18740</v>
      </c>
      <c r="L30" s="2943" t="s">
        <v>2961</v>
      </c>
      <c r="M30" s="2943" t="s">
        <v>2962</v>
      </c>
      <c r="N30" s="2943" t="s">
        <v>2963</v>
      </c>
      <c r="O30" s="2943" t="s">
        <v>2964</v>
      </c>
      <c r="P30" s="2943" t="s">
        <v>2965</v>
      </c>
      <c r="Q30" s="2943" t="s">
        <v>2966</v>
      </c>
      <c r="R30" s="2943" t="s">
        <v>2967</v>
      </c>
    </row>
    <row r="31" spans="1:19" ht="14.25" customHeight="1">
      <c r="A31" s="2943" t="s">
        <v>296</v>
      </c>
      <c r="B31" s="2944" t="s">
        <v>129</v>
      </c>
      <c r="C31" s="2943">
        <v>24550</v>
      </c>
      <c r="D31" s="2943">
        <v>23990</v>
      </c>
      <c r="E31" s="2943">
        <v>22930</v>
      </c>
      <c r="F31" s="2943">
        <v>7470</v>
      </c>
      <c r="G31" s="2956">
        <v>16790</v>
      </c>
      <c r="L31" s="2943" t="s">
        <v>2968</v>
      </c>
      <c r="M31" s="2943" t="s">
        <v>2969</v>
      </c>
      <c r="N31" s="2943" t="s">
        <v>2970</v>
      </c>
      <c r="O31" s="2943" t="s">
        <v>2971</v>
      </c>
      <c r="P31" s="2943" t="s">
        <v>2972</v>
      </c>
      <c r="Q31" s="2943" t="s">
        <v>2973</v>
      </c>
      <c r="R31" s="2943" t="s">
        <v>2974</v>
      </c>
    </row>
    <row r="32" spans="1:19" ht="14.25" customHeight="1" thickBot="1">
      <c r="A32" s="2943" t="s">
        <v>296</v>
      </c>
      <c r="B32" s="2944" t="s">
        <v>138</v>
      </c>
      <c r="C32" s="2943">
        <v>27210</v>
      </c>
      <c r="D32" s="2943">
        <v>23240</v>
      </c>
      <c r="E32" s="2943">
        <v>23260</v>
      </c>
      <c r="F32" s="2943">
        <v>7130</v>
      </c>
      <c r="G32" s="2956">
        <v>16270</v>
      </c>
      <c r="L32" s="2943" t="s">
        <v>2975</v>
      </c>
      <c r="M32" s="2943" t="s">
        <v>2976</v>
      </c>
      <c r="N32" s="2943" t="s">
        <v>300</v>
      </c>
      <c r="O32" s="2943" t="s">
        <v>2977</v>
      </c>
      <c r="P32" s="2943" t="s">
        <v>299</v>
      </c>
      <c r="Q32" s="2943" t="s">
        <v>2978</v>
      </c>
      <c r="R32" s="2950" t="s">
        <v>2979</v>
      </c>
    </row>
    <row r="33" spans="1:17" ht="14.25" customHeight="1" thickBot="1">
      <c r="A33" s="2943" t="s">
        <v>296</v>
      </c>
      <c r="B33" s="2944" t="s">
        <v>147</v>
      </c>
      <c r="C33" s="2943">
        <v>27300</v>
      </c>
      <c r="D33" s="2943">
        <v>22980</v>
      </c>
      <c r="E33" s="2943">
        <v>24260</v>
      </c>
      <c r="F33" s="2943">
        <v>5860</v>
      </c>
      <c r="G33" s="2956">
        <v>16090</v>
      </c>
      <c r="L33" s="2950" t="s">
        <v>2980</v>
      </c>
      <c r="M33" s="2943" t="s">
        <v>2981</v>
      </c>
      <c r="N33" s="2943" t="s">
        <v>301</v>
      </c>
      <c r="O33" s="2943" t="s">
        <v>2982</v>
      </c>
      <c r="P33" s="2943" t="s">
        <v>2983</v>
      </c>
      <c r="Q33" s="2943" t="s">
        <v>2984</v>
      </c>
    </row>
    <row r="34" spans="1:17" ht="14.25" customHeight="1">
      <c r="A34" s="2943" t="s">
        <v>296</v>
      </c>
      <c r="B34" s="2944" t="s">
        <v>156</v>
      </c>
      <c r="C34" s="2943">
        <v>23090</v>
      </c>
      <c r="D34" s="2943">
        <v>23390</v>
      </c>
      <c r="E34" s="2943">
        <v>23510</v>
      </c>
      <c r="F34" s="2943">
        <v>6700</v>
      </c>
      <c r="G34" s="2956">
        <v>16370</v>
      </c>
      <c r="M34" s="2943" t="s">
        <v>2985</v>
      </c>
      <c r="N34" s="2943" t="s">
        <v>302</v>
      </c>
      <c r="O34" s="2943" t="s">
        <v>2986</v>
      </c>
      <c r="P34" s="2943" t="s">
        <v>2987</v>
      </c>
      <c r="Q34" s="2943" t="s">
        <v>2988</v>
      </c>
    </row>
    <row r="35" spans="1:17" ht="14.25" customHeight="1">
      <c r="A35" s="2943" t="s">
        <v>296</v>
      </c>
      <c r="B35" s="2944" t="s">
        <v>163</v>
      </c>
      <c r="C35" s="2943">
        <v>27270</v>
      </c>
      <c r="D35" s="2943">
        <v>24270</v>
      </c>
      <c r="E35" s="2943">
        <v>24950</v>
      </c>
      <c r="F35" s="2943">
        <v>6600</v>
      </c>
      <c r="G35" s="2956">
        <v>16990</v>
      </c>
      <c r="M35" s="2943" t="s">
        <v>2989</v>
      </c>
      <c r="N35" s="2943" t="s">
        <v>2990</v>
      </c>
      <c r="O35" s="2943" t="s">
        <v>2991</v>
      </c>
      <c r="P35" s="2943" t="s">
        <v>2992</v>
      </c>
      <c r="Q35" s="2943" t="s">
        <v>2993</v>
      </c>
    </row>
    <row r="36" spans="1:17" ht="14.25" customHeight="1">
      <c r="A36" s="2943" t="s">
        <v>296</v>
      </c>
      <c r="B36" s="2944" t="s">
        <v>169</v>
      </c>
      <c r="C36" s="2943">
        <v>23490</v>
      </c>
      <c r="D36" s="2943">
        <v>23020</v>
      </c>
      <c r="E36" s="2943">
        <v>25230</v>
      </c>
      <c r="F36" s="2943">
        <v>6780</v>
      </c>
      <c r="G36" s="2956">
        <v>16120</v>
      </c>
      <c r="M36" s="2943" t="s">
        <v>2994</v>
      </c>
      <c r="N36" s="2943" t="s">
        <v>2995</v>
      </c>
      <c r="O36" s="2943" t="s">
        <v>2996</v>
      </c>
      <c r="P36" s="2943" t="s">
        <v>2997</v>
      </c>
      <c r="Q36" s="2943" t="s">
        <v>2998</v>
      </c>
    </row>
    <row r="37" spans="1:17" ht="14.25" customHeight="1">
      <c r="A37" s="2943" t="s">
        <v>296</v>
      </c>
      <c r="B37" s="2944" t="s">
        <v>176</v>
      </c>
      <c r="C37" s="2943">
        <v>24380</v>
      </c>
      <c r="D37" s="2943">
        <v>22240</v>
      </c>
      <c r="E37" s="2943">
        <v>25980</v>
      </c>
      <c r="F37" s="2943">
        <v>8160</v>
      </c>
      <c r="G37" s="2956">
        <v>15570</v>
      </c>
      <c r="M37" s="2943" t="s">
        <v>2999</v>
      </c>
      <c r="N37" s="2943" t="s">
        <v>3000</v>
      </c>
      <c r="O37" s="2943" t="s">
        <v>3001</v>
      </c>
      <c r="P37" s="2943" t="s">
        <v>3002</v>
      </c>
      <c r="Q37" s="2943" t="s">
        <v>3003</v>
      </c>
    </row>
    <row r="38" spans="1:17" ht="14.25" customHeight="1">
      <c r="A38" s="2943" t="s">
        <v>296</v>
      </c>
      <c r="B38" s="2944" t="s">
        <v>186</v>
      </c>
      <c r="C38" s="2943">
        <v>23120</v>
      </c>
      <c r="D38" s="2943">
        <v>24630</v>
      </c>
      <c r="E38" s="2943">
        <v>25030</v>
      </c>
      <c r="F38" s="2943">
        <v>7710</v>
      </c>
      <c r="G38" s="2956">
        <v>17240</v>
      </c>
      <c r="M38" s="2943" t="s">
        <v>3004</v>
      </c>
      <c r="N38" s="2943" t="s">
        <v>3005</v>
      </c>
      <c r="O38" s="2943" t="s">
        <v>3006</v>
      </c>
      <c r="P38" s="2943" t="s">
        <v>3007</v>
      </c>
      <c r="Q38" s="2943" t="s">
        <v>3008</v>
      </c>
    </row>
    <row r="39" spans="1:17" ht="14.25" customHeight="1">
      <c r="A39" s="2943" t="s">
        <v>296</v>
      </c>
      <c r="B39" s="2944" t="s">
        <v>195</v>
      </c>
      <c r="C39" s="2943">
        <v>22330</v>
      </c>
      <c r="D39" s="2943">
        <v>21140</v>
      </c>
      <c r="E39" s="2943">
        <v>23970</v>
      </c>
      <c r="F39" s="2943">
        <v>7940</v>
      </c>
      <c r="G39" s="2956">
        <v>14790</v>
      </c>
      <c r="M39" s="2943" t="s">
        <v>3009</v>
      </c>
      <c r="N39" s="2943" t="s">
        <v>3010</v>
      </c>
      <c r="O39" s="2943" t="s">
        <v>3011</v>
      </c>
      <c r="P39" s="2943" t="s">
        <v>3012</v>
      </c>
      <c r="Q39" s="2943" t="s">
        <v>3013</v>
      </c>
    </row>
    <row r="40" spans="1:17" ht="14.25" customHeight="1">
      <c r="A40" s="2943" t="s">
        <v>296</v>
      </c>
      <c r="B40" s="2944" t="s">
        <v>202</v>
      </c>
      <c r="C40" s="2943">
        <v>24740</v>
      </c>
      <c r="D40" s="2943">
        <v>24690</v>
      </c>
      <c r="E40" s="2943">
        <v>22610</v>
      </c>
      <c r="F40" s="2943"/>
      <c r="G40" s="2956">
        <v>17280</v>
      </c>
      <c r="M40" s="2943" t="s">
        <v>3014</v>
      </c>
      <c r="N40" s="2943" t="s">
        <v>3015</v>
      </c>
      <c r="O40" s="2943" t="s">
        <v>3016</v>
      </c>
      <c r="P40" s="2943" t="s">
        <v>3017</v>
      </c>
      <c r="Q40" s="2943" t="s">
        <v>3018</v>
      </c>
    </row>
    <row r="41" spans="1:17" ht="14.25" customHeight="1" thickBot="1">
      <c r="A41" s="2943" t="s">
        <v>296</v>
      </c>
      <c r="B41" s="2944" t="s">
        <v>209</v>
      </c>
      <c r="C41" s="2943">
        <v>21220</v>
      </c>
      <c r="D41" s="2943">
        <v>21120</v>
      </c>
      <c r="E41" s="2943">
        <v>22590</v>
      </c>
      <c r="F41" s="2943"/>
      <c r="G41" s="2956">
        <v>14780</v>
      </c>
      <c r="M41" s="2950" t="s">
        <v>3019</v>
      </c>
      <c r="N41" s="2943" t="s">
        <v>3020</v>
      </c>
      <c r="O41" s="2943" t="s">
        <v>3021</v>
      </c>
      <c r="P41" s="2943" t="s">
        <v>3022</v>
      </c>
      <c r="Q41" s="2943" t="s">
        <v>3023</v>
      </c>
    </row>
    <row r="42" spans="1:17" ht="14.25" customHeight="1">
      <c r="A42" s="2943" t="s">
        <v>296</v>
      </c>
      <c r="B42" s="2944" t="s">
        <v>215</v>
      </c>
      <c r="C42" s="2943">
        <v>24800</v>
      </c>
      <c r="D42" s="2943">
        <v>22280</v>
      </c>
      <c r="E42" s="2943">
        <v>24350</v>
      </c>
      <c r="F42" s="2943"/>
      <c r="G42" s="2956">
        <v>15590</v>
      </c>
      <c r="N42" s="2943" t="s">
        <v>3024</v>
      </c>
      <c r="O42" s="2943" t="s">
        <v>3025</v>
      </c>
      <c r="P42" s="2943" t="s">
        <v>3026</v>
      </c>
      <c r="Q42" s="2943" t="s">
        <v>3027</v>
      </c>
    </row>
    <row r="43" spans="1:17" ht="14.25" customHeight="1">
      <c r="A43" s="2943" t="s">
        <v>3028</v>
      </c>
      <c r="B43" s="2944" t="s">
        <v>223</v>
      </c>
      <c r="C43" s="2943">
        <v>21210</v>
      </c>
      <c r="D43" s="2943">
        <v>21160</v>
      </c>
      <c r="E43" s="2943">
        <v>22650</v>
      </c>
      <c r="F43" s="2943"/>
      <c r="G43" s="2956">
        <v>14800</v>
      </c>
      <c r="N43" s="2943" t="s">
        <v>3029</v>
      </c>
      <c r="O43" s="2943" t="s">
        <v>3030</v>
      </c>
      <c r="P43" s="2943" t="s">
        <v>3031</v>
      </c>
      <c r="Q43" s="2943" t="s">
        <v>3032</v>
      </c>
    </row>
    <row r="44" spans="1:17" ht="14.25" customHeight="1" thickBot="1">
      <c r="A44" s="2943" t="s">
        <v>296</v>
      </c>
      <c r="B44" s="2944" t="s">
        <v>231</v>
      </c>
      <c r="C44" s="2943">
        <v>22370</v>
      </c>
      <c r="D44" s="2943">
        <v>23140</v>
      </c>
      <c r="E44" s="2943">
        <v>25090</v>
      </c>
      <c r="F44" s="2943"/>
      <c r="G44" s="2956">
        <v>16190</v>
      </c>
      <c r="N44" s="2943" t="s">
        <v>3033</v>
      </c>
      <c r="O44" s="2943" t="s">
        <v>3034</v>
      </c>
      <c r="P44" s="2950" t="s">
        <v>3035</v>
      </c>
      <c r="Q44" s="2943" t="s">
        <v>3036</v>
      </c>
    </row>
    <row r="45" spans="1:17" ht="14.25" customHeight="1" thickBot="1">
      <c r="A45" s="2943" t="s">
        <v>296</v>
      </c>
      <c r="B45" s="2944" t="s">
        <v>236</v>
      </c>
      <c r="C45" s="2943">
        <v>21240</v>
      </c>
      <c r="D45" s="2943">
        <v>27050</v>
      </c>
      <c r="E45" s="2943">
        <v>28000</v>
      </c>
      <c r="F45" s="2943"/>
      <c r="G45" s="2956">
        <v>18940</v>
      </c>
      <c r="N45" s="2943" t="s">
        <v>3037</v>
      </c>
      <c r="O45" s="2950" t="s">
        <v>3038</v>
      </c>
      <c r="Q45" s="2943" t="s">
        <v>3039</v>
      </c>
    </row>
    <row r="46" spans="1:17" ht="14.25" customHeight="1">
      <c r="A46" s="2943" t="s">
        <v>296</v>
      </c>
      <c r="B46" s="2944" t="s">
        <v>245</v>
      </c>
      <c r="C46" s="2943">
        <v>23240</v>
      </c>
      <c r="D46" s="2943">
        <v>23000</v>
      </c>
      <c r="E46" s="2943">
        <v>24980</v>
      </c>
      <c r="F46" s="2943"/>
      <c r="G46" s="2956">
        <v>16100</v>
      </c>
      <c r="N46" s="2943" t="s">
        <v>3040</v>
      </c>
      <c r="Q46" s="2943" t="s">
        <v>3041</v>
      </c>
    </row>
    <row r="47" spans="1:17" ht="14.25" customHeight="1">
      <c r="A47" s="2943" t="s">
        <v>296</v>
      </c>
      <c r="B47" s="2944" t="s">
        <v>252</v>
      </c>
      <c r="C47" s="2943">
        <v>27150</v>
      </c>
      <c r="D47" s="2943">
        <v>23310</v>
      </c>
      <c r="E47" s="2943">
        <v>25150</v>
      </c>
      <c r="F47" s="2943"/>
      <c r="G47" s="2956">
        <v>16310</v>
      </c>
      <c r="N47" s="2943" t="s">
        <v>3042</v>
      </c>
      <c r="Q47" s="2943" t="s">
        <v>3043</v>
      </c>
    </row>
    <row r="48" spans="1:17" ht="14.25" customHeight="1">
      <c r="A48" s="2943" t="s">
        <v>296</v>
      </c>
      <c r="B48" s="2944" t="s">
        <v>260</v>
      </c>
      <c r="C48" s="2943">
        <v>23100</v>
      </c>
      <c r="D48" s="2943">
        <v>21110</v>
      </c>
      <c r="E48" s="2943">
        <v>23080</v>
      </c>
      <c r="F48" s="2943"/>
      <c r="G48" s="2956">
        <v>14780</v>
      </c>
      <c r="N48" s="2943" t="s">
        <v>3044</v>
      </c>
      <c r="Q48" s="2943" t="s">
        <v>3045</v>
      </c>
    </row>
    <row r="49" spans="1:17" ht="14.25" customHeight="1">
      <c r="A49" s="2943" t="s">
        <v>296</v>
      </c>
      <c r="B49" s="2944" t="s">
        <v>267</v>
      </c>
      <c r="C49" s="2943">
        <v>23400</v>
      </c>
      <c r="D49" s="2943">
        <v>22920</v>
      </c>
      <c r="E49" s="2943">
        <v>24900</v>
      </c>
      <c r="F49" s="2943"/>
      <c r="G49" s="2956">
        <v>16040</v>
      </c>
      <c r="N49" s="2943" t="s">
        <v>3046</v>
      </c>
      <c r="Q49" s="2943" t="s">
        <v>3047</v>
      </c>
    </row>
    <row r="50" spans="1:17" ht="14.25" customHeight="1">
      <c r="A50" s="2943" t="s">
        <v>296</v>
      </c>
      <c r="B50" s="2944" t="s">
        <v>2924</v>
      </c>
      <c r="C50" s="2943">
        <v>21200</v>
      </c>
      <c r="D50" s="2943">
        <v>26540</v>
      </c>
      <c r="E50" s="2943">
        <v>23200</v>
      </c>
      <c r="F50" s="2943"/>
      <c r="G50" s="2956">
        <v>18580</v>
      </c>
      <c r="N50" s="2943" t="s">
        <v>3048</v>
      </c>
      <c r="Q50" s="2944" t="s">
        <v>3049</v>
      </c>
    </row>
    <row r="51" spans="1:17" ht="14.25" customHeight="1" thickBot="1">
      <c r="A51" s="2943" t="s">
        <v>296</v>
      </c>
      <c r="B51" s="2944" t="s">
        <v>2926</v>
      </c>
      <c r="C51" s="2943">
        <v>23000</v>
      </c>
      <c r="D51" s="2943">
        <v>23460</v>
      </c>
      <c r="E51" s="2943">
        <v>25290</v>
      </c>
      <c r="F51" s="2943"/>
      <c r="G51" s="2956">
        <v>16420</v>
      </c>
      <c r="N51" s="2943" t="s">
        <v>3050</v>
      </c>
      <c r="Q51" s="2950" t="s">
        <v>3051</v>
      </c>
    </row>
    <row r="52" spans="1:17" ht="14.25" customHeight="1">
      <c r="A52" s="2943" t="s">
        <v>296</v>
      </c>
      <c r="B52" s="2944" t="s">
        <v>2930</v>
      </c>
      <c r="C52" s="2943">
        <v>26660</v>
      </c>
      <c r="D52" s="2943">
        <v>22350</v>
      </c>
      <c r="E52" s="2943">
        <v>22920</v>
      </c>
      <c r="F52" s="2943"/>
      <c r="G52" s="2956">
        <v>15640</v>
      </c>
      <c r="N52" s="2943" t="s">
        <v>3052</v>
      </c>
    </row>
    <row r="53" spans="1:17" ht="14.25" customHeight="1">
      <c r="A53" s="2943" t="s">
        <v>296</v>
      </c>
      <c r="B53" s="2944" t="s">
        <v>2935</v>
      </c>
      <c r="C53" s="2943">
        <v>23580</v>
      </c>
      <c r="D53" s="2943"/>
      <c r="E53" s="2943">
        <v>24280</v>
      </c>
      <c r="F53" s="2943"/>
      <c r="G53" s="2956"/>
      <c r="N53" s="2943" t="s">
        <v>3053</v>
      </c>
    </row>
    <row r="54" spans="1:17" ht="14.25" customHeight="1" thickBot="1">
      <c r="A54" s="2957" t="s">
        <v>296</v>
      </c>
      <c r="B54" s="2949" t="s">
        <v>2938</v>
      </c>
      <c r="C54" s="2950">
        <v>22460</v>
      </c>
      <c r="D54" s="2950"/>
      <c r="E54" s="2950"/>
      <c r="F54" s="2950"/>
      <c r="G54" s="2958"/>
      <c r="N54" s="2943" t="s">
        <v>3054</v>
      </c>
    </row>
    <row r="55" spans="1:17" ht="14.25" customHeight="1">
      <c r="A55" s="2948" t="s">
        <v>110</v>
      </c>
      <c r="B55" s="2939" t="s">
        <v>3055</v>
      </c>
      <c r="C55" s="2943">
        <v>21970</v>
      </c>
      <c r="D55" s="2943">
        <v>20370</v>
      </c>
      <c r="E55" s="2943">
        <v>20180</v>
      </c>
      <c r="F55" s="2943">
        <v>5730</v>
      </c>
      <c r="G55" s="2943">
        <v>13820</v>
      </c>
      <c r="N55" s="2943" t="s">
        <v>3056</v>
      </c>
    </row>
    <row r="56" spans="1:17" ht="14.25" customHeight="1">
      <c r="A56" s="2943" t="s">
        <v>110</v>
      </c>
      <c r="B56" s="2943" t="s">
        <v>130</v>
      </c>
      <c r="C56" s="2943">
        <v>20470</v>
      </c>
      <c r="D56" s="2943">
        <v>20700</v>
      </c>
      <c r="E56" s="2943">
        <v>20380</v>
      </c>
      <c r="F56" s="2943">
        <v>4760</v>
      </c>
      <c r="G56" s="2943">
        <v>14050</v>
      </c>
      <c r="N56" s="2943" t="s">
        <v>3057</v>
      </c>
    </row>
    <row r="57" spans="1:17" ht="14.25" customHeight="1">
      <c r="A57" s="2943" t="s">
        <v>110</v>
      </c>
      <c r="B57" s="2943" t="s">
        <v>139</v>
      </c>
      <c r="C57" s="2943">
        <v>20790</v>
      </c>
      <c r="D57" s="2943">
        <v>21370</v>
      </c>
      <c r="E57" s="2943">
        <v>20890</v>
      </c>
      <c r="F57" s="2943">
        <v>4910</v>
      </c>
      <c r="G57" s="2943">
        <v>14510</v>
      </c>
      <c r="N57" s="2943" t="s">
        <v>3058</v>
      </c>
    </row>
    <row r="58" spans="1:17" ht="14.25" customHeight="1">
      <c r="A58" s="2943" t="s">
        <v>110</v>
      </c>
      <c r="B58" s="2943" t="s">
        <v>148</v>
      </c>
      <c r="C58" s="2943">
        <v>21460</v>
      </c>
      <c r="D58" s="2943">
        <v>20920</v>
      </c>
      <c r="E58" s="2943">
        <v>23410</v>
      </c>
      <c r="F58" s="2943">
        <v>5100</v>
      </c>
      <c r="G58" s="2943">
        <v>14200</v>
      </c>
      <c r="N58" s="2943" t="s">
        <v>3059</v>
      </c>
    </row>
    <row r="59" spans="1:17" ht="14.25" customHeight="1">
      <c r="A59" s="2943" t="s">
        <v>110</v>
      </c>
      <c r="B59" s="2943" t="s">
        <v>157</v>
      </c>
      <c r="C59" s="2943">
        <v>21000</v>
      </c>
      <c r="D59" s="2943">
        <v>21550</v>
      </c>
      <c r="E59" s="2943">
        <v>21150</v>
      </c>
      <c r="F59" s="2943">
        <v>5250</v>
      </c>
      <c r="G59" s="2943">
        <v>14630</v>
      </c>
      <c r="N59" s="2943" t="s">
        <v>3060</v>
      </c>
    </row>
    <row r="60" spans="1:17" ht="14.25" customHeight="1">
      <c r="A60" s="2943" t="s">
        <v>110</v>
      </c>
      <c r="B60" s="2943" t="s">
        <v>164</v>
      </c>
      <c r="C60" s="2943">
        <v>21640</v>
      </c>
      <c r="D60" s="2943">
        <v>21260</v>
      </c>
      <c r="E60" s="2943">
        <v>24040</v>
      </c>
      <c r="F60" s="2943">
        <v>4470</v>
      </c>
      <c r="G60" s="2943">
        <v>14430</v>
      </c>
      <c r="N60" s="2943" t="s">
        <v>3061</v>
      </c>
    </row>
    <row r="61" spans="1:17" ht="14.25" customHeight="1">
      <c r="A61" s="2943" t="s">
        <v>110</v>
      </c>
      <c r="B61" s="2943" t="s">
        <v>170</v>
      </c>
      <c r="C61" s="2943">
        <v>21330</v>
      </c>
      <c r="D61" s="2943">
        <v>18640</v>
      </c>
      <c r="E61" s="2943">
        <v>21190</v>
      </c>
      <c r="F61" s="2943">
        <v>4180</v>
      </c>
      <c r="G61" s="2943">
        <v>12650</v>
      </c>
      <c r="N61" s="2943" t="s">
        <v>3062</v>
      </c>
    </row>
    <row r="62" spans="1:17" ht="14.25" customHeight="1">
      <c r="A62" s="2943" t="s">
        <v>110</v>
      </c>
      <c r="B62" s="2943" t="s">
        <v>177</v>
      </c>
      <c r="C62" s="2943">
        <v>18710</v>
      </c>
      <c r="D62" s="2943">
        <v>19400</v>
      </c>
      <c r="E62" s="2943">
        <v>23750</v>
      </c>
      <c r="F62" s="2943">
        <v>4860</v>
      </c>
      <c r="G62" s="2943">
        <v>13170</v>
      </c>
      <c r="N62" s="2943" t="s">
        <v>3063</v>
      </c>
    </row>
    <row r="63" spans="1:17" ht="14.25" customHeight="1">
      <c r="A63" s="2943" t="s">
        <v>110</v>
      </c>
      <c r="B63" s="2943" t="s">
        <v>187</v>
      </c>
      <c r="C63" s="2943">
        <v>19480</v>
      </c>
      <c r="D63" s="2943">
        <v>16830</v>
      </c>
      <c r="E63" s="2943">
        <v>21590</v>
      </c>
      <c r="F63" s="2943">
        <v>4560</v>
      </c>
      <c r="G63" s="2943">
        <v>11420</v>
      </c>
      <c r="N63" s="2943" t="s">
        <v>3064</v>
      </c>
    </row>
    <row r="64" spans="1:17" ht="14.25" customHeight="1" thickBot="1">
      <c r="A64" s="2943" t="s">
        <v>110</v>
      </c>
      <c r="B64" s="2943" t="s">
        <v>196</v>
      </c>
      <c r="C64" s="2943">
        <v>16920</v>
      </c>
      <c r="D64" s="2943">
        <v>19190</v>
      </c>
      <c r="E64" s="2943">
        <v>22200</v>
      </c>
      <c r="F64" s="2943">
        <v>4390</v>
      </c>
      <c r="G64" s="2943">
        <v>13030</v>
      </c>
      <c r="N64" s="2950" t="s">
        <v>3065</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2936</v>
      </c>
      <c r="C78" s="2943">
        <v>19820</v>
      </c>
      <c r="D78" s="2943">
        <v>19780</v>
      </c>
      <c r="E78" s="2943">
        <v>18560</v>
      </c>
      <c r="F78" s="2943"/>
      <c r="G78" s="2943">
        <v>13430</v>
      </c>
    </row>
    <row r="79" spans="1:7" s="2777" customFormat="1" ht="14.25" customHeight="1">
      <c r="A79" s="2943" t="s">
        <v>110</v>
      </c>
      <c r="B79" s="2943" t="s">
        <v>2939</v>
      </c>
      <c r="C79" s="2943">
        <v>21660</v>
      </c>
      <c r="D79" s="2943">
        <v>18000</v>
      </c>
      <c r="E79" s="2943">
        <v>22570</v>
      </c>
      <c r="F79" s="2943"/>
      <c r="G79" s="2943">
        <v>12220</v>
      </c>
    </row>
    <row r="80" spans="1:7" s="2777" customFormat="1" ht="14.25" customHeight="1">
      <c r="A80" s="2943" t="s">
        <v>110</v>
      </c>
      <c r="B80" s="2943" t="s">
        <v>2943</v>
      </c>
      <c r="C80" s="2943">
        <v>19850</v>
      </c>
      <c r="D80" s="2943"/>
      <c r="E80" s="2943">
        <v>21700</v>
      </c>
      <c r="F80" s="2943"/>
      <c r="G80" s="2943"/>
    </row>
    <row r="81" spans="1:7" s="2777" customFormat="1" ht="14.25" customHeight="1">
      <c r="A81" s="2943" t="s">
        <v>110</v>
      </c>
      <c r="B81" s="2943" t="s">
        <v>2948</v>
      </c>
      <c r="C81" s="2943">
        <v>18080</v>
      </c>
      <c r="D81" s="2943"/>
      <c r="E81" s="2943">
        <v>20900</v>
      </c>
      <c r="F81" s="2943"/>
      <c r="G81" s="2943"/>
    </row>
    <row r="82" spans="1:7" s="2777" customFormat="1" ht="14.25" customHeight="1">
      <c r="A82" s="2943" t="s">
        <v>110</v>
      </c>
      <c r="B82" s="2943" t="s">
        <v>2955</v>
      </c>
      <c r="C82" s="2943"/>
      <c r="D82" s="2943"/>
      <c r="E82" s="2943">
        <v>20840</v>
      </c>
      <c r="F82" s="2943"/>
      <c r="G82" s="2943"/>
    </row>
    <row r="83" spans="1:7" s="2777" customFormat="1" ht="14.25" customHeight="1">
      <c r="A83" s="2943" t="s">
        <v>110</v>
      </c>
      <c r="B83" s="2943" t="s">
        <v>3066</v>
      </c>
      <c r="C83" s="2943"/>
      <c r="D83" s="2943"/>
      <c r="E83" s="2943"/>
      <c r="F83" s="2943">
        <v>4770</v>
      </c>
      <c r="G83" s="2943"/>
    </row>
    <row r="84" spans="1:7" s="2777" customFormat="1" ht="14.25" customHeight="1">
      <c r="A84" s="2943" t="s">
        <v>110</v>
      </c>
      <c r="B84" s="2943" t="s">
        <v>3067</v>
      </c>
      <c r="C84" s="2943"/>
      <c r="D84" s="2943"/>
      <c r="E84" s="2943"/>
      <c r="F84" s="2943">
        <v>4600</v>
      </c>
      <c r="G84" s="2943"/>
    </row>
    <row r="85" spans="1:7" s="2777" customFormat="1" ht="14.25" customHeight="1">
      <c r="A85" s="2943" t="s">
        <v>110</v>
      </c>
      <c r="B85" s="2943" t="s">
        <v>3068</v>
      </c>
      <c r="C85" s="2943"/>
      <c r="D85" s="2943"/>
      <c r="E85" s="2943"/>
      <c r="F85" s="2943">
        <v>4680</v>
      </c>
      <c r="G85" s="2943"/>
    </row>
    <row r="86" spans="1:7" s="2777" customFormat="1" ht="14.25" customHeight="1" thickBot="1">
      <c r="A86" s="2951" t="s">
        <v>110</v>
      </c>
      <c r="B86" s="2953" t="s">
        <v>3069</v>
      </c>
      <c r="C86" s="2954">
        <v>16610</v>
      </c>
      <c r="D86" s="2954">
        <v>16540</v>
      </c>
      <c r="E86" s="2954">
        <v>18850</v>
      </c>
      <c r="F86" s="2954"/>
      <c r="G86" s="2954">
        <v>11220</v>
      </c>
    </row>
    <row r="87" spans="1:7" s="2777" customFormat="1" ht="14.25" customHeight="1">
      <c r="A87" s="2948" t="s">
        <v>303</v>
      </c>
      <c r="B87" s="2939" t="s">
        <v>3070</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2949</v>
      </c>
      <c r="C113" s="2943">
        <v>15520</v>
      </c>
      <c r="D113" s="2943">
        <v>15450</v>
      </c>
      <c r="E113" s="2943"/>
      <c r="F113" s="2943"/>
      <c r="G113" s="2956">
        <v>10210</v>
      </c>
    </row>
    <row r="114" spans="1:7" s="2777" customFormat="1" ht="14.25" customHeight="1">
      <c r="A114" s="2943" t="s">
        <v>303</v>
      </c>
      <c r="B114" s="2943" t="s">
        <v>2956</v>
      </c>
      <c r="C114" s="2943">
        <v>13110</v>
      </c>
      <c r="D114" s="2943">
        <v>13050</v>
      </c>
      <c r="E114" s="2943"/>
      <c r="F114" s="2943"/>
      <c r="G114" s="2956">
        <v>8620</v>
      </c>
    </row>
    <row r="115" spans="1:7" s="2777" customFormat="1" ht="14.25" customHeight="1">
      <c r="A115" s="2943" t="s">
        <v>303</v>
      </c>
      <c r="B115" s="2943" t="s">
        <v>2962</v>
      </c>
      <c r="C115" s="2943">
        <v>12460</v>
      </c>
      <c r="D115" s="2943">
        <v>12390</v>
      </c>
      <c r="E115" s="2943"/>
      <c r="F115" s="2943"/>
      <c r="G115" s="2956">
        <v>8190</v>
      </c>
    </row>
    <row r="116" spans="1:7" s="2777" customFormat="1" ht="14.25" customHeight="1">
      <c r="A116" s="2943" t="s">
        <v>303</v>
      </c>
      <c r="B116" s="2943" t="s">
        <v>2969</v>
      </c>
      <c r="C116" s="2943">
        <v>13580</v>
      </c>
      <c r="D116" s="2943">
        <v>13520</v>
      </c>
      <c r="E116" s="2943"/>
      <c r="F116" s="2943"/>
      <c r="G116" s="2956">
        <v>8930</v>
      </c>
    </row>
    <row r="117" spans="1:7" s="2777" customFormat="1" ht="14.25" customHeight="1">
      <c r="A117" s="2943" t="s">
        <v>303</v>
      </c>
      <c r="B117" s="2943" t="s">
        <v>2976</v>
      </c>
      <c r="C117" s="2943">
        <v>17120</v>
      </c>
      <c r="D117" s="2943">
        <v>17040</v>
      </c>
      <c r="E117" s="2943"/>
      <c r="F117" s="2943"/>
      <c r="G117" s="2956">
        <v>11260</v>
      </c>
    </row>
    <row r="118" spans="1:7" s="2777" customFormat="1" ht="14.25" customHeight="1">
      <c r="A118" s="2943" t="s">
        <v>303</v>
      </c>
      <c r="B118" s="2943" t="s">
        <v>2981</v>
      </c>
      <c r="C118" s="2943">
        <v>14860</v>
      </c>
      <c r="D118" s="2943">
        <v>14790</v>
      </c>
      <c r="E118" s="2943"/>
      <c r="F118" s="2943"/>
      <c r="G118" s="2956">
        <v>9780</v>
      </c>
    </row>
    <row r="119" spans="1:7" s="2777" customFormat="1" ht="14.25" customHeight="1">
      <c r="A119" s="2943" t="s">
        <v>303</v>
      </c>
      <c r="B119" s="2943" t="s">
        <v>2985</v>
      </c>
      <c r="C119" s="2943">
        <v>16470</v>
      </c>
      <c r="D119" s="2943">
        <v>16400</v>
      </c>
      <c r="E119" s="2943"/>
      <c r="F119" s="2943"/>
      <c r="G119" s="2956">
        <v>10840</v>
      </c>
    </row>
    <row r="120" spans="1:7" s="2777" customFormat="1" ht="14.25" customHeight="1">
      <c r="A120" s="2943" t="s">
        <v>303</v>
      </c>
      <c r="B120" s="2943" t="s">
        <v>3071</v>
      </c>
      <c r="C120" s="2943"/>
      <c r="D120" s="2943"/>
      <c r="E120" s="2943"/>
      <c r="F120" s="2943">
        <v>4160</v>
      </c>
      <c r="G120" s="2956"/>
    </row>
    <row r="121" spans="1:7" s="2777" customFormat="1" ht="14.25" customHeight="1">
      <c r="A121" s="2943" t="s">
        <v>303</v>
      </c>
      <c r="B121" s="2943" t="s">
        <v>3072</v>
      </c>
      <c r="C121" s="2943"/>
      <c r="D121" s="2943"/>
      <c r="E121" s="2943"/>
      <c r="F121" s="2943">
        <v>3880</v>
      </c>
      <c r="G121" s="2956"/>
    </row>
    <row r="122" spans="1:7" s="2777" customFormat="1" ht="14.25" customHeight="1">
      <c r="A122" s="2943" t="s">
        <v>303</v>
      </c>
      <c r="B122" s="2943" t="s">
        <v>3073</v>
      </c>
      <c r="C122" s="2943">
        <v>13750</v>
      </c>
      <c r="D122" s="2943">
        <v>13680</v>
      </c>
      <c r="E122" s="2943">
        <v>16460</v>
      </c>
      <c r="F122" s="2943">
        <v>2880</v>
      </c>
      <c r="G122" s="2956">
        <v>9040</v>
      </c>
    </row>
    <row r="123" spans="1:7" s="2777" customFormat="1" ht="14.25" customHeight="1">
      <c r="A123" s="2943" t="s">
        <v>303</v>
      </c>
      <c r="B123" s="2943" t="s">
        <v>3004</v>
      </c>
      <c r="C123" s="2943">
        <v>13590</v>
      </c>
      <c r="D123" s="2943">
        <v>13520</v>
      </c>
      <c r="E123" s="2943">
        <v>16290</v>
      </c>
      <c r="F123" s="2943">
        <v>2790</v>
      </c>
      <c r="G123" s="2956">
        <v>8930</v>
      </c>
    </row>
    <row r="124" spans="1:7" s="2777" customFormat="1" ht="14.25" customHeight="1">
      <c r="A124" s="2943" t="s">
        <v>303</v>
      </c>
      <c r="B124" s="2943" t="s">
        <v>3009</v>
      </c>
      <c r="C124" s="2943">
        <v>13400</v>
      </c>
      <c r="D124" s="2943">
        <v>13320</v>
      </c>
      <c r="E124" s="2943">
        <v>16100</v>
      </c>
      <c r="F124" s="2943">
        <v>2320</v>
      </c>
      <c r="G124" s="2956">
        <v>8800</v>
      </c>
    </row>
    <row r="125" spans="1:7" s="2777" customFormat="1" ht="14.25" customHeight="1">
      <c r="A125" s="2943" t="s">
        <v>303</v>
      </c>
      <c r="B125" s="2943" t="s">
        <v>3014</v>
      </c>
      <c r="C125" s="2943">
        <v>12860</v>
      </c>
      <c r="D125" s="2943">
        <v>12790</v>
      </c>
      <c r="E125" s="2943">
        <v>15370</v>
      </c>
      <c r="F125" s="2943">
        <v>2280</v>
      </c>
      <c r="G125" s="2956">
        <v>8450</v>
      </c>
    </row>
    <row r="126" spans="1:7" s="2777" customFormat="1" ht="14.25" customHeight="1" thickBot="1">
      <c r="A126" s="2957" t="s">
        <v>303</v>
      </c>
      <c r="B126" s="2950" t="s">
        <v>3019</v>
      </c>
      <c r="C126" s="2950">
        <v>12960</v>
      </c>
      <c r="D126" s="2950">
        <v>12890</v>
      </c>
      <c r="E126" s="2950">
        <v>15530</v>
      </c>
      <c r="F126" s="2950">
        <v>2910</v>
      </c>
      <c r="G126" s="2958">
        <v>8520</v>
      </c>
    </row>
    <row r="127" spans="1:7" s="2777" customFormat="1" ht="14.25" customHeight="1">
      <c r="A127" s="2948" t="s">
        <v>29</v>
      </c>
      <c r="B127" s="2939" t="s">
        <v>3074</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3075</v>
      </c>
      <c r="C148" s="2943">
        <v>10370</v>
      </c>
      <c r="D148" s="2943">
        <v>10310</v>
      </c>
      <c r="E148" s="2943">
        <v>12970</v>
      </c>
      <c r="F148" s="2943"/>
      <c r="G148" s="2943">
        <v>6630</v>
      </c>
    </row>
    <row r="149" spans="1:7" s="2777" customFormat="1" ht="14.25" customHeight="1">
      <c r="A149" s="2943" t="s">
        <v>29</v>
      </c>
      <c r="B149" s="2943" t="s">
        <v>3076</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2950</v>
      </c>
      <c r="C153" s="2943">
        <v>10880</v>
      </c>
      <c r="D153" s="2943">
        <v>10820</v>
      </c>
      <c r="E153" s="2943">
        <v>13660</v>
      </c>
      <c r="F153" s="2943">
        <v>2260</v>
      </c>
      <c r="G153" s="2943">
        <v>6970</v>
      </c>
    </row>
    <row r="154" spans="1:7" s="2777" customFormat="1" ht="14.25" customHeight="1">
      <c r="A154" s="2943" t="s">
        <v>29</v>
      </c>
      <c r="B154" s="2943" t="s">
        <v>3077</v>
      </c>
      <c r="C154" s="2943">
        <v>11220</v>
      </c>
      <c r="D154" s="2943">
        <v>11160</v>
      </c>
      <c r="E154" s="2943">
        <v>14130</v>
      </c>
      <c r="F154" s="2943">
        <v>2230</v>
      </c>
      <c r="G154" s="2943">
        <v>7180</v>
      </c>
    </row>
    <row r="155" spans="1:7" s="2777" customFormat="1" ht="14.25" customHeight="1">
      <c r="A155" s="2943" t="s">
        <v>29</v>
      </c>
      <c r="B155" s="2943" t="s">
        <v>2963</v>
      </c>
      <c r="C155" s="2943">
        <v>10430</v>
      </c>
      <c r="D155" s="2943">
        <v>10380</v>
      </c>
      <c r="E155" s="2943">
        <v>13140</v>
      </c>
      <c r="F155" s="2943">
        <v>2080</v>
      </c>
      <c r="G155" s="2943">
        <v>6650</v>
      </c>
    </row>
    <row r="156" spans="1:7" s="2777" customFormat="1" ht="14.25" customHeight="1">
      <c r="A156" s="2943" t="s">
        <v>29</v>
      </c>
      <c r="B156" s="2943" t="s">
        <v>3078</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3079</v>
      </c>
      <c r="C160" s="2943">
        <v>11180</v>
      </c>
      <c r="D160" s="2943">
        <v>11140</v>
      </c>
      <c r="E160" s="2943">
        <v>14050</v>
      </c>
      <c r="F160" s="2943">
        <v>2270</v>
      </c>
      <c r="G160" s="2943">
        <v>7170</v>
      </c>
    </row>
    <row r="161" spans="1:7" s="2777" customFormat="1" ht="14.25" customHeight="1">
      <c r="A161" s="2943" t="s">
        <v>29</v>
      </c>
      <c r="B161" s="2943" t="s">
        <v>2995</v>
      </c>
      <c r="C161" s="2943">
        <v>11160</v>
      </c>
      <c r="D161" s="2943">
        <v>11120</v>
      </c>
      <c r="E161" s="2943">
        <v>14020</v>
      </c>
      <c r="F161" s="2943">
        <v>2150</v>
      </c>
      <c r="G161" s="2943">
        <v>7160</v>
      </c>
    </row>
    <row r="162" spans="1:7" s="2777" customFormat="1" ht="14.25" customHeight="1">
      <c r="A162" s="2943" t="s">
        <v>29</v>
      </c>
      <c r="B162" s="2943" t="s">
        <v>3000</v>
      </c>
      <c r="C162" s="2943">
        <v>9620</v>
      </c>
      <c r="D162" s="2943">
        <v>9570</v>
      </c>
      <c r="E162" s="2943">
        <v>12320</v>
      </c>
      <c r="F162" s="2943">
        <v>2010</v>
      </c>
      <c r="G162" s="2943">
        <v>6160</v>
      </c>
    </row>
    <row r="163" spans="1:7" s="2777" customFormat="1" ht="14.25" customHeight="1">
      <c r="A163" s="2943" t="s">
        <v>29</v>
      </c>
      <c r="B163" s="2943" t="s">
        <v>3005</v>
      </c>
      <c r="C163" s="2943">
        <v>9320</v>
      </c>
      <c r="D163" s="2943">
        <v>9270</v>
      </c>
      <c r="E163" s="2943">
        <v>11790</v>
      </c>
      <c r="F163" s="2943">
        <v>1920</v>
      </c>
      <c r="G163" s="2943">
        <v>5960</v>
      </c>
    </row>
    <row r="164" spans="1:7" s="2777" customFormat="1" ht="14.25" customHeight="1">
      <c r="A164" s="2943" t="s">
        <v>29</v>
      </c>
      <c r="B164" s="2943" t="s">
        <v>3010</v>
      </c>
      <c r="C164" s="2943"/>
      <c r="D164" s="2943"/>
      <c r="E164" s="2943"/>
      <c r="F164" s="2943">
        <v>1980</v>
      </c>
      <c r="G164" s="2943"/>
    </row>
    <row r="165" spans="1:7" s="2777" customFormat="1" ht="14.25" customHeight="1">
      <c r="A165" s="2943" t="s">
        <v>29</v>
      </c>
      <c r="B165" s="2943" t="s">
        <v>3080</v>
      </c>
      <c r="C165" s="2943">
        <v>11060</v>
      </c>
      <c r="D165" s="2943">
        <v>11030</v>
      </c>
      <c r="E165" s="2943">
        <v>13850</v>
      </c>
      <c r="F165" s="2943">
        <v>2170</v>
      </c>
      <c r="G165" s="2943">
        <v>7090</v>
      </c>
    </row>
    <row r="166" spans="1:7" s="2777" customFormat="1" ht="14.25" customHeight="1">
      <c r="A166" s="2943" t="s">
        <v>29</v>
      </c>
      <c r="B166" s="2943" t="s">
        <v>3020</v>
      </c>
      <c r="C166" s="2943">
        <v>11050</v>
      </c>
      <c r="D166" s="2943">
        <v>11010</v>
      </c>
      <c r="E166" s="2943">
        <v>13920</v>
      </c>
      <c r="F166" s="2943">
        <v>2140</v>
      </c>
      <c r="G166" s="2943">
        <v>7080</v>
      </c>
    </row>
    <row r="167" spans="1:7" s="2777" customFormat="1" ht="14.25" customHeight="1">
      <c r="A167" s="2943" t="s">
        <v>29</v>
      </c>
      <c r="B167" s="2943" t="s">
        <v>3024</v>
      </c>
      <c r="C167" s="2943">
        <v>10930</v>
      </c>
      <c r="D167" s="2943">
        <v>10890</v>
      </c>
      <c r="E167" s="2943">
        <v>13790</v>
      </c>
      <c r="F167" s="2943">
        <v>2010</v>
      </c>
      <c r="G167" s="2943">
        <v>7000</v>
      </c>
    </row>
    <row r="168" spans="1:7" s="2777" customFormat="1" ht="14.25" customHeight="1">
      <c r="A168" s="2943" t="s">
        <v>29</v>
      </c>
      <c r="B168" s="2943" t="s">
        <v>3029</v>
      </c>
      <c r="C168" s="2943">
        <v>9420</v>
      </c>
      <c r="D168" s="2943">
        <v>9380</v>
      </c>
      <c r="E168" s="2943">
        <v>11970</v>
      </c>
      <c r="F168" s="2943"/>
      <c r="G168" s="2943">
        <v>6040</v>
      </c>
    </row>
    <row r="169" spans="1:7" s="2777" customFormat="1" ht="14.25" customHeight="1">
      <c r="A169" s="2943" t="s">
        <v>29</v>
      </c>
      <c r="B169" s="2943" t="s">
        <v>3081</v>
      </c>
      <c r="C169" s="2943"/>
      <c r="D169" s="2943"/>
      <c r="E169" s="2943"/>
      <c r="F169" s="2943">
        <v>2880</v>
      </c>
      <c r="G169" s="2943"/>
    </row>
    <row r="170" spans="1:7" s="2777" customFormat="1" ht="14.25" customHeight="1">
      <c r="A170" s="2943" t="s">
        <v>29</v>
      </c>
      <c r="B170" s="2943" t="s">
        <v>3037</v>
      </c>
      <c r="C170" s="2943"/>
      <c r="D170" s="2943"/>
      <c r="E170" s="2943"/>
      <c r="F170" s="2943">
        <v>2880</v>
      </c>
      <c r="G170" s="2943"/>
    </row>
    <row r="171" spans="1:7" s="2777" customFormat="1" ht="14.25" customHeight="1">
      <c r="A171" s="2943" t="s">
        <v>29</v>
      </c>
      <c r="B171" s="2943" t="s">
        <v>3040</v>
      </c>
      <c r="C171" s="2943"/>
      <c r="D171" s="2943"/>
      <c r="E171" s="2943"/>
      <c r="F171" s="2943">
        <v>2880</v>
      </c>
      <c r="G171" s="2943"/>
    </row>
    <row r="172" spans="1:7" s="2777" customFormat="1" ht="14.25" customHeight="1">
      <c r="A172" s="2943" t="s">
        <v>29</v>
      </c>
      <c r="B172" s="2943" t="s">
        <v>3042</v>
      </c>
      <c r="C172" s="2943"/>
      <c r="D172" s="2943"/>
      <c r="E172" s="2943"/>
      <c r="F172" s="2943">
        <v>2880</v>
      </c>
      <c r="G172" s="2943"/>
    </row>
    <row r="173" spans="1:7" s="2777" customFormat="1" ht="14.25" customHeight="1">
      <c r="A173" s="2943" t="s">
        <v>29</v>
      </c>
      <c r="B173" s="2943" t="s">
        <v>3044</v>
      </c>
      <c r="C173" s="2943"/>
      <c r="D173" s="2943"/>
      <c r="E173" s="2943"/>
      <c r="F173" s="2943">
        <v>2150</v>
      </c>
      <c r="G173" s="2943"/>
    </row>
    <row r="174" spans="1:7" s="2777" customFormat="1" ht="14.25" customHeight="1">
      <c r="A174" s="2943" t="s">
        <v>29</v>
      </c>
      <c r="B174" s="2943" t="s">
        <v>3046</v>
      </c>
      <c r="C174" s="2943"/>
      <c r="D174" s="2943"/>
      <c r="E174" s="2943"/>
      <c r="F174" s="2943">
        <v>2030</v>
      </c>
      <c r="G174" s="2943"/>
    </row>
    <row r="175" spans="1:7" s="2777" customFormat="1" ht="14.25" customHeight="1">
      <c r="A175" s="2943" t="s">
        <v>29</v>
      </c>
      <c r="B175" s="2943" t="s">
        <v>3048</v>
      </c>
      <c r="C175" s="2943"/>
      <c r="D175" s="2943"/>
      <c r="E175" s="2943"/>
      <c r="F175" s="2943">
        <v>2780</v>
      </c>
      <c r="G175" s="2943"/>
    </row>
    <row r="176" spans="1:7" s="2777" customFormat="1" ht="14.25" customHeight="1">
      <c r="A176" s="2943" t="s">
        <v>29</v>
      </c>
      <c r="B176" s="2943" t="s">
        <v>3050</v>
      </c>
      <c r="C176" s="2943"/>
      <c r="D176" s="2943"/>
      <c r="E176" s="2943"/>
      <c r="F176" s="2943">
        <v>2780</v>
      </c>
      <c r="G176" s="2943"/>
    </row>
    <row r="177" spans="1:7" s="2777" customFormat="1" ht="14.25" customHeight="1">
      <c r="A177" s="2943" t="s">
        <v>29</v>
      </c>
      <c r="B177" s="2943" t="s">
        <v>3082</v>
      </c>
      <c r="C177" s="2943"/>
      <c r="D177" s="2943"/>
      <c r="E177" s="2943"/>
      <c r="F177" s="2943">
        <v>2780</v>
      </c>
      <c r="G177" s="2943"/>
    </row>
    <row r="178" spans="1:7" s="2777" customFormat="1" ht="14.25" customHeight="1">
      <c r="A178" s="2943" t="s">
        <v>29</v>
      </c>
      <c r="B178" s="2943" t="s">
        <v>3083</v>
      </c>
      <c r="C178" s="2943"/>
      <c r="D178" s="2943"/>
      <c r="E178" s="2943"/>
      <c r="F178" s="2943">
        <v>2060</v>
      </c>
      <c r="G178" s="2943"/>
    </row>
    <row r="179" spans="1:7" s="2777" customFormat="1" ht="14.25" customHeight="1">
      <c r="A179" s="2943" t="s">
        <v>29</v>
      </c>
      <c r="B179" s="2943" t="s">
        <v>3084</v>
      </c>
      <c r="C179" s="2943"/>
      <c r="D179" s="2943"/>
      <c r="E179" s="2943"/>
      <c r="F179" s="2943">
        <v>2120</v>
      </c>
      <c r="G179" s="2943"/>
    </row>
    <row r="180" spans="1:7" s="2777" customFormat="1" ht="14.25" customHeight="1">
      <c r="A180" s="2943" t="s">
        <v>29</v>
      </c>
      <c r="B180" s="2943" t="s">
        <v>3056</v>
      </c>
      <c r="C180" s="2943"/>
      <c r="D180" s="2943"/>
      <c r="E180" s="2943"/>
      <c r="F180" s="2943">
        <v>2340</v>
      </c>
      <c r="G180" s="2943"/>
    </row>
    <row r="181" spans="1:7" s="2777" customFormat="1" ht="14.25" customHeight="1">
      <c r="A181" s="2943" t="s">
        <v>29</v>
      </c>
      <c r="B181" s="2943" t="s">
        <v>3057</v>
      </c>
      <c r="C181" s="2943"/>
      <c r="D181" s="2943"/>
      <c r="E181" s="2943"/>
      <c r="F181" s="2943">
        <v>2340</v>
      </c>
      <c r="G181" s="2943"/>
    </row>
    <row r="182" spans="1:7" s="2777" customFormat="1" ht="14.25" customHeight="1">
      <c r="A182" s="2943" t="s">
        <v>29</v>
      </c>
      <c r="B182" s="2943" t="s">
        <v>3058</v>
      </c>
      <c r="C182" s="2943"/>
      <c r="D182" s="2943"/>
      <c r="E182" s="2943"/>
      <c r="F182" s="2943">
        <v>2340</v>
      </c>
      <c r="G182" s="2943"/>
    </row>
    <row r="183" spans="1:7" s="2777" customFormat="1" ht="14.25" customHeight="1">
      <c r="A183" s="2943" t="s">
        <v>29</v>
      </c>
      <c r="B183" s="2943" t="s">
        <v>3059</v>
      </c>
      <c r="C183" s="2943"/>
      <c r="D183" s="2943"/>
      <c r="E183" s="2943"/>
      <c r="F183" s="2943">
        <v>2340</v>
      </c>
      <c r="G183" s="2943"/>
    </row>
    <row r="184" spans="1:7" s="2777" customFormat="1" ht="14.25" customHeight="1">
      <c r="A184" s="2943" t="s">
        <v>29</v>
      </c>
      <c r="B184" s="2943" t="s">
        <v>3060</v>
      </c>
      <c r="C184" s="2943"/>
      <c r="D184" s="2943"/>
      <c r="E184" s="2943"/>
      <c r="F184" s="2943">
        <v>2340</v>
      </c>
      <c r="G184" s="2943"/>
    </row>
    <row r="185" spans="1:7" s="2777" customFormat="1" ht="14.25" customHeight="1">
      <c r="A185" s="2943" t="s">
        <v>29</v>
      </c>
      <c r="B185" s="2943" t="s">
        <v>3061</v>
      </c>
      <c r="C185" s="2943"/>
      <c r="D185" s="2943"/>
      <c r="E185" s="2943"/>
      <c r="F185" s="2943">
        <v>2530</v>
      </c>
      <c r="G185" s="2943"/>
    </row>
    <row r="186" spans="1:7" s="2777" customFormat="1" ht="14.25" customHeight="1">
      <c r="A186" s="2943" t="s">
        <v>29</v>
      </c>
      <c r="B186" s="2943" t="s">
        <v>3062</v>
      </c>
      <c r="C186" s="2943"/>
      <c r="D186" s="2943"/>
      <c r="E186" s="2943"/>
      <c r="F186" s="2943">
        <v>2550</v>
      </c>
      <c r="G186" s="2943"/>
    </row>
    <row r="187" spans="1:7" s="2777" customFormat="1" ht="14.25" customHeight="1">
      <c r="A187" s="2943" t="s">
        <v>29</v>
      </c>
      <c r="B187" s="2943" t="s">
        <v>3063</v>
      </c>
      <c r="C187" s="2943"/>
      <c r="D187" s="2943"/>
      <c r="E187" s="2943"/>
      <c r="F187" s="2943">
        <v>2070</v>
      </c>
      <c r="G187" s="2943"/>
    </row>
    <row r="188" spans="1:7" s="2777" customFormat="1" ht="14.25" customHeight="1">
      <c r="A188" s="2943" t="s">
        <v>29</v>
      </c>
      <c r="B188" s="2943" t="s">
        <v>3064</v>
      </c>
      <c r="C188" s="2943"/>
      <c r="D188" s="2943"/>
      <c r="E188" s="2943"/>
      <c r="F188" s="2943">
        <v>2340</v>
      </c>
      <c r="G188" s="2943"/>
    </row>
    <row r="189" spans="1:7" s="2777" customFormat="1" ht="14.25" customHeight="1" thickBot="1">
      <c r="A189" s="2951" t="s">
        <v>29</v>
      </c>
      <c r="B189" s="2954" t="s">
        <v>3065</v>
      </c>
      <c r="C189" s="2954"/>
      <c r="D189" s="2954"/>
      <c r="E189" s="2954"/>
      <c r="F189" s="2954">
        <v>2050</v>
      </c>
      <c r="G189" s="2954"/>
    </row>
    <row r="190" spans="1:7" s="2777" customFormat="1" ht="14.25" customHeight="1">
      <c r="A190" s="2948" t="s">
        <v>304</v>
      </c>
      <c r="B190" s="2939" t="s">
        <v>3085</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3086</v>
      </c>
      <c r="C199" s="2943">
        <v>8690</v>
      </c>
      <c r="D199" s="2943">
        <v>8630</v>
      </c>
      <c r="E199" s="2943">
        <v>11350</v>
      </c>
      <c r="F199" s="2943">
        <v>1600</v>
      </c>
      <c r="G199" s="2956">
        <v>5450</v>
      </c>
    </row>
    <row r="200" spans="1:7" s="2777" customFormat="1" ht="14.25" customHeight="1">
      <c r="A200" s="2943" t="s">
        <v>304</v>
      </c>
      <c r="B200" s="2943" t="s">
        <v>2897</v>
      </c>
      <c r="C200" s="2943"/>
      <c r="D200" s="2943"/>
      <c r="E200" s="2943"/>
      <c r="F200" s="2943">
        <v>1510</v>
      </c>
      <c r="G200" s="2956"/>
    </row>
    <row r="201" spans="1:7" s="2777" customFormat="1" ht="14.25" customHeight="1">
      <c r="A201" s="2943" t="s">
        <v>304</v>
      </c>
      <c r="B201" s="2943" t="s">
        <v>3087</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3088</v>
      </c>
      <c r="C203" s="2943">
        <v>8130</v>
      </c>
      <c r="D203" s="2943">
        <v>8070</v>
      </c>
      <c r="E203" s="2943">
        <v>10820</v>
      </c>
      <c r="F203" s="2943">
        <v>1690</v>
      </c>
      <c r="G203" s="2956">
        <v>5100</v>
      </c>
    </row>
    <row r="204" spans="1:7" s="2777" customFormat="1" ht="14.25" customHeight="1">
      <c r="A204" s="2943" t="s">
        <v>304</v>
      </c>
      <c r="B204" s="2943" t="s">
        <v>2908</v>
      </c>
      <c r="C204" s="2943">
        <v>8350</v>
      </c>
      <c r="D204" s="2943">
        <v>8290</v>
      </c>
      <c r="E204" s="2943">
        <v>11080</v>
      </c>
      <c r="F204" s="2943">
        <v>1450</v>
      </c>
      <c r="G204" s="2956">
        <v>5240</v>
      </c>
    </row>
    <row r="205" spans="1:7" s="2777" customFormat="1" ht="14.25" customHeight="1">
      <c r="A205" s="2943" t="s">
        <v>304</v>
      </c>
      <c r="B205" s="2943" t="s">
        <v>2910</v>
      </c>
      <c r="C205" s="2943">
        <v>7190</v>
      </c>
      <c r="D205" s="2943">
        <v>7130</v>
      </c>
      <c r="E205" s="2943">
        <v>9490</v>
      </c>
      <c r="F205" s="2943">
        <v>1470</v>
      </c>
      <c r="G205" s="2956">
        <v>4510</v>
      </c>
    </row>
    <row r="206" spans="1:7" s="2777" customFormat="1" ht="14.25" customHeight="1">
      <c r="A206" s="2943" t="s">
        <v>304</v>
      </c>
      <c r="B206" s="2943" t="s">
        <v>2913</v>
      </c>
      <c r="C206" s="2943">
        <v>7000</v>
      </c>
      <c r="D206" s="2943">
        <v>6950</v>
      </c>
      <c r="E206" s="2943">
        <v>9170</v>
      </c>
      <c r="F206" s="2943">
        <v>1400</v>
      </c>
      <c r="G206" s="2956">
        <v>4380</v>
      </c>
    </row>
    <row r="207" spans="1:7" s="2777" customFormat="1" ht="14.25" customHeight="1">
      <c r="A207" s="2943" t="s">
        <v>304</v>
      </c>
      <c r="B207" s="2943" t="s">
        <v>2915</v>
      </c>
      <c r="C207" s="2943">
        <v>6950</v>
      </c>
      <c r="D207" s="2943">
        <v>6900</v>
      </c>
      <c r="E207" s="2943">
        <v>9110</v>
      </c>
      <c r="F207" s="2943">
        <v>1790</v>
      </c>
      <c r="G207" s="2956">
        <v>4360</v>
      </c>
    </row>
    <row r="208" spans="1:7" s="2777" customFormat="1" ht="14.25" customHeight="1">
      <c r="A208" s="2943" t="s">
        <v>304</v>
      </c>
      <c r="B208" s="2943" t="s">
        <v>3089</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2925</v>
      </c>
      <c r="C210" s="2943">
        <v>8710</v>
      </c>
      <c r="D210" s="2943">
        <v>8660</v>
      </c>
      <c r="E210" s="2943">
        <v>11440</v>
      </c>
      <c r="F210" s="2943">
        <v>1740</v>
      </c>
      <c r="G210" s="2956">
        <v>5470</v>
      </c>
    </row>
    <row r="211" spans="1:7" s="2777" customFormat="1" ht="14.25" customHeight="1">
      <c r="A211" s="2943" t="s">
        <v>304</v>
      </c>
      <c r="B211" s="2943" t="s">
        <v>3090</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3091</v>
      </c>
      <c r="C214" s="2943">
        <v>8090</v>
      </c>
      <c r="D214" s="2943">
        <v>8030</v>
      </c>
      <c r="E214" s="2943">
        <v>10780</v>
      </c>
      <c r="F214" s="2943">
        <v>1570</v>
      </c>
      <c r="G214" s="2956">
        <v>5070</v>
      </c>
    </row>
    <row r="215" spans="1:7" s="2777" customFormat="1" ht="14.25" customHeight="1">
      <c r="A215" s="2943" t="s">
        <v>304</v>
      </c>
      <c r="B215" s="2943" t="s">
        <v>3092</v>
      </c>
      <c r="C215" s="2943">
        <v>7950</v>
      </c>
      <c r="D215" s="2943">
        <v>7900</v>
      </c>
      <c r="E215" s="2943">
        <v>10560</v>
      </c>
      <c r="F215" s="2943">
        <v>1630</v>
      </c>
      <c r="G215" s="2956">
        <v>4990</v>
      </c>
    </row>
    <row r="216" spans="1:7" s="2777" customFormat="1" ht="14.25" customHeight="1">
      <c r="A216" s="2943" t="s">
        <v>304</v>
      </c>
      <c r="B216" s="2943" t="s">
        <v>3093</v>
      </c>
      <c r="C216" s="2943">
        <v>8490</v>
      </c>
      <c r="D216" s="2943">
        <v>8440</v>
      </c>
      <c r="E216" s="2943">
        <v>11260</v>
      </c>
      <c r="F216" s="2943">
        <v>1690</v>
      </c>
      <c r="G216" s="2956">
        <v>5330</v>
      </c>
    </row>
    <row r="217" spans="1:7" s="2777" customFormat="1" ht="14.25" customHeight="1">
      <c r="A217" s="2943" t="s">
        <v>304</v>
      </c>
      <c r="B217" s="2943" t="s">
        <v>2958</v>
      </c>
      <c r="C217" s="2943">
        <v>8200</v>
      </c>
      <c r="D217" s="2943">
        <v>8150</v>
      </c>
      <c r="E217" s="2943">
        <v>10910</v>
      </c>
      <c r="F217" s="2943">
        <v>1670</v>
      </c>
      <c r="G217" s="2956">
        <v>5150</v>
      </c>
    </row>
    <row r="218" spans="1:7" s="2777" customFormat="1" ht="14.25" customHeight="1">
      <c r="A218" s="2943" t="s">
        <v>304</v>
      </c>
      <c r="B218" s="2943" t="s">
        <v>3094</v>
      </c>
      <c r="C218" s="2943"/>
      <c r="D218" s="2943"/>
      <c r="E218" s="2943"/>
      <c r="F218" s="2943">
        <v>2040</v>
      </c>
      <c r="G218" s="2956"/>
    </row>
    <row r="219" spans="1:7" s="2777" customFormat="1" ht="14.25" customHeight="1">
      <c r="A219" s="2943" t="s">
        <v>304</v>
      </c>
      <c r="B219" s="2943" t="s">
        <v>3095</v>
      </c>
      <c r="C219" s="2943"/>
      <c r="D219" s="2943"/>
      <c r="E219" s="2943"/>
      <c r="F219" s="2943">
        <v>2040</v>
      </c>
      <c r="G219" s="2956"/>
    </row>
    <row r="220" spans="1:7" s="2777" customFormat="1" ht="14.25" customHeight="1">
      <c r="A220" s="2943" t="s">
        <v>304</v>
      </c>
      <c r="B220" s="2943" t="s">
        <v>3096</v>
      </c>
      <c r="C220" s="2943"/>
      <c r="D220" s="2943"/>
      <c r="E220" s="2943"/>
      <c r="F220" s="2943">
        <v>2040</v>
      </c>
      <c r="G220" s="2956"/>
    </row>
    <row r="221" spans="1:7" s="2777" customFormat="1" ht="14.25" customHeight="1">
      <c r="A221" s="2943" t="s">
        <v>304</v>
      </c>
      <c r="B221" s="2943" t="s">
        <v>3097</v>
      </c>
      <c r="C221" s="2943"/>
      <c r="D221" s="2943"/>
      <c r="E221" s="2943"/>
      <c r="F221" s="2943">
        <v>2040</v>
      </c>
      <c r="G221" s="2956"/>
    </row>
    <row r="222" spans="1:7" s="2777" customFormat="1" ht="14.25" customHeight="1">
      <c r="A222" s="2943" t="s">
        <v>304</v>
      </c>
      <c r="B222" s="2943" t="s">
        <v>3098</v>
      </c>
      <c r="C222" s="2943"/>
      <c r="D222" s="2943"/>
      <c r="E222" s="2943"/>
      <c r="F222" s="2943">
        <v>2040</v>
      </c>
      <c r="G222" s="2956"/>
    </row>
    <row r="223" spans="1:7" s="2777" customFormat="1" ht="14.25" customHeight="1">
      <c r="A223" s="2943" t="s">
        <v>304</v>
      </c>
      <c r="B223" s="2943" t="s">
        <v>3099</v>
      </c>
      <c r="C223" s="2943"/>
      <c r="D223" s="2943"/>
      <c r="E223" s="2943"/>
      <c r="F223" s="2943">
        <v>1930</v>
      </c>
      <c r="G223" s="2956"/>
    </row>
    <row r="224" spans="1:7" s="2777" customFormat="1" ht="14.25" customHeight="1">
      <c r="A224" s="2943" t="s">
        <v>304</v>
      </c>
      <c r="B224" s="2943" t="s">
        <v>3100</v>
      </c>
      <c r="C224" s="2943"/>
      <c r="D224" s="2943"/>
      <c r="E224" s="2943"/>
      <c r="F224" s="2943">
        <v>1930</v>
      </c>
      <c r="G224" s="2956"/>
    </row>
    <row r="225" spans="1:7" s="2777" customFormat="1" ht="14.25" customHeight="1">
      <c r="A225" s="2943" t="s">
        <v>304</v>
      </c>
      <c r="B225" s="2943" t="s">
        <v>3101</v>
      </c>
      <c r="C225" s="2943"/>
      <c r="D225" s="2943"/>
      <c r="E225" s="2943"/>
      <c r="F225" s="2943">
        <v>1930</v>
      </c>
      <c r="G225" s="2956"/>
    </row>
    <row r="226" spans="1:7" s="2777" customFormat="1" ht="14.25" customHeight="1">
      <c r="A226" s="2943" t="s">
        <v>304</v>
      </c>
      <c r="B226" s="2943" t="s">
        <v>3102</v>
      </c>
      <c r="C226" s="2943"/>
      <c r="D226" s="2943"/>
      <c r="E226" s="2943"/>
      <c r="F226" s="2943">
        <v>1700</v>
      </c>
      <c r="G226" s="2956"/>
    </row>
    <row r="227" spans="1:7" s="2777" customFormat="1" ht="14.25" customHeight="1">
      <c r="A227" s="2943" t="s">
        <v>304</v>
      </c>
      <c r="B227" s="2943" t="s">
        <v>3103</v>
      </c>
      <c r="C227" s="2943"/>
      <c r="D227" s="2943"/>
      <c r="E227" s="2943"/>
      <c r="F227" s="2943">
        <v>1520</v>
      </c>
      <c r="G227" s="2956"/>
    </row>
    <row r="228" spans="1:7" s="2777" customFormat="1" ht="14.25" customHeight="1">
      <c r="A228" s="2943" t="s">
        <v>304</v>
      </c>
      <c r="B228" s="2943" t="s">
        <v>3104</v>
      </c>
      <c r="C228" s="2943"/>
      <c r="D228" s="2943"/>
      <c r="E228" s="2943"/>
      <c r="F228" s="2943">
        <v>1520</v>
      </c>
      <c r="G228" s="2956"/>
    </row>
    <row r="229" spans="1:7" s="2777" customFormat="1" ht="14.25" customHeight="1">
      <c r="A229" s="2943" t="s">
        <v>304</v>
      </c>
      <c r="B229" s="2943" t="s">
        <v>3021</v>
      </c>
      <c r="C229" s="2943"/>
      <c r="D229" s="2943"/>
      <c r="E229" s="2943"/>
      <c r="F229" s="2943">
        <v>1520</v>
      </c>
      <c r="G229" s="2956"/>
    </row>
    <row r="230" spans="1:7" s="2777" customFormat="1" ht="14.25" customHeight="1">
      <c r="A230" s="2943" t="s">
        <v>304</v>
      </c>
      <c r="B230" s="2943" t="s">
        <v>3105</v>
      </c>
      <c r="C230" s="2943"/>
      <c r="D230" s="2943"/>
      <c r="E230" s="2943"/>
      <c r="F230" s="2943">
        <v>1820</v>
      </c>
      <c r="G230" s="2956"/>
    </row>
    <row r="231" spans="1:7" s="2777" customFormat="1" ht="14.25" customHeight="1">
      <c r="A231" s="2943" t="s">
        <v>304</v>
      </c>
      <c r="B231" s="2943" t="s">
        <v>3106</v>
      </c>
      <c r="C231" s="2943"/>
      <c r="D231" s="2943"/>
      <c r="E231" s="2943"/>
      <c r="F231" s="2943">
        <v>1760</v>
      </c>
      <c r="G231" s="2956"/>
    </row>
    <row r="232" spans="1:7" s="2777" customFormat="1" ht="14.25" customHeight="1">
      <c r="A232" s="2943" t="s">
        <v>304</v>
      </c>
      <c r="B232" s="2943" t="s">
        <v>3107</v>
      </c>
      <c r="C232" s="2943"/>
      <c r="D232" s="2943"/>
      <c r="E232" s="2943"/>
      <c r="F232" s="2943">
        <v>1840</v>
      </c>
      <c r="G232" s="2956"/>
    </row>
    <row r="233" spans="1:7" s="2777" customFormat="1" ht="14.25" customHeight="1" thickBot="1">
      <c r="A233" s="2957" t="s">
        <v>304</v>
      </c>
      <c r="B233" s="2950" t="s">
        <v>3038</v>
      </c>
      <c r="C233" s="2950"/>
      <c r="D233" s="2950"/>
      <c r="E233" s="2950"/>
      <c r="F233" s="2950">
        <v>1770</v>
      </c>
      <c r="G233" s="2958"/>
    </row>
    <row r="234" spans="1:7" s="2777" customFormat="1" ht="14.25" customHeight="1">
      <c r="A234" s="2948" t="s">
        <v>305</v>
      </c>
      <c r="B234" s="2939" t="s">
        <v>3108</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2879</v>
      </c>
      <c r="C238" s="2943">
        <v>6920</v>
      </c>
      <c r="D238" s="2943">
        <v>6890</v>
      </c>
      <c r="E238" s="2943">
        <v>8640</v>
      </c>
      <c r="F238" s="2943">
        <v>1310</v>
      </c>
      <c r="G238" s="2943">
        <v>4230</v>
      </c>
    </row>
    <row r="239" spans="1:7" s="2777" customFormat="1" ht="14.25" customHeight="1">
      <c r="A239" s="2943" t="s">
        <v>305</v>
      </c>
      <c r="B239" s="2943" t="s">
        <v>3109</v>
      </c>
      <c r="C239" s="2943">
        <v>6780</v>
      </c>
      <c r="D239" s="2943">
        <v>6750</v>
      </c>
      <c r="E239" s="2943">
        <v>8440</v>
      </c>
      <c r="F239" s="2943">
        <v>1160</v>
      </c>
      <c r="G239" s="2943">
        <v>4140</v>
      </c>
    </row>
    <row r="240" spans="1:7" s="2777" customFormat="1" ht="14.25" customHeight="1">
      <c r="A240" s="2943" t="s">
        <v>305</v>
      </c>
      <c r="B240" s="2943" t="s">
        <v>3110</v>
      </c>
      <c r="C240" s="2943">
        <v>5420</v>
      </c>
      <c r="D240" s="2943">
        <v>5380</v>
      </c>
      <c r="E240" s="2943">
        <v>6640</v>
      </c>
      <c r="F240" s="2943">
        <v>1020</v>
      </c>
      <c r="G240" s="2943">
        <v>3300</v>
      </c>
    </row>
    <row r="241" spans="1:7" s="2777" customFormat="1" ht="14.25" customHeight="1">
      <c r="A241" s="2943" t="s">
        <v>305</v>
      </c>
      <c r="B241" s="2943" t="s">
        <v>3111</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3112</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3113</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3114</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3115</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3116</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2941</v>
      </c>
      <c r="C258" s="2943">
        <v>6190</v>
      </c>
      <c r="D258" s="2943">
        <v>6160</v>
      </c>
      <c r="E258" s="2943">
        <v>7680</v>
      </c>
      <c r="F258" s="2943">
        <v>1170</v>
      </c>
      <c r="G258" s="2943">
        <v>3780</v>
      </c>
    </row>
    <row r="259" spans="1:7" s="2777" customFormat="1" ht="14.25" customHeight="1">
      <c r="A259" s="2943" t="s">
        <v>305</v>
      </c>
      <c r="B259" s="2943" t="s">
        <v>3117</v>
      </c>
      <c r="C259" s="2943">
        <v>7610</v>
      </c>
      <c r="D259" s="2943">
        <v>7570</v>
      </c>
      <c r="E259" s="2943">
        <v>9350</v>
      </c>
      <c r="F259" s="2943">
        <v>1350</v>
      </c>
      <c r="G259" s="2943">
        <v>4650</v>
      </c>
    </row>
    <row r="260" spans="1:7" s="2777" customFormat="1" ht="14.25" customHeight="1">
      <c r="A260" s="2943" t="s">
        <v>305</v>
      </c>
      <c r="B260" s="2943" t="s">
        <v>3118</v>
      </c>
      <c r="C260" s="2943">
        <v>6920</v>
      </c>
      <c r="D260" s="2943">
        <v>6880</v>
      </c>
      <c r="E260" s="2943">
        <v>8380</v>
      </c>
      <c r="F260" s="2943">
        <v>1160</v>
      </c>
      <c r="G260" s="2943">
        <v>4220</v>
      </c>
    </row>
    <row r="261" spans="1:7" s="2777" customFormat="1" ht="14.25" customHeight="1">
      <c r="A261" s="2943" t="s">
        <v>305</v>
      </c>
      <c r="B261" s="2943" t="s">
        <v>3119</v>
      </c>
      <c r="C261" s="2943">
        <v>6850</v>
      </c>
      <c r="D261" s="2943">
        <v>6810</v>
      </c>
      <c r="E261" s="2943">
        <v>8290</v>
      </c>
      <c r="F261" s="2943">
        <v>1130</v>
      </c>
      <c r="G261" s="2943">
        <v>4180</v>
      </c>
    </row>
    <row r="262" spans="1:7" s="2777" customFormat="1" ht="14.25" customHeight="1">
      <c r="A262" s="2943" t="s">
        <v>305</v>
      </c>
      <c r="B262" s="2943" t="s">
        <v>3120</v>
      </c>
      <c r="C262" s="2943">
        <v>5860</v>
      </c>
      <c r="D262" s="2943">
        <v>5820</v>
      </c>
      <c r="E262" s="2943">
        <v>7640</v>
      </c>
      <c r="F262" s="2943">
        <v>1070</v>
      </c>
      <c r="G262" s="2943">
        <v>3570</v>
      </c>
    </row>
    <row r="263" spans="1:7" s="2777" customFormat="1" ht="14.25" customHeight="1">
      <c r="A263" s="2943" t="s">
        <v>305</v>
      </c>
      <c r="B263" s="2943" t="s">
        <v>3121</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3122</v>
      </c>
      <c r="C265" s="2943"/>
      <c r="D265" s="2943"/>
      <c r="E265" s="2943"/>
      <c r="F265" s="2943">
        <v>1500</v>
      </c>
      <c r="G265" s="2943"/>
    </row>
    <row r="266" spans="1:7" s="2777" customFormat="1" ht="14.25" customHeight="1">
      <c r="A266" s="2943" t="s">
        <v>305</v>
      </c>
      <c r="B266" s="2943" t="s">
        <v>3123</v>
      </c>
      <c r="C266" s="2943"/>
      <c r="D266" s="2943"/>
      <c r="E266" s="2943"/>
      <c r="F266" s="2943">
        <v>1500</v>
      </c>
      <c r="G266" s="2943"/>
    </row>
    <row r="267" spans="1:7" s="2777" customFormat="1" ht="14.25" customHeight="1">
      <c r="A267" s="2943" t="s">
        <v>305</v>
      </c>
      <c r="B267" s="2943" t="s">
        <v>3124</v>
      </c>
      <c r="C267" s="2943"/>
      <c r="D267" s="2943"/>
      <c r="E267" s="2943"/>
      <c r="F267" s="2943">
        <v>1500</v>
      </c>
      <c r="G267" s="2943"/>
    </row>
    <row r="268" spans="1:7" s="2777" customFormat="1" ht="14.25" customHeight="1">
      <c r="A268" s="2943" t="s">
        <v>305</v>
      </c>
      <c r="B268" s="2943" t="s">
        <v>3125</v>
      </c>
      <c r="C268" s="2943"/>
      <c r="D268" s="2943"/>
      <c r="E268" s="2943"/>
      <c r="F268" s="2943">
        <v>1290</v>
      </c>
      <c r="G268" s="2943"/>
    </row>
    <row r="269" spans="1:7" s="2777" customFormat="1" ht="14.25" customHeight="1">
      <c r="A269" s="2943" t="s">
        <v>305</v>
      </c>
      <c r="B269" s="2943" t="s">
        <v>3126</v>
      </c>
      <c r="C269" s="2943"/>
      <c r="D269" s="2943"/>
      <c r="E269" s="2943"/>
      <c r="F269" s="2943">
        <v>1150</v>
      </c>
      <c r="G269" s="2943"/>
    </row>
    <row r="270" spans="1:7" s="2777" customFormat="1" ht="14.25" customHeight="1">
      <c r="A270" s="2943" t="s">
        <v>305</v>
      </c>
      <c r="B270" s="2943" t="s">
        <v>3127</v>
      </c>
      <c r="C270" s="2943"/>
      <c r="D270" s="2943"/>
      <c r="E270" s="2943"/>
      <c r="F270" s="2943">
        <v>1380</v>
      </c>
      <c r="G270" s="2943"/>
    </row>
    <row r="271" spans="1:7" s="2777" customFormat="1" ht="14.25" customHeight="1">
      <c r="A271" s="2943" t="s">
        <v>305</v>
      </c>
      <c r="B271" s="2943" t="s">
        <v>3128</v>
      </c>
      <c r="C271" s="2943"/>
      <c r="D271" s="2943"/>
      <c r="E271" s="2943"/>
      <c r="F271" s="2943">
        <v>1460</v>
      </c>
      <c r="G271" s="2943"/>
    </row>
    <row r="272" spans="1:7" s="2777" customFormat="1" ht="14.25" customHeight="1">
      <c r="A272" s="2943" t="s">
        <v>305</v>
      </c>
      <c r="B272" s="2943" t="s">
        <v>3129</v>
      </c>
      <c r="C272" s="2943"/>
      <c r="D272" s="2943"/>
      <c r="E272" s="2943"/>
      <c r="F272" s="2943">
        <v>1460</v>
      </c>
      <c r="G272" s="2943"/>
    </row>
    <row r="273" spans="1:7" s="2777" customFormat="1" ht="14.25" customHeight="1">
      <c r="A273" s="2943" t="s">
        <v>305</v>
      </c>
      <c r="B273" s="2943" t="s">
        <v>3022</v>
      </c>
      <c r="C273" s="2943"/>
      <c r="D273" s="2943"/>
      <c r="E273" s="2943"/>
      <c r="F273" s="2943">
        <v>1490</v>
      </c>
      <c r="G273" s="2943"/>
    </row>
    <row r="274" spans="1:7" s="2777" customFormat="1" ht="14.25" customHeight="1">
      <c r="A274" s="2943" t="s">
        <v>305</v>
      </c>
      <c r="B274" s="2943" t="s">
        <v>3130</v>
      </c>
      <c r="C274" s="2943"/>
      <c r="D274" s="2943"/>
      <c r="E274" s="2943"/>
      <c r="F274" s="2943">
        <v>1490</v>
      </c>
      <c r="G274" s="2943"/>
    </row>
    <row r="275" spans="1:7" s="2777" customFormat="1" ht="14.25" customHeight="1">
      <c r="A275" s="2943" t="s">
        <v>305</v>
      </c>
      <c r="B275" s="2943" t="s">
        <v>3131</v>
      </c>
      <c r="C275" s="2943"/>
      <c r="D275" s="2943"/>
      <c r="E275" s="2943"/>
      <c r="F275" s="2943">
        <v>1220</v>
      </c>
      <c r="G275" s="2943"/>
    </row>
    <row r="276" spans="1:7" s="2777" customFormat="1" ht="14.25" customHeight="1" thickBot="1">
      <c r="A276" s="2951" t="s">
        <v>305</v>
      </c>
      <c r="B276" s="2953" t="s">
        <v>3132</v>
      </c>
      <c r="C276" s="2954"/>
      <c r="D276" s="2954"/>
      <c r="E276" s="2954"/>
      <c r="F276" s="2954">
        <v>1380</v>
      </c>
      <c r="G276" s="2954"/>
    </row>
    <row r="277" spans="1:7" s="2777" customFormat="1" ht="14.25" customHeight="1">
      <c r="A277" s="2948" t="s">
        <v>306</v>
      </c>
      <c r="B277" s="2939" t="s">
        <v>3133</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3134</v>
      </c>
      <c r="C279" s="2943">
        <v>4760</v>
      </c>
      <c r="D279" s="2943">
        <v>4720</v>
      </c>
      <c r="E279" s="2943">
        <v>5540</v>
      </c>
      <c r="F279" s="2943">
        <v>810</v>
      </c>
      <c r="G279" s="2956">
        <v>2850</v>
      </c>
    </row>
    <row r="280" spans="1:7" s="2777" customFormat="1" ht="14.25" customHeight="1">
      <c r="A280" s="2943" t="s">
        <v>306</v>
      </c>
      <c r="B280" s="2943" t="s">
        <v>3135</v>
      </c>
      <c r="C280" s="2943">
        <v>4010</v>
      </c>
      <c r="D280" s="2943">
        <v>3950</v>
      </c>
      <c r="E280" s="2943">
        <v>4710</v>
      </c>
      <c r="F280" s="2943">
        <v>800</v>
      </c>
      <c r="G280" s="2956">
        <v>2390</v>
      </c>
    </row>
    <row r="281" spans="1:7" s="2777" customFormat="1" ht="14.25" customHeight="1">
      <c r="A281" s="2943" t="s">
        <v>306</v>
      </c>
      <c r="B281" s="2943" t="s">
        <v>3136</v>
      </c>
      <c r="C281" s="2943">
        <v>4480</v>
      </c>
      <c r="D281" s="2943">
        <v>4420</v>
      </c>
      <c r="E281" s="2943">
        <v>5230</v>
      </c>
      <c r="F281" s="2943">
        <v>870</v>
      </c>
      <c r="G281" s="2956">
        <v>2660</v>
      </c>
    </row>
    <row r="282" spans="1:7" s="2777" customFormat="1" ht="14.25" customHeight="1">
      <c r="A282" s="2943" t="s">
        <v>306</v>
      </c>
      <c r="B282" s="2943" t="s">
        <v>3137</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3138</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3139</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2914</v>
      </c>
      <c r="C293" s="2943">
        <v>5320</v>
      </c>
      <c r="D293" s="2943">
        <v>5270</v>
      </c>
      <c r="E293" s="2943">
        <v>6160</v>
      </c>
      <c r="F293" s="2943">
        <v>990</v>
      </c>
      <c r="G293" s="2956">
        <v>3170</v>
      </c>
    </row>
    <row r="294" spans="1:7" s="2777" customFormat="1" ht="14.25" customHeight="1">
      <c r="A294" s="2943" t="s">
        <v>306</v>
      </c>
      <c r="B294" s="2943" t="s">
        <v>3140</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2933</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3141</v>
      </c>
      <c r="C302" s="2943">
        <v>5520</v>
      </c>
      <c r="D302" s="2943">
        <v>5470</v>
      </c>
      <c r="E302" s="2943">
        <v>6410</v>
      </c>
      <c r="F302" s="2943">
        <v>950</v>
      </c>
      <c r="G302" s="2956">
        <v>3300</v>
      </c>
    </row>
    <row r="303" spans="1:7" s="2777" customFormat="1" ht="14.25" customHeight="1">
      <c r="A303" s="2943" t="s">
        <v>306</v>
      </c>
      <c r="B303" s="2943" t="s">
        <v>2953</v>
      </c>
      <c r="C303" s="2943">
        <v>5630</v>
      </c>
      <c r="D303" s="2943">
        <v>5590</v>
      </c>
      <c r="E303" s="2943">
        <v>6550</v>
      </c>
      <c r="F303" s="2943">
        <v>1010</v>
      </c>
      <c r="G303" s="2956">
        <v>3370</v>
      </c>
    </row>
    <row r="304" spans="1:7" s="2777" customFormat="1" ht="14.25" customHeight="1">
      <c r="A304" s="2943" t="s">
        <v>306</v>
      </c>
      <c r="B304" s="2943" t="s">
        <v>2960</v>
      </c>
      <c r="C304" s="2943">
        <v>5680</v>
      </c>
      <c r="D304" s="2943">
        <v>5620</v>
      </c>
      <c r="E304" s="2943">
        <v>6620</v>
      </c>
      <c r="F304" s="2943">
        <v>1050</v>
      </c>
      <c r="G304" s="2956">
        <v>3390</v>
      </c>
    </row>
    <row r="305" spans="1:7" s="2777" customFormat="1" ht="14.25" customHeight="1">
      <c r="A305" s="2943" t="s">
        <v>306</v>
      </c>
      <c r="B305" s="2943" t="s">
        <v>2966</v>
      </c>
      <c r="C305" s="2943">
        <v>5590</v>
      </c>
      <c r="D305" s="2943">
        <v>5530</v>
      </c>
      <c r="E305" s="2943">
        <v>6460</v>
      </c>
      <c r="F305" s="2943">
        <v>900</v>
      </c>
      <c r="G305" s="2956">
        <v>3340</v>
      </c>
    </row>
    <row r="306" spans="1:7" s="2777" customFormat="1" ht="14.25" customHeight="1">
      <c r="A306" s="2943" t="s">
        <v>306</v>
      </c>
      <c r="B306" s="2943" t="s">
        <v>3142</v>
      </c>
      <c r="C306" s="2943">
        <v>5560</v>
      </c>
      <c r="D306" s="2943">
        <v>5510</v>
      </c>
      <c r="E306" s="2943">
        <v>6440</v>
      </c>
      <c r="F306" s="2943">
        <v>900</v>
      </c>
      <c r="G306" s="2956">
        <v>3320</v>
      </c>
    </row>
    <row r="307" spans="1:7" s="2777" customFormat="1" ht="14.25" customHeight="1">
      <c r="A307" s="2943" t="s">
        <v>306</v>
      </c>
      <c r="B307" s="2943" t="s">
        <v>2978</v>
      </c>
      <c r="C307" s="2943">
        <v>5650</v>
      </c>
      <c r="D307" s="2943">
        <v>5600</v>
      </c>
      <c r="E307" s="2943">
        <v>6590</v>
      </c>
      <c r="F307" s="2943">
        <v>930</v>
      </c>
      <c r="G307" s="2956">
        <v>3380</v>
      </c>
    </row>
    <row r="308" spans="1:7" s="2777" customFormat="1" ht="14.25" customHeight="1">
      <c r="A308" s="2943" t="s">
        <v>306</v>
      </c>
      <c r="B308" s="2943" t="s">
        <v>3143</v>
      </c>
      <c r="C308" s="2943">
        <v>5620</v>
      </c>
      <c r="D308" s="2943">
        <v>5580</v>
      </c>
      <c r="E308" s="2943">
        <v>6540</v>
      </c>
      <c r="F308" s="2943">
        <v>910</v>
      </c>
      <c r="G308" s="2956">
        <v>3370</v>
      </c>
    </row>
    <row r="309" spans="1:7" s="2777" customFormat="1" ht="14.25" customHeight="1">
      <c r="A309" s="2943" t="s">
        <v>306</v>
      </c>
      <c r="B309" s="2943" t="s">
        <v>3144</v>
      </c>
      <c r="C309" s="2943">
        <v>5060</v>
      </c>
      <c r="D309" s="2943">
        <v>5020</v>
      </c>
      <c r="E309" s="2943">
        <v>6370</v>
      </c>
      <c r="F309" s="2943">
        <v>800</v>
      </c>
      <c r="G309" s="2956">
        <v>3020</v>
      </c>
    </row>
    <row r="310" spans="1:7" s="2777" customFormat="1" ht="14.25" customHeight="1">
      <c r="A310" s="2943" t="s">
        <v>306</v>
      </c>
      <c r="B310" s="2943" t="s">
        <v>2993</v>
      </c>
      <c r="C310" s="2943">
        <v>5150</v>
      </c>
      <c r="D310" s="2943">
        <v>5110</v>
      </c>
      <c r="E310" s="2943">
        <v>6500</v>
      </c>
      <c r="F310" s="2943">
        <v>880</v>
      </c>
      <c r="G310" s="2956">
        <v>3080</v>
      </c>
    </row>
    <row r="311" spans="1:7" s="2777" customFormat="1" ht="14.25" customHeight="1">
      <c r="A311" s="2943" t="s">
        <v>306</v>
      </c>
      <c r="B311" s="2943" t="s">
        <v>3145</v>
      </c>
      <c r="C311" s="2943">
        <v>4750</v>
      </c>
      <c r="D311" s="2943">
        <v>4710</v>
      </c>
      <c r="E311" s="2943">
        <v>5510</v>
      </c>
      <c r="F311" s="2943">
        <v>880</v>
      </c>
      <c r="G311" s="2956">
        <v>2840</v>
      </c>
    </row>
    <row r="312" spans="1:7" s="2777" customFormat="1" ht="14.25" customHeight="1">
      <c r="A312" s="2943" t="s">
        <v>306</v>
      </c>
      <c r="B312" s="2943" t="s">
        <v>3003</v>
      </c>
      <c r="C312" s="2943">
        <v>4690</v>
      </c>
      <c r="D312" s="2943">
        <v>4640</v>
      </c>
      <c r="E312" s="2943">
        <v>5420</v>
      </c>
      <c r="F312" s="2943">
        <v>800</v>
      </c>
      <c r="G312" s="2956">
        <v>2800</v>
      </c>
    </row>
    <row r="313" spans="1:7" s="2777" customFormat="1" ht="14.25" customHeight="1">
      <c r="A313" s="2943" t="s">
        <v>306</v>
      </c>
      <c r="B313" s="2943" t="s">
        <v>3008</v>
      </c>
      <c r="C313" s="2943">
        <v>4810</v>
      </c>
      <c r="D313" s="2943">
        <v>4760</v>
      </c>
      <c r="E313" s="2943">
        <v>5550</v>
      </c>
      <c r="F313" s="2943">
        <v>920</v>
      </c>
      <c r="G313" s="2956">
        <v>2870</v>
      </c>
    </row>
    <row r="314" spans="1:7" s="2777" customFormat="1" ht="14.25" customHeight="1">
      <c r="A314" s="2943" t="s">
        <v>306</v>
      </c>
      <c r="B314" s="2943" t="s">
        <v>3146</v>
      </c>
      <c r="C314" s="2943"/>
      <c r="D314" s="2943"/>
      <c r="E314" s="2943"/>
      <c r="F314" s="2943">
        <v>1020</v>
      </c>
      <c r="G314" s="2956"/>
    </row>
    <row r="315" spans="1:7" s="2777" customFormat="1" ht="14.25" customHeight="1">
      <c r="A315" s="2943" t="s">
        <v>306</v>
      </c>
      <c r="B315" s="2943" t="s">
        <v>3147</v>
      </c>
      <c r="C315" s="2943"/>
      <c r="D315" s="2943"/>
      <c r="E315" s="2943"/>
      <c r="F315" s="2943">
        <v>1050</v>
      </c>
      <c r="G315" s="2956"/>
    </row>
    <row r="316" spans="1:7" s="2777" customFormat="1" ht="14.25" customHeight="1">
      <c r="A316" s="2943" t="s">
        <v>306</v>
      </c>
      <c r="B316" s="2943" t="s">
        <v>3023</v>
      </c>
      <c r="C316" s="2943"/>
      <c r="D316" s="2943"/>
      <c r="E316" s="2943"/>
      <c r="F316" s="2943">
        <v>900</v>
      </c>
      <c r="G316" s="2956"/>
    </row>
    <row r="317" spans="1:7" s="2777" customFormat="1" ht="14.25" customHeight="1">
      <c r="A317" s="2943" t="s">
        <v>306</v>
      </c>
      <c r="B317" s="2943" t="s">
        <v>3148</v>
      </c>
      <c r="C317" s="2943"/>
      <c r="D317" s="2943"/>
      <c r="E317" s="2943"/>
      <c r="F317" s="2943">
        <v>920</v>
      </c>
      <c r="G317" s="2956"/>
    </row>
    <row r="318" spans="1:7" s="2777" customFormat="1" ht="14.25" customHeight="1">
      <c r="A318" s="2943" t="s">
        <v>306</v>
      </c>
      <c r="B318" s="2943" t="s">
        <v>3149</v>
      </c>
      <c r="C318" s="2943"/>
      <c r="D318" s="2943"/>
      <c r="E318" s="2943"/>
      <c r="F318" s="2943">
        <v>1080</v>
      </c>
      <c r="G318" s="2956"/>
    </row>
    <row r="319" spans="1:7" s="2777" customFormat="1" ht="14.25" customHeight="1">
      <c r="A319" s="2943" t="s">
        <v>306</v>
      </c>
      <c r="B319" s="2943" t="s">
        <v>3036</v>
      </c>
      <c r="C319" s="2943"/>
      <c r="D319" s="2943"/>
      <c r="E319" s="2943"/>
      <c r="F319" s="2943">
        <v>1020</v>
      </c>
      <c r="G319" s="2956"/>
    </row>
    <row r="320" spans="1:7" s="2777" customFormat="1" ht="14.25" customHeight="1">
      <c r="A320" s="2943" t="s">
        <v>306</v>
      </c>
      <c r="B320" s="2943" t="s">
        <v>3039</v>
      </c>
      <c r="C320" s="2943"/>
      <c r="D320" s="2943"/>
      <c r="E320" s="2943"/>
      <c r="F320" s="2943">
        <v>1050</v>
      </c>
      <c r="G320" s="2956"/>
    </row>
    <row r="321" spans="1:7" s="2777" customFormat="1" ht="14.25" customHeight="1">
      <c r="A321" s="2943" t="s">
        <v>306</v>
      </c>
      <c r="B321" s="2943" t="s">
        <v>3041</v>
      </c>
      <c r="C321" s="2943"/>
      <c r="D321" s="2943"/>
      <c r="E321" s="2943"/>
      <c r="F321" s="2943">
        <v>960</v>
      </c>
      <c r="G321" s="2956"/>
    </row>
    <row r="322" spans="1:7" s="2777" customFormat="1" ht="14.25" customHeight="1">
      <c r="A322" s="2943" t="s">
        <v>306</v>
      </c>
      <c r="B322" s="2943" t="s">
        <v>3043</v>
      </c>
      <c r="C322" s="2943"/>
      <c r="D322" s="2943"/>
      <c r="E322" s="2943"/>
      <c r="F322" s="2943">
        <v>960</v>
      </c>
      <c r="G322" s="2956"/>
    </row>
    <row r="323" spans="1:7" s="2777" customFormat="1" ht="14.25" customHeight="1">
      <c r="A323" s="2943" t="s">
        <v>306</v>
      </c>
      <c r="B323" s="2943" t="s">
        <v>3045</v>
      </c>
      <c r="C323" s="2943"/>
      <c r="D323" s="2943"/>
      <c r="E323" s="2943"/>
      <c r="F323" s="2943">
        <v>880</v>
      </c>
      <c r="G323" s="2956"/>
    </row>
    <row r="324" spans="1:7" s="2777" customFormat="1" ht="14.25" customHeight="1">
      <c r="A324" s="2943" t="s">
        <v>306</v>
      </c>
      <c r="B324" s="2943" t="s">
        <v>3047</v>
      </c>
      <c r="C324" s="2943"/>
      <c r="D324" s="2943"/>
      <c r="E324" s="2943"/>
      <c r="F324" s="2943">
        <v>930</v>
      </c>
      <c r="G324" s="2956"/>
    </row>
    <row r="325" spans="1:7" s="2777" customFormat="1" ht="14.25" customHeight="1">
      <c r="A325" s="2943" t="s">
        <v>306</v>
      </c>
      <c r="B325" s="2944" t="s">
        <v>3049</v>
      </c>
      <c r="C325" s="2943"/>
      <c r="D325" s="2943"/>
      <c r="E325" s="2943"/>
      <c r="F325" s="2943">
        <v>900</v>
      </c>
      <c r="G325" s="2956"/>
    </row>
    <row r="326" spans="1:7" s="2777" customFormat="1" ht="14.25" customHeight="1" thickBot="1">
      <c r="A326" s="2957" t="s">
        <v>306</v>
      </c>
      <c r="B326" s="2950" t="s">
        <v>3051</v>
      </c>
      <c r="C326" s="2950"/>
      <c r="D326" s="2950"/>
      <c r="E326" s="2950"/>
      <c r="F326" s="2950">
        <v>790</v>
      </c>
      <c r="G326" s="2958"/>
    </row>
    <row r="327" spans="1:7" s="2777" customFormat="1" ht="14.25" customHeight="1">
      <c r="A327" s="2948" t="s">
        <v>307</v>
      </c>
      <c r="B327" s="2939" t="s">
        <v>3150</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3151</v>
      </c>
      <c r="C329" s="2943">
        <v>2730</v>
      </c>
      <c r="D329" s="2943">
        <v>2690</v>
      </c>
      <c r="E329" s="2943">
        <v>3100</v>
      </c>
      <c r="F329" s="2943">
        <v>660</v>
      </c>
      <c r="G329" s="2943">
        <v>1610</v>
      </c>
    </row>
    <row r="330" spans="1:7" s="2777" customFormat="1" ht="14.25" customHeight="1">
      <c r="A330" s="2943" t="s">
        <v>307</v>
      </c>
      <c r="B330" s="2943" t="s">
        <v>3152</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2885</v>
      </c>
      <c r="C332" s="2943">
        <v>3520</v>
      </c>
      <c r="D332" s="2943">
        <v>3480</v>
      </c>
      <c r="E332" s="2943">
        <v>3830</v>
      </c>
      <c r="F332" s="2943">
        <v>720</v>
      </c>
      <c r="G332" s="2943">
        <v>2090</v>
      </c>
    </row>
    <row r="333" spans="1:7" s="2777" customFormat="1" ht="14.25" customHeight="1">
      <c r="A333" s="2943" t="s">
        <v>307</v>
      </c>
      <c r="B333" s="2943" t="s">
        <v>3153</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2895</v>
      </c>
      <c r="C336" s="2943">
        <v>3570</v>
      </c>
      <c r="D336" s="2943">
        <v>3530</v>
      </c>
      <c r="E336" s="2943">
        <v>3880</v>
      </c>
      <c r="F336" s="2943">
        <v>770</v>
      </c>
      <c r="G336" s="2943">
        <v>2110</v>
      </c>
    </row>
    <row r="337" spans="1:10" s="2777" customFormat="1" ht="14.25" customHeight="1">
      <c r="A337" s="2943" t="s">
        <v>307</v>
      </c>
      <c r="B337" s="2943" t="s">
        <v>3154</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3155</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3156</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2920</v>
      </c>
      <c r="C345" s="2943">
        <v>3190</v>
      </c>
      <c r="D345" s="2943">
        <v>3140</v>
      </c>
      <c r="E345" s="2943">
        <v>3450</v>
      </c>
      <c r="F345" s="2943">
        <v>720</v>
      </c>
      <c r="G345" s="2943">
        <v>1880</v>
      </c>
      <c r="J345" s="2777"/>
    </row>
    <row r="346" spans="1:10">
      <c r="A346" s="2943" t="s">
        <v>307</v>
      </c>
      <c r="B346" s="2943" t="s">
        <v>3157</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2929</v>
      </c>
      <c r="C348" s="2943">
        <v>4000</v>
      </c>
      <c r="D348" s="2943">
        <v>3950</v>
      </c>
      <c r="E348" s="2943">
        <v>4430</v>
      </c>
      <c r="F348" s="2943">
        <v>760</v>
      </c>
      <c r="G348" s="2943">
        <v>2360</v>
      </c>
      <c r="J348" s="2777"/>
    </row>
    <row r="349" spans="1:10">
      <c r="A349" s="2943" t="s">
        <v>307</v>
      </c>
      <c r="B349" s="2943" t="s">
        <v>2934</v>
      </c>
      <c r="C349" s="2943">
        <v>3820</v>
      </c>
      <c r="D349" s="2943">
        <v>3780</v>
      </c>
      <c r="E349" s="2943">
        <v>4170</v>
      </c>
      <c r="F349" s="2943">
        <v>710</v>
      </c>
      <c r="G349" s="2943">
        <v>2260</v>
      </c>
      <c r="J349" s="2777"/>
    </row>
    <row r="350" spans="1:10">
      <c r="A350" s="2943" t="s">
        <v>307</v>
      </c>
      <c r="B350" s="2943" t="s">
        <v>3158</v>
      </c>
      <c r="C350" s="2943">
        <v>3760</v>
      </c>
      <c r="D350" s="2943">
        <v>3730</v>
      </c>
      <c r="E350" s="2943">
        <v>4100</v>
      </c>
      <c r="F350" s="2943">
        <v>800</v>
      </c>
      <c r="G350" s="2943">
        <v>2230</v>
      </c>
      <c r="J350" s="2777"/>
    </row>
    <row r="351" spans="1:10">
      <c r="A351" s="2943" t="s">
        <v>307</v>
      </c>
      <c r="B351" s="2943" t="s">
        <v>2942</v>
      </c>
      <c r="C351" s="2943">
        <v>3610</v>
      </c>
      <c r="D351" s="2943">
        <v>3580</v>
      </c>
      <c r="E351" s="2943">
        <v>3930</v>
      </c>
      <c r="F351" s="2943">
        <v>700</v>
      </c>
      <c r="G351" s="2943">
        <v>2140</v>
      </c>
      <c r="J351" s="2777"/>
    </row>
    <row r="352" spans="1:10">
      <c r="A352" s="2943" t="s">
        <v>307</v>
      </c>
      <c r="B352" s="2943" t="s">
        <v>2947</v>
      </c>
      <c r="C352" s="2943">
        <v>3670</v>
      </c>
      <c r="D352" s="2943">
        <v>3630</v>
      </c>
      <c r="E352" s="2943">
        <v>4000</v>
      </c>
      <c r="F352" s="2943">
        <v>750</v>
      </c>
      <c r="G352" s="2943">
        <v>2180</v>
      </c>
    </row>
    <row r="353" spans="1:7" s="2778" customFormat="1">
      <c r="A353" s="2943" t="s">
        <v>307</v>
      </c>
      <c r="B353" s="2943" t="s">
        <v>3159</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2967</v>
      </c>
      <c r="C355" s="2943">
        <v>3650</v>
      </c>
      <c r="D355" s="2943">
        <v>3610</v>
      </c>
      <c r="E355" s="2943">
        <v>4200</v>
      </c>
      <c r="F355" s="2943">
        <v>640</v>
      </c>
      <c r="G355" s="2943">
        <v>2160</v>
      </c>
    </row>
    <row r="356" spans="1:7" s="2778" customFormat="1">
      <c r="A356" s="2943" t="s">
        <v>307</v>
      </c>
      <c r="B356" s="2943" t="s">
        <v>2974</v>
      </c>
      <c r="C356" s="2943">
        <v>3260</v>
      </c>
      <c r="D356" s="2943">
        <v>3230</v>
      </c>
      <c r="E356" s="2943">
        <v>3740</v>
      </c>
      <c r="F356" s="2943">
        <v>600</v>
      </c>
      <c r="G356" s="2943">
        <v>1930</v>
      </c>
    </row>
    <row r="357" spans="1:7" s="2778" customFormat="1" ht="11.4" thickBot="1">
      <c r="A357" s="2951" t="s">
        <v>307</v>
      </c>
      <c r="B357" s="2954" t="s">
        <v>3160</v>
      </c>
      <c r="C357" s="2954">
        <v>3690</v>
      </c>
      <c r="D357" s="2954">
        <v>3650</v>
      </c>
      <c r="E357" s="2954">
        <v>4020</v>
      </c>
      <c r="F357" s="2954">
        <v>700</v>
      </c>
      <c r="G357" s="2954">
        <v>2190</v>
      </c>
    </row>
    <row r="358" spans="1:7" s="2778" customFormat="1">
      <c r="A358" s="2948" t="s">
        <v>3161</v>
      </c>
      <c r="B358" s="2939" t="s">
        <v>3162</v>
      </c>
      <c r="C358" s="2939">
        <v>2080</v>
      </c>
      <c r="D358" s="2939">
        <v>2040</v>
      </c>
      <c r="E358" s="2939">
        <v>2010</v>
      </c>
      <c r="F358" s="2939">
        <v>530</v>
      </c>
      <c r="G358" s="2955">
        <v>1230</v>
      </c>
    </row>
    <row r="359" spans="1:7" s="2778" customFormat="1">
      <c r="A359" s="2943" t="s">
        <v>3161</v>
      </c>
      <c r="B359" s="2943" t="s">
        <v>3163</v>
      </c>
      <c r="C359" s="2943">
        <v>1850</v>
      </c>
      <c r="D359" s="2943">
        <v>1820</v>
      </c>
      <c r="E359" s="2943">
        <v>1780</v>
      </c>
      <c r="F359" s="2943">
        <v>520</v>
      </c>
      <c r="G359" s="2956">
        <v>1100</v>
      </c>
    </row>
    <row r="360" spans="1:7" s="2778" customFormat="1">
      <c r="A360" s="2943" t="s">
        <v>3161</v>
      </c>
      <c r="B360" s="2943" t="s">
        <v>3164</v>
      </c>
      <c r="C360" s="2943">
        <v>2020</v>
      </c>
      <c r="D360" s="2943">
        <v>1990</v>
      </c>
      <c r="E360" s="2943">
        <v>1950</v>
      </c>
      <c r="F360" s="2943">
        <v>500</v>
      </c>
      <c r="G360" s="2956">
        <v>1200</v>
      </c>
    </row>
    <row r="361" spans="1:7" s="2778" customFormat="1">
      <c r="A361" s="2943" t="s">
        <v>3161</v>
      </c>
      <c r="B361" s="2943" t="s">
        <v>153</v>
      </c>
      <c r="C361" s="2943">
        <v>2260</v>
      </c>
      <c r="D361" s="2943">
        <v>2220</v>
      </c>
      <c r="E361" s="2943">
        <v>2180</v>
      </c>
      <c r="F361" s="2943">
        <v>580</v>
      </c>
      <c r="G361" s="2956">
        <v>1340</v>
      </c>
    </row>
    <row r="362" spans="1:7" s="2778" customFormat="1">
      <c r="A362" s="2943" t="s">
        <v>3161</v>
      </c>
      <c r="B362" s="2943" t="s">
        <v>3165</v>
      </c>
      <c r="C362" s="2943">
        <v>2650</v>
      </c>
      <c r="D362" s="2943">
        <v>2610</v>
      </c>
      <c r="E362" s="2943">
        <v>2570</v>
      </c>
      <c r="F362" s="2943">
        <v>630</v>
      </c>
      <c r="G362" s="2956">
        <v>1570</v>
      </c>
    </row>
    <row r="363" spans="1:7" s="2778" customFormat="1">
      <c r="A363" s="2943" t="s">
        <v>3161</v>
      </c>
      <c r="B363" s="2943" t="s">
        <v>2886</v>
      </c>
      <c r="C363" s="2943">
        <v>2390</v>
      </c>
      <c r="D363" s="2943">
        <v>2360</v>
      </c>
      <c r="E363" s="2943">
        <v>2320</v>
      </c>
      <c r="F363" s="2943">
        <v>600</v>
      </c>
      <c r="G363" s="2956">
        <v>1420</v>
      </c>
    </row>
    <row r="364" spans="1:7" s="2778" customFormat="1">
      <c r="A364" s="2943" t="s">
        <v>3161</v>
      </c>
      <c r="B364" s="2943" t="s">
        <v>3166</v>
      </c>
      <c r="C364" s="2943">
        <v>2050</v>
      </c>
      <c r="D364" s="2943">
        <v>2030</v>
      </c>
      <c r="E364" s="2943">
        <v>1990</v>
      </c>
      <c r="F364" s="2943">
        <v>550</v>
      </c>
      <c r="G364" s="2956">
        <v>1220</v>
      </c>
    </row>
    <row r="365" spans="1:7" s="2778" customFormat="1">
      <c r="A365" s="2943" t="s">
        <v>3161</v>
      </c>
      <c r="B365" s="2943" t="s">
        <v>200</v>
      </c>
      <c r="C365" s="2943">
        <v>2140</v>
      </c>
      <c r="D365" s="2943">
        <v>2100</v>
      </c>
      <c r="E365" s="2943">
        <v>2060</v>
      </c>
      <c r="F365" s="2943">
        <v>540</v>
      </c>
      <c r="G365" s="2956">
        <v>1270</v>
      </c>
    </row>
    <row r="366" spans="1:7" s="2778" customFormat="1">
      <c r="A366" s="2943" t="s">
        <v>3161</v>
      </c>
      <c r="B366" s="2943" t="s">
        <v>2893</v>
      </c>
      <c r="C366" s="2943">
        <v>2410</v>
      </c>
      <c r="D366" s="2943">
        <v>2370</v>
      </c>
      <c r="E366" s="2943">
        <v>2330</v>
      </c>
      <c r="F366" s="2943">
        <v>570</v>
      </c>
      <c r="G366" s="2956">
        <v>1440</v>
      </c>
    </row>
    <row r="367" spans="1:7" s="2778" customFormat="1">
      <c r="A367" s="2943" t="s">
        <v>3161</v>
      </c>
      <c r="B367" s="2943" t="s">
        <v>3167</v>
      </c>
      <c r="C367" s="2943">
        <v>2300</v>
      </c>
      <c r="D367" s="2943">
        <v>2260</v>
      </c>
      <c r="E367" s="2943">
        <v>2220</v>
      </c>
      <c r="F367" s="2943">
        <v>560</v>
      </c>
      <c r="G367" s="2956">
        <v>1370</v>
      </c>
    </row>
    <row r="368" spans="1:7" s="2778" customFormat="1">
      <c r="A368" s="2943" t="s">
        <v>3161</v>
      </c>
      <c r="B368" s="2943" t="s">
        <v>3168</v>
      </c>
      <c r="C368" s="2943">
        <v>2430</v>
      </c>
      <c r="D368" s="2943">
        <v>2390</v>
      </c>
      <c r="E368" s="2943">
        <v>2350</v>
      </c>
      <c r="F368" s="2943">
        <v>570</v>
      </c>
      <c r="G368" s="2956">
        <v>1450</v>
      </c>
    </row>
    <row r="369" spans="1:7" s="2778" customFormat="1">
      <c r="A369" s="2943" t="s">
        <v>3161</v>
      </c>
      <c r="B369" s="2943" t="s">
        <v>214</v>
      </c>
      <c r="C369" s="2943">
        <v>2320</v>
      </c>
      <c r="D369" s="2943">
        <v>2290</v>
      </c>
      <c r="E369" s="2943">
        <v>2250</v>
      </c>
      <c r="F369" s="2943">
        <v>550</v>
      </c>
      <c r="G369" s="2956">
        <v>1380</v>
      </c>
    </row>
    <row r="370" spans="1:7" s="2778" customFormat="1">
      <c r="A370" s="2943" t="s">
        <v>3161</v>
      </c>
      <c r="B370" s="2943" t="s">
        <v>221</v>
      </c>
      <c r="C370" s="2943">
        <v>2190</v>
      </c>
      <c r="D370" s="2943">
        <v>2170</v>
      </c>
      <c r="E370" s="2943">
        <v>2130</v>
      </c>
      <c r="F370" s="2943">
        <v>530</v>
      </c>
      <c r="G370" s="2956">
        <v>1310</v>
      </c>
    </row>
    <row r="371" spans="1:7" s="2778" customFormat="1">
      <c r="A371" s="2943" t="s">
        <v>3161</v>
      </c>
      <c r="B371" s="2943" t="s">
        <v>229</v>
      </c>
      <c r="C371" s="2943">
        <v>2460</v>
      </c>
      <c r="D371" s="2943">
        <v>2420</v>
      </c>
      <c r="E371" s="2943">
        <v>2370</v>
      </c>
      <c r="F371" s="2943">
        <v>560</v>
      </c>
      <c r="G371" s="2956">
        <v>1470</v>
      </c>
    </row>
    <row r="372" spans="1:7" s="2778" customFormat="1">
      <c r="A372" s="2943" t="s">
        <v>3161</v>
      </c>
      <c r="B372" s="2943" t="s">
        <v>3169</v>
      </c>
      <c r="C372" s="2943">
        <v>2250</v>
      </c>
      <c r="D372" s="2943">
        <v>2210</v>
      </c>
      <c r="E372" s="2943">
        <v>2180</v>
      </c>
      <c r="F372" s="2943">
        <v>550</v>
      </c>
      <c r="G372" s="2956">
        <v>1340</v>
      </c>
    </row>
    <row r="373" spans="1:7" s="2778" customFormat="1">
      <c r="A373" s="2943" t="s">
        <v>3161</v>
      </c>
      <c r="B373" s="2943" t="s">
        <v>258</v>
      </c>
      <c r="C373" s="2943">
        <v>2210</v>
      </c>
      <c r="D373" s="2943">
        <v>2190</v>
      </c>
      <c r="E373" s="2943">
        <v>2150</v>
      </c>
      <c r="F373" s="2943">
        <v>530</v>
      </c>
      <c r="G373" s="2956">
        <v>1320</v>
      </c>
    </row>
    <row r="374" spans="1:7" s="2778" customFormat="1">
      <c r="A374" s="2943" t="s">
        <v>3161</v>
      </c>
      <c r="B374" s="2943" t="s">
        <v>266</v>
      </c>
      <c r="C374" s="2943">
        <v>2320</v>
      </c>
      <c r="D374" s="2943">
        <v>2280</v>
      </c>
      <c r="E374" s="2943">
        <v>2230</v>
      </c>
      <c r="F374" s="2943">
        <v>580</v>
      </c>
      <c r="G374" s="2956">
        <v>1380</v>
      </c>
    </row>
    <row r="375" spans="1:7" s="2778" customFormat="1">
      <c r="A375" s="2943" t="s">
        <v>3161</v>
      </c>
      <c r="B375" s="2943" t="s">
        <v>3170</v>
      </c>
      <c r="C375" s="2943">
        <v>2090</v>
      </c>
      <c r="D375" s="2943">
        <v>2050</v>
      </c>
      <c r="E375" s="2943">
        <v>2020</v>
      </c>
      <c r="F375" s="2943">
        <v>520</v>
      </c>
      <c r="G375" s="2956">
        <v>1240</v>
      </c>
    </row>
    <row r="376" spans="1:7" s="2778" customFormat="1">
      <c r="A376" s="2943" t="s">
        <v>3161</v>
      </c>
      <c r="B376" s="2943" t="s">
        <v>277</v>
      </c>
      <c r="C376" s="2943">
        <v>2010</v>
      </c>
      <c r="D376" s="2943">
        <v>1980</v>
      </c>
      <c r="E376" s="2943">
        <v>1940</v>
      </c>
      <c r="F376" s="2943">
        <v>540</v>
      </c>
      <c r="G376" s="2956">
        <v>1190</v>
      </c>
    </row>
    <row r="377" spans="1:7" s="2778" customFormat="1" ht="11.4" thickBot="1">
      <c r="A377" s="2951" t="s">
        <v>3161</v>
      </c>
      <c r="B377" s="2954" t="s">
        <v>2923</v>
      </c>
      <c r="C377" s="2954">
        <v>1930</v>
      </c>
      <c r="D377" s="2954">
        <v>1890</v>
      </c>
      <c r="E377" s="2954">
        <v>1860</v>
      </c>
      <c r="F377" s="2954">
        <v>530</v>
      </c>
      <c r="G377" s="2959">
        <v>1150</v>
      </c>
    </row>
    <row r="378" spans="1:7" s="2778" customFormat="1">
      <c r="A378" s="2960" t="s">
        <v>3171</v>
      </c>
      <c r="B378" s="2939" t="s">
        <v>3172</v>
      </c>
      <c r="C378" s="2939">
        <v>1520</v>
      </c>
      <c r="D378" s="2939">
        <v>1490</v>
      </c>
      <c r="E378" s="2939">
        <v>1460</v>
      </c>
      <c r="F378" s="2939">
        <v>460</v>
      </c>
      <c r="G378" s="2955">
        <v>940</v>
      </c>
    </row>
    <row r="379" spans="1:7" s="2778" customFormat="1">
      <c r="A379" s="2961" t="s">
        <v>3171</v>
      </c>
      <c r="B379" s="2943" t="s">
        <v>3173</v>
      </c>
      <c r="C379" s="2943">
        <v>1500</v>
      </c>
      <c r="D379" s="2943">
        <v>1470</v>
      </c>
      <c r="E379" s="2943">
        <v>1430</v>
      </c>
      <c r="F379" s="2943">
        <v>460</v>
      </c>
      <c r="G379" s="2956">
        <v>920</v>
      </c>
    </row>
    <row r="380" spans="1:7" s="2778" customFormat="1">
      <c r="A380" s="2961" t="s">
        <v>3171</v>
      </c>
      <c r="B380" s="2943" t="s">
        <v>3174</v>
      </c>
      <c r="C380" s="2943">
        <v>1620</v>
      </c>
      <c r="D380" s="2943">
        <v>1590</v>
      </c>
      <c r="E380" s="2943">
        <v>1560</v>
      </c>
      <c r="F380" s="2943">
        <v>480</v>
      </c>
      <c r="G380" s="2956">
        <v>1000</v>
      </c>
    </row>
    <row r="381" spans="1:7" s="2778" customFormat="1">
      <c r="A381" s="2961" t="s">
        <v>3171</v>
      </c>
      <c r="B381" s="2943" t="s">
        <v>3175</v>
      </c>
      <c r="C381" s="2943">
        <v>1460</v>
      </c>
      <c r="D381" s="2943">
        <v>1430</v>
      </c>
      <c r="E381" s="2943">
        <v>1390</v>
      </c>
      <c r="F381" s="2943">
        <v>450</v>
      </c>
      <c r="G381" s="2956">
        <v>900</v>
      </c>
    </row>
    <row r="382" spans="1:7" s="2778" customFormat="1">
      <c r="A382" s="2961" t="s">
        <v>3171</v>
      </c>
      <c r="B382" s="2943" t="s">
        <v>3176</v>
      </c>
      <c r="C382" s="2943">
        <v>1310</v>
      </c>
      <c r="D382" s="2943">
        <v>1280</v>
      </c>
      <c r="E382" s="2943">
        <v>1250</v>
      </c>
      <c r="F382" s="2943">
        <v>440</v>
      </c>
      <c r="G382" s="2956">
        <v>800</v>
      </c>
    </row>
    <row r="383" spans="1:7" s="2778" customFormat="1">
      <c r="A383" s="2961" t="s">
        <v>3171</v>
      </c>
      <c r="B383" s="2943" t="s">
        <v>3177</v>
      </c>
      <c r="C383" s="2943">
        <v>1260</v>
      </c>
      <c r="D383" s="2943">
        <v>1230</v>
      </c>
      <c r="E383" s="2943">
        <v>1200</v>
      </c>
      <c r="F383" s="2943">
        <v>420</v>
      </c>
      <c r="G383" s="2956">
        <v>770</v>
      </c>
    </row>
    <row r="384" spans="1:7" s="2778" customFormat="1" ht="11.4" thickBot="1">
      <c r="A384" s="2962" t="s">
        <v>3171</v>
      </c>
      <c r="B384" s="2950" t="s">
        <v>3178</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45828</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1">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2"/>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2307</v>
      </c>
      <c r="C27" s="1207">
        <v>43697</v>
      </c>
      <c r="D27" s="2570">
        <v>4.25</v>
      </c>
      <c r="E27" s="2570">
        <v>4.25</v>
      </c>
      <c r="F27" s="2570">
        <v>4.25</v>
      </c>
      <c r="G27" s="2570">
        <v>4.25</v>
      </c>
      <c r="H27" s="2570">
        <v>4.8499999999999996</v>
      </c>
      <c r="I27" s="2570"/>
      <c r="J27" s="257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3"/>
      <c r="C28" s="2574">
        <v>42301</v>
      </c>
      <c r="D28" s="2575">
        <v>4.3499999999999996</v>
      </c>
      <c r="E28" s="2575">
        <v>4.3499999999999996</v>
      </c>
      <c r="F28" s="2575">
        <v>4.75</v>
      </c>
      <c r="G28" s="2575">
        <v>4.75</v>
      </c>
      <c r="H28" s="2575">
        <v>4.9000000000000004</v>
      </c>
      <c r="I28" s="2575"/>
      <c r="J28" s="257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9" t="s">
        <v>949</v>
      </c>
      <c r="B1" s="3209"/>
      <c r="C1" s="3209"/>
      <c r="D1" s="3209"/>
    </row>
    <row r="2" spans="1:4" ht="17.399999999999999">
      <c r="A2" s="3210" t="s">
        <v>933</v>
      </c>
      <c r="B2" s="3210"/>
      <c r="C2" s="3210"/>
      <c r="D2" s="3210"/>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10" t="s">
        <v>939</v>
      </c>
      <c r="B6" s="3210"/>
      <c r="C6" s="3210"/>
      <c r="D6" s="321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1" t="s">
        <v>942</v>
      </c>
      <c r="B11" s="3212"/>
      <c r="C11" s="3212"/>
      <c r="D11" s="3212"/>
    </row>
    <row r="12" spans="1:4" ht="15.6">
      <c r="A12" s="32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3"/>
      <c r="C12" s="3213"/>
      <c r="D12" s="3213"/>
    </row>
    <row r="13" spans="1:4" ht="30" customHeight="1">
      <c r="A13" s="32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3"/>
      <c r="C13" s="3213"/>
      <c r="D13" s="3213"/>
    </row>
    <row r="14" spans="1:4" ht="15.75" customHeight="1">
      <c r="A14" s="3212" t="str">
        <f>IF(项目基本情况!B8="抵押","4.本次评估估价师所知悉的法定优先受偿款情况说明如下：","——")</f>
        <v>4.本次评估估价师所知悉的法定优先受偿款情况说明如下：</v>
      </c>
      <c r="B14" s="3213"/>
      <c r="C14" s="3213"/>
      <c r="D14" s="3213"/>
    </row>
    <row r="15" spans="1:4" ht="42" customHeight="1">
      <c r="A15" s="321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2"/>
      <c r="C15" s="3212"/>
      <c r="D15" s="3212"/>
    </row>
    <row r="16" spans="1:4" ht="30" customHeight="1">
      <c r="A16" s="3215" t="s">
        <v>943</v>
      </c>
      <c r="B16" s="3215"/>
      <c r="C16" s="3215"/>
      <c r="D16" s="3215"/>
    </row>
    <row r="17" spans="1:4" ht="144" customHeight="1">
      <c r="A17" s="3215" t="s">
        <v>944</v>
      </c>
      <c r="B17" s="3215"/>
      <c r="C17" s="3215"/>
      <c r="D17" s="3215"/>
    </row>
    <row r="18" spans="1:4" ht="15.75" customHeight="1">
      <c r="A18" s="3212" t="str">
        <f>IF(项目基本情况!B8="抵押",结果表1001!K120,"——")</f>
        <v>故，本次评估不存在估价师知悉的法定优先受偿款</v>
      </c>
      <c r="B18" s="3212"/>
      <c r="C18" s="3212"/>
      <c r="D18" s="3212"/>
    </row>
    <row r="19" spans="1:4" ht="46.5" customHeight="1">
      <c r="A19" s="32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57.75" customHeight="1">
      <c r="A20" s="3212" t="str">
        <f>IF(结果表1001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2"/>
      <c r="C20" s="3212"/>
      <c r="D20" s="3212"/>
    </row>
    <row r="21" spans="1:4" ht="57.75" customHeight="1">
      <c r="A21" s="3216" t="str">
        <f>IF(结果表1001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6"/>
      <c r="C21" s="3216"/>
      <c r="D21" s="3216"/>
    </row>
    <row r="22" spans="1:4" ht="18.75" customHeight="1">
      <c r="A22" s="3217" t="s">
        <v>945</v>
      </c>
      <c r="B22" s="3217"/>
      <c r="C22" s="3217"/>
      <c r="D22" s="321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14">
        <v>42551</v>
      </c>
      <c r="D31" s="32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23" t="s">
        <v>956</v>
      </c>
      <c r="B15" s="3218" t="s">
        <v>109</v>
      </c>
      <c r="C15" s="3219"/>
    </row>
    <row r="16" spans="1:7" ht="14.4">
      <c r="A16" s="3224"/>
      <c r="B16" s="3218" t="s">
        <v>42</v>
      </c>
      <c r="C16" s="3219"/>
    </row>
    <row r="17" spans="1:3" ht="14.4">
      <c r="A17" s="3224"/>
      <c r="B17" s="3221" t="s">
        <v>957</v>
      </c>
      <c r="C17" s="1429" t="s">
        <v>956</v>
      </c>
    </row>
    <row r="18" spans="1:3" ht="14.4">
      <c r="A18" s="3224"/>
      <c r="B18" s="3221"/>
      <c r="C18" s="1429" t="s">
        <v>958</v>
      </c>
    </row>
    <row r="19" spans="1:3" ht="14.4">
      <c r="A19" s="3224"/>
      <c r="B19" s="3221"/>
      <c r="C19" s="1429" t="s">
        <v>959</v>
      </c>
    </row>
    <row r="20" spans="1:3" ht="14.4">
      <c r="A20" s="3225"/>
      <c r="B20" s="3220" t="s">
        <v>960</v>
      </c>
      <c r="C20" s="3219"/>
    </row>
    <row r="21" spans="1:3" ht="14.4">
      <c r="A21" s="1430" t="s">
        <v>961</v>
      </c>
      <c r="B21" s="1431"/>
      <c r="C21" s="1432"/>
    </row>
    <row r="22" spans="1:3" ht="14.4">
      <c r="A22" s="3222" t="s">
        <v>962</v>
      </c>
      <c r="B22" s="3220" t="s">
        <v>963</v>
      </c>
      <c r="C22" s="3219"/>
    </row>
    <row r="23" spans="1:3" ht="14.4">
      <c r="A23" s="3222"/>
      <c r="B23" s="3220" t="s">
        <v>964</v>
      </c>
      <c r="C23" s="3219"/>
    </row>
    <row r="24" spans="1:3" ht="14.4">
      <c r="A24" s="3222"/>
      <c r="B24" s="3220" t="s">
        <v>965</v>
      </c>
      <c r="C24" s="3219"/>
    </row>
    <row r="25" spans="1:3" ht="14.4">
      <c r="A25" s="3222"/>
      <c r="B25" s="3221" t="s">
        <v>966</v>
      </c>
      <c r="C25" s="1429" t="s">
        <v>967</v>
      </c>
    </row>
    <row r="26" spans="1:3" ht="14.4">
      <c r="A26" s="3222"/>
      <c r="B26" s="3221"/>
      <c r="C26" s="1429" t="s">
        <v>968</v>
      </c>
    </row>
    <row r="27" spans="1:3" ht="14.4">
      <c r="A27" s="3222"/>
      <c r="B27" s="3221"/>
      <c r="C27" s="1429" t="s">
        <v>969</v>
      </c>
    </row>
    <row r="28" spans="1:3" ht="14.4">
      <c r="A28" s="3222"/>
      <c r="B28" s="3221"/>
      <c r="C28" s="1429" t="s">
        <v>970</v>
      </c>
    </row>
    <row r="29" spans="1:3" ht="14.4">
      <c r="A29" s="3222"/>
      <c r="B29" s="3221"/>
      <c r="C29" s="1429" t="s">
        <v>971</v>
      </c>
    </row>
    <row r="30" spans="1:3" ht="14.4">
      <c r="A30" s="3222"/>
      <c r="B30" s="3221"/>
      <c r="C30" s="1429" t="s">
        <v>972</v>
      </c>
    </row>
    <row r="31" spans="1:3" ht="14.4">
      <c r="A31" s="3222"/>
      <c r="B31" s="3221"/>
      <c r="C31" s="1429" t="s">
        <v>973</v>
      </c>
    </row>
    <row r="32" spans="1:3" ht="14.4">
      <c r="A32" s="3222"/>
      <c r="B32" s="3221"/>
      <c r="C32" s="1429" t="s">
        <v>974</v>
      </c>
    </row>
    <row r="33" spans="1:3" ht="14.4">
      <c r="A33" s="3222"/>
      <c r="B33" s="3221"/>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2137</v>
      </c>
      <c r="B2" s="2157">
        <f ca="1">TODAY()</f>
        <v>45831</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6" t="s">
        <v>2158</v>
      </c>
      <c r="B17" s="3226"/>
      <c r="C17" s="3226"/>
      <c r="D17" s="3226"/>
      <c r="E17" s="3226"/>
      <c r="F17" s="3226"/>
      <c r="G17" s="3226"/>
      <c r="H17" s="3226"/>
    </row>
    <row r="18" spans="1:8" ht="24" customHeight="1">
      <c r="A18" s="3227" t="s">
        <v>2159</v>
      </c>
      <c r="B18" s="3227"/>
      <c r="C18" s="3227"/>
      <c r="D18" s="2160"/>
      <c r="E18" s="3228" t="s">
        <v>2160</v>
      </c>
      <c r="F18" s="3227"/>
      <c r="G18" s="3227"/>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212" priority="32" stopIfTrue="1" operator="equal">
      <formula>"已过期"</formula>
    </cfRule>
  </conditionalFormatting>
  <conditionalFormatting sqref="B4:B15">
    <cfRule type="cellIs" dxfId="211" priority="4" stopIfTrue="1" operator="equal">
      <formula>"已过期"</formula>
    </cfRule>
  </conditionalFormatting>
  <conditionalFormatting sqref="C7:C12">
    <cfRule type="expression" dxfId="210" priority="22">
      <formula>AND($C7-TODAY()&lt;30,TODAY()&lt;$C7)</formula>
    </cfRule>
    <cfRule type="cellIs" dxfId="209" priority="23" stopIfTrue="1" operator="lessThan">
      <formula>$B$2</formula>
    </cfRule>
  </conditionalFormatting>
  <conditionalFormatting sqref="C14:C15">
    <cfRule type="expression" dxfId="208" priority="7">
      <formula>AND($C14-TODAY()&lt;30,TODAY()&lt;$C14)</formula>
    </cfRule>
    <cfRule type="cellIs" dxfId="207" priority="8" stopIfTrue="1" operator="lessThan">
      <formula>$B$2</formula>
    </cfRule>
  </conditionalFormatting>
  <conditionalFormatting sqref="C4:D6 D14">
    <cfRule type="cellIs" dxfId="206" priority="50" stopIfTrue="1" operator="lessThan">
      <formula>$B$2</formula>
    </cfRule>
  </conditionalFormatting>
  <conditionalFormatting sqref="C12:D13">
    <cfRule type="expression" dxfId="205" priority="47">
      <formula>AND($C12-TODAY()&lt;30,TODAY()&lt;$C12)</formula>
    </cfRule>
  </conditionalFormatting>
  <conditionalFormatting sqref="C13:D14">
    <cfRule type="expression" dxfId="204" priority="18">
      <formula>AND($C13-TODAY()&lt;30,TODAY()&lt;$C13)</formula>
    </cfRule>
    <cfRule type="cellIs" dxfId="203" priority="19" stopIfTrue="1" operator="lessThan">
      <formula>$B$2</formula>
    </cfRule>
  </conditionalFormatting>
  <conditionalFormatting sqref="C15:D15">
    <cfRule type="expression" dxfId="202" priority="5">
      <formula>AND($C15-TODAY()&lt;30,TODAY()&lt;$C15)</formula>
    </cfRule>
    <cfRule type="cellIs" dxfId="201" priority="6" stopIfTrue="1" operator="lessThan">
      <formula>$B$2</formula>
    </cfRule>
  </conditionalFormatting>
  <conditionalFormatting sqref="C20:D20 C13:D13">
    <cfRule type="cellIs" dxfId="200" priority="54" stopIfTrue="1" operator="lessThan">
      <formula>$B$2</formula>
    </cfRule>
  </conditionalFormatting>
  <conditionalFormatting sqref="C20:D20">
    <cfRule type="expression" dxfId="199" priority="52">
      <formula>AND($C20-TODAY()&lt;30,TODAY()&lt;$C20)</formula>
    </cfRule>
  </conditionalFormatting>
  <conditionalFormatting sqref="D7:D12 D16">
    <cfRule type="expression" dxfId="198" priority="53">
      <formula>AND($C7-TODAY()&lt;30,TODAY()&lt;$C7)</formula>
    </cfRule>
  </conditionalFormatting>
  <conditionalFormatting sqref="D7:D12">
    <cfRule type="cellIs" dxfId="197" priority="48" stopIfTrue="1" operator="lessThan">
      <formula>$B$2</formula>
    </cfRule>
  </conditionalFormatting>
  <conditionalFormatting sqref="D14 C4:D6">
    <cfRule type="expression" dxfId="196" priority="49">
      <formula>AND($C4-TODAY()&lt;30,TODAY()&lt;$C4)</formula>
    </cfRule>
  </conditionalFormatting>
  <conditionalFormatting sqref="D15:D16">
    <cfRule type="expression" dxfId="195" priority="12">
      <formula>AND($C15-TODAY()&lt;30,TODAY()&lt;$C15)</formula>
    </cfRule>
    <cfRule type="cellIs" dxfId="194" priority="13" stopIfTrue="1" operator="lessThan">
      <formula>$B$2</formula>
    </cfRule>
  </conditionalFormatting>
  <conditionalFormatting sqref="E16:G16">
    <cfRule type="cellIs" dxfId="193" priority="31" stopIfTrue="1" operator="equal">
      <formula>"已过期"</formula>
    </cfRule>
  </conditionalFormatting>
  <conditionalFormatting sqref="F4:F15">
    <cfRule type="cellIs" dxfId="192" priority="9" stopIfTrue="1" operator="equal">
      <formula>"已过期"</formula>
    </cfRule>
  </conditionalFormatting>
  <conditionalFormatting sqref="G4:G15">
    <cfRule type="cellIs" dxfId="191" priority="3" stopIfTrue="1" operator="lessThan">
      <formula>$B$2</formula>
    </cfRule>
  </conditionalFormatting>
  <conditionalFormatting sqref="G20:G21">
    <cfRule type="expression" dxfId="190" priority="1" stopIfTrue="1">
      <formula>AND(#REF!-TODAY()&lt;30,TODAY()&lt;#REF!)</formula>
    </cfRule>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160</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结果表1001</vt:lpstr>
      <vt:lpstr>成本法</vt:lpstr>
      <vt:lpstr>假设开发法</vt:lpstr>
      <vt:lpstr>收益法</vt:lpstr>
      <vt:lpstr>结果表1002</vt:lpstr>
      <vt:lpstr>结果表1004</vt:lpstr>
      <vt:lpstr>结果表1005</vt:lpstr>
      <vt:lpstr>结果表1006</vt:lpstr>
      <vt:lpstr>结果表1007</vt:lpstr>
      <vt:lpstr>结果表1010</vt:lpstr>
      <vt:lpstr>结果表1011</vt:lpstr>
      <vt:lpstr>结果表1012</vt:lpstr>
      <vt:lpstr>面积信息</vt:lpstr>
      <vt:lpstr>售价案例</vt:lpstr>
      <vt:lpstr>比较法-办公</vt:lpstr>
      <vt:lpstr>收益法 (元)</vt:lpstr>
      <vt:lpstr>收益法-酒店模型</vt:lpstr>
      <vt:lpstr>收益法（汇总）</vt:lpstr>
      <vt:lpstr>比较法-住宅</vt:lpstr>
      <vt:lpstr>比较法-商业</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结果表1001!Print_Area</vt:lpstr>
      <vt:lpstr>结果表1002!Print_Area</vt:lpstr>
      <vt:lpstr>结果表1004!Print_Area</vt:lpstr>
      <vt:lpstr>结果表1005!Print_Area</vt:lpstr>
      <vt:lpstr>结果表1006!Print_Area</vt:lpstr>
      <vt:lpstr>结果表1007!Print_Area</vt:lpstr>
      <vt:lpstr>结果表1010!Print_Area</vt:lpstr>
      <vt:lpstr>结果表1011!Print_Area</vt:lpstr>
      <vt:lpstr>结果表1012!Print_Area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2025-06-23T05:18:21Z</dcterms:modified>
</cp:coreProperties>
</file>