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1-chenying110\共享文件夹\电子版测算表\军队双榆树询价\"/>
    </mc:Choice>
  </mc:AlternateContent>
  <xr:revisionPtr revIDLastSave="0" documentId="13_ncr:1_{5C4A94BC-BED8-4158-8AD4-032A34F0AAB2}" xr6:coauthVersionLast="45" xr6:coauthVersionMax="45" xr10:uidLastSave="{00000000-0000-0000-0000-000000000000}"/>
  <bookViews>
    <workbookView xWindow="-120" yWindow="-120" windowWidth="21840" windowHeight="1314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6"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7" i="21" l="1"/>
  <c r="I33" i="21"/>
  <c r="I7" i="21"/>
  <c r="I5" i="21"/>
  <c r="C6" i="11"/>
  <c r="G33" i="21"/>
  <c r="E47" i="21"/>
  <c r="E7" i="21"/>
  <c r="E5" i="21"/>
  <c r="G47" i="21"/>
  <c r="G7" i="21"/>
  <c r="G5" i="21"/>
  <c r="E17" i="1" l="1"/>
  <c r="C12" i="4"/>
  <c r="D5" i="9" l="1"/>
  <c r="F92" i="21"/>
  <c r="E92" i="21"/>
  <c r="D92" i="21"/>
  <c r="C92" i="21"/>
  <c r="E44" i="21"/>
  <c r="I37" i="21"/>
  <c r="G37" i="21"/>
  <c r="E37" i="21"/>
  <c r="I11" i="21"/>
  <c r="G11" i="21"/>
  <c r="E11" i="2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s="1"/>
  <c r="AD13" i="59"/>
  <c r="AH14" i="59"/>
  <c r="AG14" i="59"/>
  <c r="AE14" i="59"/>
  <c r="AF14" i="59" s="1"/>
  <c r="AD14" i="59"/>
  <c r="Q14" i="59"/>
  <c r="P14" i="59"/>
  <c r="O14" i="59"/>
  <c r="N14" i="59"/>
  <c r="L3" i="59"/>
  <c r="AH3" i="59" s="1"/>
  <c r="K3" i="59"/>
  <c r="AG3" i="59" s="1"/>
  <c r="J3" i="59"/>
  <c r="AE3" i="59" s="1"/>
  <c r="I3" i="59"/>
  <c r="AD3" i="59" s="1"/>
  <c r="AH15" i="59"/>
  <c r="AG15" i="59"/>
  <c r="AE15" i="59"/>
  <c r="AF15" i="59"/>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s="1"/>
  <c r="AD17" i="59"/>
  <c r="AH18" i="59"/>
  <c r="AG18" i="59"/>
  <c r="AE18" i="59"/>
  <c r="AF18" i="59" s="1"/>
  <c r="AD18" i="59"/>
  <c r="Q18" i="59"/>
  <c r="P18" i="59"/>
  <c r="O18" i="59"/>
  <c r="N18" i="59"/>
  <c r="Q19" i="59"/>
  <c r="P19" i="59"/>
  <c r="O19" i="59"/>
  <c r="N19" i="59"/>
  <c r="D19" i="59"/>
  <c r="E18" i="59"/>
  <c r="E17" i="59" s="1"/>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F81" i="59" s="1"/>
  <c r="F80" i="59" s="1"/>
  <c r="E82" i="59"/>
  <c r="E81" i="59"/>
  <c r="E80" i="59" s="1"/>
  <c r="C82" i="59"/>
  <c r="D82" i="59" s="1"/>
  <c r="B82" i="59"/>
  <c r="B81" i="59" s="1"/>
  <c r="B80" i="59" s="1"/>
  <c r="D79" i="59"/>
  <c r="F78" i="59"/>
  <c r="F77" i="59" s="1"/>
  <c r="F76" i="59" s="1"/>
  <c r="E78" i="59"/>
  <c r="E77" i="59" s="1"/>
  <c r="E76" i="59" s="1"/>
  <c r="C78" i="59"/>
  <c r="D78" i="59" s="1"/>
  <c r="B78" i="59"/>
  <c r="B77" i="59" s="1"/>
  <c r="B76" i="59"/>
  <c r="D75" i="59"/>
  <c r="S74" i="59"/>
  <c r="Q74" i="59"/>
  <c r="P74" i="59"/>
  <c r="O74" i="59"/>
  <c r="N74" i="59"/>
  <c r="F74" i="59"/>
  <c r="V74" i="59"/>
  <c r="E74" i="59"/>
  <c r="U74" i="59"/>
  <c r="C74" i="59"/>
  <c r="T74" i="59"/>
  <c r="B74" i="59"/>
  <c r="Q73" i="59"/>
  <c r="P73" i="59"/>
  <c r="O73" i="59"/>
  <c r="N73" i="59"/>
  <c r="F73" i="59"/>
  <c r="F72" i="59" s="1"/>
  <c r="B73" i="59"/>
  <c r="B72" i="59" s="1"/>
  <c r="Q72" i="59"/>
  <c r="P72" i="59"/>
  <c r="O72" i="59"/>
  <c r="N72" i="59"/>
  <c r="Q71" i="59"/>
  <c r="P71" i="59"/>
  <c r="O71" i="59"/>
  <c r="N71" i="59"/>
  <c r="D71" i="59"/>
  <c r="Q70" i="59"/>
  <c r="P70" i="59"/>
  <c r="O70" i="59"/>
  <c r="N70" i="59"/>
  <c r="F70" i="59"/>
  <c r="V70" i="59"/>
  <c r="E70" i="59"/>
  <c r="U70" i="59"/>
  <c r="C70" i="59"/>
  <c r="T70" i="59"/>
  <c r="B70" i="59"/>
  <c r="S70" i="59" s="1"/>
  <c r="Q69" i="59"/>
  <c r="P69" i="59"/>
  <c r="O69" i="59"/>
  <c r="N69" i="59"/>
  <c r="F69" i="59"/>
  <c r="F68" i="59" s="1"/>
  <c r="B69" i="59"/>
  <c r="B68" i="59" s="1"/>
  <c r="Q68" i="59"/>
  <c r="P68" i="59"/>
  <c r="O68" i="59"/>
  <c r="N68" i="59"/>
  <c r="Q67" i="59"/>
  <c r="P67" i="59"/>
  <c r="O67" i="59"/>
  <c r="N67" i="59"/>
  <c r="D67" i="59"/>
  <c r="Q66" i="59"/>
  <c r="P66" i="59"/>
  <c r="O66" i="59"/>
  <c r="N66" i="59"/>
  <c r="F66" i="59"/>
  <c r="V66" i="59" s="1"/>
  <c r="E66" i="59"/>
  <c r="C66" i="59"/>
  <c r="B66" i="59"/>
  <c r="S66" i="59" s="1"/>
  <c r="Q65" i="59"/>
  <c r="P65" i="59"/>
  <c r="O65" i="59"/>
  <c r="N65" i="59"/>
  <c r="Q64" i="59"/>
  <c r="P64" i="59"/>
  <c r="O64" i="59"/>
  <c r="N64" i="59"/>
  <c r="Q63" i="59"/>
  <c r="P63" i="59"/>
  <c r="O63" i="59"/>
  <c r="N63" i="59"/>
  <c r="D63" i="59"/>
  <c r="F62" i="59"/>
  <c r="E62" i="59"/>
  <c r="E61" i="59" s="1"/>
  <c r="E60" i="59" s="1"/>
  <c r="P59" i="59" s="1"/>
  <c r="C62" i="59"/>
  <c r="B62" i="59"/>
  <c r="B61" i="59"/>
  <c r="D59" i="59"/>
  <c r="Q58" i="59"/>
  <c r="P58" i="59"/>
  <c r="O58" i="59"/>
  <c r="N58" i="59"/>
  <c r="Q57" i="59"/>
  <c r="P57" i="59"/>
  <c r="O57" i="59"/>
  <c r="N57" i="59"/>
  <c r="Q56" i="59"/>
  <c r="P56" i="59"/>
  <c r="O56" i="59"/>
  <c r="N56" i="59"/>
  <c r="Q55" i="59"/>
  <c r="F56" i="59"/>
  <c r="F57" i="59" s="1"/>
  <c r="F58" i="59" s="1"/>
  <c r="V58" i="59" s="1"/>
  <c r="P55" i="59"/>
  <c r="E56" i="59" s="1"/>
  <c r="O55" i="59"/>
  <c r="C56" i="59" s="1"/>
  <c r="N55" i="59"/>
  <c r="B56" i="59"/>
  <c r="D55" i="59"/>
  <c r="Q54" i="59"/>
  <c r="P54" i="59"/>
  <c r="O54" i="59"/>
  <c r="N54" i="59"/>
  <c r="Q53" i="59"/>
  <c r="P53" i="59"/>
  <c r="O53" i="59"/>
  <c r="N53" i="59"/>
  <c r="Q52" i="59"/>
  <c r="P52" i="59"/>
  <c r="O52" i="59"/>
  <c r="N52" i="59"/>
  <c r="Q51" i="59"/>
  <c r="F52" i="59" s="1"/>
  <c r="F53" i="59" s="1"/>
  <c r="F54" i="59" s="1"/>
  <c r="V54" i="59" s="1"/>
  <c r="P51" i="59"/>
  <c r="E52" i="59" s="1"/>
  <c r="E53" i="59" s="1"/>
  <c r="E54" i="59" s="1"/>
  <c r="U54" i="59" s="1"/>
  <c r="O51" i="59"/>
  <c r="C52" i="59" s="1"/>
  <c r="N51" i="59"/>
  <c r="B52" i="59" s="1"/>
  <c r="B53" i="59"/>
  <c r="B54" i="59" s="1"/>
  <c r="S54" i="59" s="1"/>
  <c r="D51" i="59"/>
  <c r="Q50" i="59"/>
  <c r="P50" i="59"/>
  <c r="O50" i="59"/>
  <c r="N50" i="59"/>
  <c r="Q49" i="59"/>
  <c r="P49" i="59"/>
  <c r="O49" i="59"/>
  <c r="N49" i="59"/>
  <c r="Q48" i="59"/>
  <c r="P48" i="59"/>
  <c r="O48" i="59"/>
  <c r="N48" i="59"/>
  <c r="Q47" i="59"/>
  <c r="F48" i="59" s="1"/>
  <c r="F49" i="59" s="1"/>
  <c r="F50" i="59" s="1"/>
  <c r="V50" i="59" s="1"/>
  <c r="P47" i="59"/>
  <c r="E48" i="59" s="1"/>
  <c r="O47" i="59"/>
  <c r="C48" i="59" s="1"/>
  <c r="N47" i="59"/>
  <c r="B48"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s="1"/>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Q34" i="59"/>
  <c r="P34" i="59"/>
  <c r="O34" i="59"/>
  <c r="N34" i="59"/>
  <c r="Q33" i="59"/>
  <c r="AB33" i="59" s="1"/>
  <c r="P33" i="59"/>
  <c r="AA33" i="59" s="1"/>
  <c r="O33" i="59"/>
  <c r="Y33" i="59" s="1"/>
  <c r="Z33" i="59" s="1"/>
  <c r="N33" i="59"/>
  <c r="X33" i="59" s="1"/>
  <c r="Q32" i="59"/>
  <c r="P32" i="59"/>
  <c r="O32" i="59"/>
  <c r="Y32" i="59" s="1"/>
  <c r="Z32" i="59" s="1"/>
  <c r="N32" i="59"/>
  <c r="Q31" i="59"/>
  <c r="P31" i="59"/>
  <c r="O31" i="59"/>
  <c r="Y31" i="59" s="1"/>
  <c r="Z31" i="59" s="1"/>
  <c r="N31" i="59"/>
  <c r="B32" i="59" s="1"/>
  <c r="B33" i="59" s="1"/>
  <c r="B34" i="59" s="1"/>
  <c r="S34" i="59" s="1"/>
  <c r="D31" i="59"/>
  <c r="Q30" i="59"/>
  <c r="P30" i="59"/>
  <c r="AA30" i="59" s="1"/>
  <c r="O30" i="59"/>
  <c r="N30" i="59"/>
  <c r="X30" i="59" s="1"/>
  <c r="Q29" i="59"/>
  <c r="P29" i="59"/>
  <c r="AA29" i="59" s="1"/>
  <c r="O29" i="59"/>
  <c r="N29" i="59"/>
  <c r="X29" i="59" s="1"/>
  <c r="Q28" i="59"/>
  <c r="P28" i="59"/>
  <c r="AA28" i="59" s="1"/>
  <c r="O28" i="59"/>
  <c r="N28" i="59"/>
  <c r="X28" i="59" s="1"/>
  <c r="Q27" i="59"/>
  <c r="P27" i="59"/>
  <c r="AA3" i="59" s="1"/>
  <c r="O27" i="59"/>
  <c r="C28" i="59"/>
  <c r="C29" i="59" s="1"/>
  <c r="N27" i="59"/>
  <c r="B28" i="59"/>
  <c r="B29" i="59" s="1"/>
  <c r="B30" i="59" s="1"/>
  <c r="S30" i="59" s="1"/>
  <c r="D27" i="59"/>
  <c r="Q26" i="59"/>
  <c r="P26" i="59"/>
  <c r="O26" i="59"/>
  <c r="Y26" i="59" s="1"/>
  <c r="Z26" i="59" s="1"/>
  <c r="N26" i="59"/>
  <c r="Q25" i="59"/>
  <c r="P25" i="59"/>
  <c r="O25" i="59"/>
  <c r="Y25" i="59" s="1"/>
  <c r="Z25" i="59" s="1"/>
  <c r="N25" i="59"/>
  <c r="Q24" i="59"/>
  <c r="P24" i="59"/>
  <c r="O24" i="59"/>
  <c r="Y24" i="59" s="1"/>
  <c r="Z24" i="59" s="1"/>
  <c r="N24" i="59"/>
  <c r="Q23" i="59"/>
  <c r="P23" i="59"/>
  <c r="O23" i="59"/>
  <c r="Y23" i="59" s="1"/>
  <c r="Z23" i="59" s="1"/>
  <c r="N23" i="59"/>
  <c r="D23" i="59"/>
  <c r="O22" i="59"/>
  <c r="N22" i="59"/>
  <c r="X21" i="59" s="1"/>
  <c r="C22" i="59"/>
  <c r="T22" i="59" s="1"/>
  <c r="Y19" i="59"/>
  <c r="Z19" i="59" s="1"/>
  <c r="Y22" i="59"/>
  <c r="Z22" i="59" s="1"/>
  <c r="B22" i="59"/>
  <c r="B21" i="59" s="1"/>
  <c r="B20" i="59" s="1"/>
  <c r="X20" i="59"/>
  <c r="C41" i="59"/>
  <c r="D41" i="59" s="1"/>
  <c r="D40" i="59"/>
  <c r="P22" i="59"/>
  <c r="E49" i="59"/>
  <c r="E50" i="59" s="1"/>
  <c r="U50" i="59" s="1"/>
  <c r="E57" i="59"/>
  <c r="E58" i="59" s="1"/>
  <c r="U58" i="59" s="1"/>
  <c r="P60" i="59"/>
  <c r="U66" i="59"/>
  <c r="E65" i="59"/>
  <c r="E64" i="59" s="1"/>
  <c r="Q22" i="59"/>
  <c r="F22" i="59" s="1"/>
  <c r="C53" i="59"/>
  <c r="D53" i="59" s="1"/>
  <c r="D52" i="59"/>
  <c r="N61" i="59"/>
  <c r="B60" i="59"/>
  <c r="N59" i="59" s="1"/>
  <c r="T62" i="59"/>
  <c r="O62" i="59"/>
  <c r="D62" i="59"/>
  <c r="C61" i="59"/>
  <c r="C60" i="59" s="1"/>
  <c r="T66" i="59"/>
  <c r="D66" i="59"/>
  <c r="C65" i="59"/>
  <c r="Q62" i="59"/>
  <c r="C69" i="59"/>
  <c r="E69" i="59"/>
  <c r="E68" i="59" s="1"/>
  <c r="D70" i="59"/>
  <c r="C73" i="59"/>
  <c r="C72" i="59" s="1"/>
  <c r="D72" i="59" s="1"/>
  <c r="E73" i="59"/>
  <c r="E72" i="59" s="1"/>
  <c r="D74" i="59"/>
  <c r="C77" i="59"/>
  <c r="C81" i="59"/>
  <c r="D81" i="59" s="1"/>
  <c r="AB3" i="59"/>
  <c r="AB20" i="59"/>
  <c r="AB22" i="59"/>
  <c r="E22" i="59"/>
  <c r="E21" i="59" s="1"/>
  <c r="E20" i="59" s="1"/>
  <c r="AA21" i="59"/>
  <c r="C21" i="59"/>
  <c r="C20" i="59" s="1"/>
  <c r="D20" i="59" s="1"/>
  <c r="D77" i="59"/>
  <c r="C76" i="59"/>
  <c r="D76" i="59" s="1"/>
  <c r="D69" i="59"/>
  <c r="C68" i="59"/>
  <c r="D68" i="59" s="1"/>
  <c r="C64" i="59"/>
  <c r="D64" i="59" s="1"/>
  <c r="D65" i="59"/>
  <c r="D73" i="59"/>
  <c r="C54" i="59"/>
  <c r="D54" i="59" s="1"/>
  <c r="N60" i="59"/>
  <c r="T54"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c r="F83" i="21" s="1"/>
  <c r="F21" i="21"/>
  <c r="AA21" i="21" s="1"/>
  <c r="C21" i="21"/>
  <c r="G20" i="20"/>
  <c r="B86" i="43" s="1"/>
  <c r="C22" i="20"/>
  <c r="B66" i="43" s="1"/>
  <c r="S25" i="40"/>
  <c r="S18" i="36"/>
  <c r="W18" i="35"/>
  <c r="U18" i="35"/>
  <c r="S18" i="35"/>
  <c r="S21" i="37"/>
  <c r="U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c r="B112" i="39"/>
  <c r="J30" i="36"/>
  <c r="AC30" i="36" s="1"/>
  <c r="H30" i="36"/>
  <c r="F30" i="36"/>
  <c r="AA30" i="36" s="1"/>
  <c r="C79" i="35"/>
  <c r="J31" i="35"/>
  <c r="W31" i="35" s="1"/>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AC38" i="34" s="1"/>
  <c r="D114" i="34"/>
  <c r="D112" i="34"/>
  <c r="E112" i="34" s="1"/>
  <c r="F112" i="34"/>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F27" i="40" s="1"/>
  <c r="D92" i="40"/>
  <c r="E92" i="40" s="1"/>
  <c r="F92" i="40"/>
  <c r="G92" i="40" s="1"/>
  <c r="D90" i="40"/>
  <c r="E90" i="40" s="1"/>
  <c r="D88" i="40"/>
  <c r="E88" i="40" s="1"/>
  <c r="F88" i="40" s="1"/>
  <c r="G88" i="40" s="1"/>
  <c r="D86" i="40"/>
  <c r="E86" i="40" s="1"/>
  <c r="D84" i="40"/>
  <c r="E84" i="40" s="1"/>
  <c r="B81" i="40"/>
  <c r="B79" i="40"/>
  <c r="J13" i="40" s="1"/>
  <c r="W13" i="40" s="1"/>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c r="AC43" i="39" s="1"/>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E97" i="39" s="1"/>
  <c r="F97" i="39" s="1"/>
  <c r="G97" i="39" s="1"/>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F12" i="39" s="1"/>
  <c r="S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s="1"/>
  <c r="Q9" i="39"/>
  <c r="Z9" i="39" s="1"/>
  <c r="J9" i="39"/>
  <c r="AC9" i="39" s="1"/>
  <c r="H9" i="39"/>
  <c r="AB9" i="39" s="1"/>
  <c r="F9" i="39"/>
  <c r="S9" i="39" s="1"/>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AC17" i="37" s="1"/>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AA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J11" i="36" s="1"/>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J35" i="35" s="1"/>
  <c r="B97" i="35"/>
  <c r="J34" i="35" s="1"/>
  <c r="AC34" i="35" s="1"/>
  <c r="B77" i="35"/>
  <c r="J25" i="35" s="1"/>
  <c r="B75" i="35"/>
  <c r="B73" i="35"/>
  <c r="H23" i="35" s="1"/>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E116" i="34" s="1"/>
  <c r="F116" i="34" s="1"/>
  <c r="G116" i="34" s="1"/>
  <c r="H116" i="34" s="1"/>
  <c r="I116" i="34" s="1"/>
  <c r="J116" i="34" s="1"/>
  <c r="K116" i="34" s="1"/>
  <c r="L116" i="34" s="1"/>
  <c r="M116" i="34" s="1"/>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F12" i="34"/>
  <c r="AA12" i="34" s="1"/>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c r="D79" i="33"/>
  <c r="E79" i="33"/>
  <c r="F79" i="33" s="1"/>
  <c r="G79" i="33" s="1"/>
  <c r="D77" i="33"/>
  <c r="E77" i="33"/>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F45" i="21" s="1"/>
  <c r="B126" i="21"/>
  <c r="B98" i="21"/>
  <c r="H31" i="21" s="1"/>
  <c r="AB31" i="21" s="1"/>
  <c r="B96" i="21"/>
  <c r="B94" i="21"/>
  <c r="J29" i="21" s="1"/>
  <c r="AC29" i="21" s="1"/>
  <c r="B92" i="21"/>
  <c r="B90" i="21"/>
  <c r="J27" i="21" s="1"/>
  <c r="W27" i="21" s="1"/>
  <c r="B74" i="21"/>
  <c r="B72" i="21"/>
  <c r="J13" i="21" s="1"/>
  <c r="W13" i="21" s="1"/>
  <c r="B70" i="21"/>
  <c r="F12" i="21"/>
  <c r="AA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W41" i="21"/>
  <c r="F45" i="39"/>
  <c r="J45" i="39"/>
  <c r="W45" i="39" s="1"/>
  <c r="F36" i="39"/>
  <c r="S36" i="39" s="1"/>
  <c r="H36" i="39"/>
  <c r="AB36" i="39" s="1"/>
  <c r="J36" i="39"/>
  <c r="AC36" i="39" s="1"/>
  <c r="S8" i="39"/>
  <c r="H32" i="37"/>
  <c r="AB32" i="37" s="1"/>
  <c r="U8" i="37"/>
  <c r="U14" i="37"/>
  <c r="W30" i="37"/>
  <c r="F29" i="36"/>
  <c r="AA29" i="36" s="1"/>
  <c r="F16" i="36"/>
  <c r="S16" i="36" s="1"/>
  <c r="U22" i="36"/>
  <c r="AA31" i="36"/>
  <c r="AC31" i="36"/>
  <c r="W31" i="36"/>
  <c r="J33" i="36"/>
  <c r="W33" i="36" s="1"/>
  <c r="AB34" i="36"/>
  <c r="H22" i="35"/>
  <c r="AB22" i="35" s="1"/>
  <c r="U31" i="35"/>
  <c r="U32" i="35"/>
  <c r="F36" i="34"/>
  <c r="AA36" i="34" s="1"/>
  <c r="U39" i="34"/>
  <c r="H39" i="33"/>
  <c r="AB39" i="33"/>
  <c r="F26" i="33"/>
  <c r="AA26" i="33"/>
  <c r="S40" i="33"/>
  <c r="W8" i="2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c r="J34" i="36"/>
  <c r="W34" i="36"/>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W9" i="35"/>
  <c r="F14" i="35"/>
  <c r="AA14" i="35" s="1"/>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J34" i="33"/>
  <c r="W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3" i="40"/>
  <c r="AA23" i="40" s="1"/>
  <c r="AB30" i="36"/>
  <c r="AC34" i="36"/>
  <c r="W32" i="35"/>
  <c r="F29" i="35"/>
  <c r="S29" i="35" s="1"/>
  <c r="U34" i="37"/>
  <c r="AB42" i="34"/>
  <c r="H38" i="34"/>
  <c r="U38" i="34" s="1"/>
  <c r="H37" i="33"/>
  <c r="AB37" i="33" s="1"/>
  <c r="AA37" i="33"/>
  <c r="H36" i="33"/>
  <c r="U36" i="33" s="1"/>
  <c r="F17" i="33"/>
  <c r="AA17" i="33" s="1"/>
  <c r="H15" i="33"/>
  <c r="AB15" i="33" s="1"/>
  <c r="AB11" i="33"/>
  <c r="W42" i="34"/>
  <c r="AA42" i="34"/>
  <c r="S42"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F13" i="40"/>
  <c r="AA13" i="40"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S46" i="33"/>
  <c r="AB45" i="33"/>
  <c r="U31" i="33"/>
  <c r="AC29" i="33"/>
  <c r="S19" i="21"/>
  <c r="J41" i="39"/>
  <c r="W41" i="39"/>
  <c r="U36" i="39"/>
  <c r="S508" i="31"/>
  <c r="S506" i="31"/>
  <c r="S504" i="31"/>
  <c r="S502" i="31"/>
  <c r="O30" i="31"/>
  <c r="O31" i="31"/>
  <c r="O29" i="31"/>
  <c r="M30" i="31"/>
  <c r="M31" i="31"/>
  <c r="M29" i="31"/>
  <c r="I29" i="31"/>
  <c r="I28" i="3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AC33" i="36"/>
  <c r="AA11" i="35"/>
  <c r="AC12" i="35"/>
  <c r="S28" i="37"/>
  <c r="W47" i="34"/>
  <c r="W14" i="33"/>
  <c r="AC31" i="33"/>
  <c r="AA30" i="33"/>
  <c r="AB10" i="33"/>
  <c r="S11" i="33"/>
  <c r="W10" i="36"/>
  <c r="W38" i="37"/>
  <c r="H19" i="34"/>
  <c r="U19" i="34" s="1"/>
  <c r="F36" i="35"/>
  <c r="AA36" i="35" s="1"/>
  <c r="J9" i="37"/>
  <c r="W9" i="37" s="1"/>
  <c r="H9" i="37"/>
  <c r="AB9" i="37" s="1"/>
  <c r="F9" i="37"/>
  <c r="AA9" i="37" s="1"/>
  <c r="F11" i="37"/>
  <c r="S11" i="37" s="1"/>
  <c r="J42" i="39"/>
  <c r="AC42" i="39" s="1"/>
  <c r="AB27" i="40"/>
  <c r="U31" i="39"/>
  <c r="C12" i="43"/>
  <c r="D15" i="47"/>
  <c r="D17" i="47"/>
  <c r="D19" i="47"/>
  <c r="D21" i="47"/>
  <c r="D23" i="47"/>
  <c r="D27" i="47"/>
  <c r="D33" i="47"/>
  <c r="D37" i="47"/>
  <c r="D39" i="47"/>
  <c r="D41" i="47"/>
  <c r="D43" i="47"/>
  <c r="D16" i="47"/>
  <c r="D18" i="47"/>
  <c r="D20" i="47"/>
  <c r="D22" i="47"/>
  <c r="D26" i="47"/>
  <c r="D28" i="47"/>
  <c r="F26" i="47" s="1"/>
  <c r="B24" i="47" s="1"/>
  <c r="D30" i="47"/>
  <c r="D32" i="47"/>
  <c r="D34" i="47"/>
  <c r="D38" i="47"/>
  <c r="D40" i="47"/>
  <c r="D42" i="47"/>
  <c r="D44" i="47"/>
  <c r="D9" i="47"/>
  <c r="D8" i="47"/>
  <c r="D6" i="47"/>
  <c r="H19" i="40"/>
  <c r="AB19" i="40" s="1"/>
  <c r="F19" i="40"/>
  <c r="S19" i="40" s="1"/>
  <c r="S17" i="39"/>
  <c r="W43" i="39"/>
  <c r="U45" i="39"/>
  <c r="AB45"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AC20" i="35"/>
  <c r="S39" i="34"/>
  <c r="AC10" i="34"/>
  <c r="AB30" i="34"/>
  <c r="AC30" i="34"/>
  <c r="H23" i="34"/>
  <c r="AB23" i="34" s="1"/>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W34" i="34"/>
  <c r="J33" i="34"/>
  <c r="J37" i="34"/>
  <c r="W37" i="34" s="1"/>
  <c r="S23" i="34"/>
  <c r="AB33" i="34"/>
  <c r="AC37" i="34"/>
  <c r="J26" i="35"/>
  <c r="W26" i="35"/>
  <c r="F26" i="35"/>
  <c r="AA26" i="35"/>
  <c r="H26" i="35"/>
  <c r="U26" i="35"/>
  <c r="K145" i="21"/>
  <c r="K144" i="21"/>
  <c r="K141" i="21"/>
  <c r="K143" i="21"/>
  <c r="B101" i="9"/>
  <c r="C112" i="9" s="1"/>
  <c r="H110" i="9" s="1"/>
  <c r="F23" i="21"/>
  <c r="J23" i="21"/>
  <c r="AC23" i="21" s="1"/>
  <c r="H23" i="21"/>
  <c r="U23" i="21" s="1"/>
  <c r="F17" i="21"/>
  <c r="AA17" i="21" s="1"/>
  <c r="J17" i="21"/>
  <c r="AC17" i="21" s="1"/>
  <c r="H17" i="21"/>
  <c r="AB17" i="21" s="1"/>
  <c r="J15" i="21"/>
  <c r="W15" i="21" s="1"/>
  <c r="AC35" i="21"/>
  <c r="A131" i="9"/>
  <c r="A135" i="57"/>
  <c r="B103" i="57"/>
  <c r="C112" i="57"/>
  <c r="H107" i="57" s="1"/>
  <c r="D128" i="57"/>
  <c r="T27" i="31"/>
  <c r="S27" i="31"/>
  <c r="B113" i="43"/>
  <c r="I118" i="43" s="1"/>
  <c r="J118" i="43" s="1"/>
  <c r="K118" i="43" s="1"/>
  <c r="L118" i="43" s="1"/>
  <c r="M118" i="43" s="1"/>
  <c r="M101" i="43"/>
  <c r="K101" i="43"/>
  <c r="K107" i="43" s="1"/>
  <c r="I101" i="43"/>
  <c r="G101" i="43"/>
  <c r="G105" i="43" s="1"/>
  <c r="E101" i="43"/>
  <c r="C101" i="43"/>
  <c r="N101" i="43"/>
  <c r="L101" i="43"/>
  <c r="J101" i="43"/>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B40" i="37"/>
  <c r="U40" i="37"/>
  <c r="AA16" i="35"/>
  <c r="S14" i="39"/>
  <c r="AB29" i="35"/>
  <c r="U29" i="35"/>
  <c r="AA35" i="39"/>
  <c r="AB21" i="39"/>
  <c r="W44" i="33"/>
  <c r="U36" i="37"/>
  <c r="AB46" i="34"/>
  <c r="S14" i="34"/>
  <c r="AA14" i="34"/>
  <c r="W44" i="21"/>
  <c r="AB38" i="34"/>
  <c r="F40" i="34"/>
  <c r="AA40" i="34" s="1"/>
  <c r="G118" i="34"/>
  <c r="AB20" i="36"/>
  <c r="AA16" i="36"/>
  <c r="H13" i="21"/>
  <c r="U13" i="21" s="1"/>
  <c r="F13" i="21"/>
  <c r="J45" i="21"/>
  <c r="W45" i="21" s="1"/>
  <c r="B41" i="47"/>
  <c r="C23" i="40"/>
  <c r="AC8" i="34"/>
  <c r="W8" i="34"/>
  <c r="J9" i="34"/>
  <c r="AC9" i="34" s="1"/>
  <c r="F9" i="34"/>
  <c r="AA19" i="34"/>
  <c r="S19" i="34"/>
  <c r="AA9" i="36"/>
  <c r="S9" i="36"/>
  <c r="J12" i="36"/>
  <c r="W12" i="36" s="1"/>
  <c r="H12" i="36"/>
  <c r="AA9" i="39"/>
  <c r="AB12" i="39"/>
  <c r="J12" i="39"/>
  <c r="AC12" i="39" s="1"/>
  <c r="R29" i="31"/>
  <c r="T29" i="31" s="1"/>
  <c r="F15" i="21"/>
  <c r="S15" i="21" s="1"/>
  <c r="C106" i="9"/>
  <c r="H102" i="9" s="1"/>
  <c r="AA30" i="21"/>
  <c r="J36" i="34"/>
  <c r="S8" i="34"/>
  <c r="J19" i="40"/>
  <c r="AC19" i="40" s="1"/>
  <c r="W9" i="39"/>
  <c r="U14" i="39"/>
  <c r="H32" i="39"/>
  <c r="F21" i="39"/>
  <c r="AA21" i="39" s="1"/>
  <c r="F37" i="47"/>
  <c r="B35" i="47" s="1"/>
  <c r="F31" i="37"/>
  <c r="AA31" i="37" s="1"/>
  <c r="AC36" i="40"/>
  <c r="F17" i="37"/>
  <c r="AA17" i="37" s="1"/>
  <c r="AA29" i="33"/>
  <c r="AB28" i="36"/>
  <c r="AB13" i="40"/>
  <c r="S12" i="40"/>
  <c r="AB13" i="37"/>
  <c r="U44" i="33"/>
  <c r="AB11" i="35"/>
  <c r="AB32" i="34"/>
  <c r="H45" i="21"/>
  <c r="AB45" i="21" s="1"/>
  <c r="J14" i="36"/>
  <c r="AC14" i="36" s="1"/>
  <c r="AC30" i="21"/>
  <c r="S15" i="34"/>
  <c r="J40" i="34"/>
  <c r="H19" i="33"/>
  <c r="AB19" i="33" s="1"/>
  <c r="AB23" i="33"/>
  <c r="U23" i="33"/>
  <c r="W23" i="33"/>
  <c r="J23" i="34"/>
  <c r="AC30" i="40"/>
  <c r="W22" i="35"/>
  <c r="E106" i="21"/>
  <c r="F106" i="21" s="1"/>
  <c r="G106" i="21" s="1"/>
  <c r="H106" i="21" s="1"/>
  <c r="I106" i="21" s="1"/>
  <c r="J106" i="21" s="1"/>
  <c r="K106" i="21" s="1"/>
  <c r="L106" i="21" s="1"/>
  <c r="M106" i="21" s="1"/>
  <c r="F34" i="21"/>
  <c r="S34" i="21" s="1"/>
  <c r="H34" i="21"/>
  <c r="U34" i="21" s="1"/>
  <c r="J34" i="21"/>
  <c r="AC34" i="21" s="1"/>
  <c r="W36" i="21"/>
  <c r="E101" i="33"/>
  <c r="F32" i="33"/>
  <c r="H9" i="34"/>
  <c r="AB9" i="34" s="1"/>
  <c r="W27" i="34"/>
  <c r="H28" i="34"/>
  <c r="U28" i="34" s="1"/>
  <c r="J39" i="34"/>
  <c r="W39" i="34" s="1"/>
  <c r="J27" i="36"/>
  <c r="W27" i="36" s="1"/>
  <c r="F37" i="34"/>
  <c r="AA37" i="34" s="1"/>
  <c r="H37" i="34"/>
  <c r="AA32" i="37"/>
  <c r="AB12" i="40"/>
  <c r="U12" i="40"/>
  <c r="AC14" i="39"/>
  <c r="AC46" i="34"/>
  <c r="AA32" i="34"/>
  <c r="S31" i="33"/>
  <c r="W28" i="33"/>
  <c r="AC34" i="33"/>
  <c r="S14" i="35"/>
  <c r="S45" i="39"/>
  <c r="AA45" i="39"/>
  <c r="H27" i="21"/>
  <c r="AB27" i="21" s="1"/>
  <c r="F27" i="21"/>
  <c r="AA27" i="21" s="1"/>
  <c r="H29" i="21"/>
  <c r="J31" i="21"/>
  <c r="W31" i="21" s="1"/>
  <c r="F31" i="21"/>
  <c r="AA31" i="21" s="1"/>
  <c r="H39" i="21"/>
  <c r="U39" i="21" s="1"/>
  <c r="AA15" i="33"/>
  <c r="S15" i="33"/>
  <c r="AA35" i="33"/>
  <c r="E117" i="33"/>
  <c r="F117" i="33" s="1"/>
  <c r="G117" i="33" s="1"/>
  <c r="J39" i="33"/>
  <c r="E125" i="33"/>
  <c r="H43" i="33"/>
  <c r="U43" i="33" s="1"/>
  <c r="E91" i="33"/>
  <c r="F91" i="33" s="1"/>
  <c r="G91" i="33" s="1"/>
  <c r="H91" i="33" s="1"/>
  <c r="I91" i="33" s="1"/>
  <c r="J91" i="33" s="1"/>
  <c r="K91" i="33" s="1"/>
  <c r="L91" i="33" s="1"/>
  <c r="M91" i="33" s="1"/>
  <c r="F27" i="33"/>
  <c r="H41" i="33"/>
  <c r="U41" i="33" s="1"/>
  <c r="S12" i="34"/>
  <c r="AA11" i="34"/>
  <c r="S11" i="34"/>
  <c r="F80" i="34"/>
  <c r="H17" i="34"/>
  <c r="U17" i="34"/>
  <c r="H16" i="35"/>
  <c r="U16" i="35"/>
  <c r="J24" i="35"/>
  <c r="AC24" i="35"/>
  <c r="F24" i="35"/>
  <c r="AA24" i="35"/>
  <c r="H24" i="35"/>
  <c r="U24" i="35"/>
  <c r="H34" i="35"/>
  <c r="U34" i="35"/>
  <c r="F34" i="35"/>
  <c r="G60" i="37"/>
  <c r="F10" i="37"/>
  <c r="AA10" i="37"/>
  <c r="H27" i="37"/>
  <c r="U27" i="37"/>
  <c r="F27" i="37"/>
  <c r="AA27" i="37"/>
  <c r="J27" i="37"/>
  <c r="AC27" i="37"/>
  <c r="J29" i="37"/>
  <c r="W29" i="37"/>
  <c r="F29" i="37"/>
  <c r="S29" i="37" s="1"/>
  <c r="H31" i="37"/>
  <c r="J36" i="37"/>
  <c r="W36" i="37" s="1"/>
  <c r="J40" i="37"/>
  <c r="F40" i="37"/>
  <c r="AA40" i="37" s="1"/>
  <c r="AB25" i="37"/>
  <c r="U8" i="39"/>
  <c r="AB8" i="39"/>
  <c r="J29" i="35"/>
  <c r="AC29" i="35"/>
  <c r="W30" i="36"/>
  <c r="H35" i="39"/>
  <c r="U35" i="39"/>
  <c r="J35" i="39"/>
  <c r="AC35" i="39"/>
  <c r="H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AA10" i="34"/>
  <c r="S10" i="34"/>
  <c r="F25" i="34"/>
  <c r="S25" i="34"/>
  <c r="E126" i="34"/>
  <c r="H44" i="34"/>
  <c r="U44" i="34" s="1"/>
  <c r="W9" i="36"/>
  <c r="AB26" i="36"/>
  <c r="U26" i="36"/>
  <c r="U9" i="36"/>
  <c r="F20" i="36"/>
  <c r="AA20" i="36" s="1"/>
  <c r="J24" i="36"/>
  <c r="H24" i="36"/>
  <c r="U24" i="36" s="1"/>
  <c r="F24" i="36"/>
  <c r="S32" i="36"/>
  <c r="J26" i="37"/>
  <c r="AC26" i="37" s="1"/>
  <c r="H26" i="37"/>
  <c r="AB26" i="37" s="1"/>
  <c r="F26" i="37"/>
  <c r="AA26" i="37" s="1"/>
  <c r="J23" i="39"/>
  <c r="H15" i="37"/>
  <c r="AB15" i="37" s="1"/>
  <c r="F15" i="37"/>
  <c r="F38" i="40"/>
  <c r="J38" i="40"/>
  <c r="W38" i="40" s="1"/>
  <c r="H38" i="40"/>
  <c r="AB38" i="40" s="1"/>
  <c r="J40" i="40"/>
  <c r="H40" i="40"/>
  <c r="AB40" i="40" s="1"/>
  <c r="F40" i="40"/>
  <c r="N6" i="43"/>
  <c r="M1" i="43"/>
  <c r="F101" i="9"/>
  <c r="F33" i="9"/>
  <c r="C25" i="57"/>
  <c r="G103" i="43"/>
  <c r="F59" i="43"/>
  <c r="H63" i="43" s="1"/>
  <c r="G15" i="47"/>
  <c r="U15" i="37"/>
  <c r="AB24" i="36"/>
  <c r="H25" i="34"/>
  <c r="AB35" i="39"/>
  <c r="S27" i="37"/>
  <c r="AA34" i="35"/>
  <c r="S34" i="35"/>
  <c r="AB24" i="35"/>
  <c r="J17" i="34"/>
  <c r="AC17" i="34" s="1"/>
  <c r="G80" i="34"/>
  <c r="F17" i="34"/>
  <c r="AA17" i="34"/>
  <c r="H27" i="33"/>
  <c r="AB27" i="33"/>
  <c r="F43" i="33"/>
  <c r="S43" i="33"/>
  <c r="F125" i="33"/>
  <c r="G125" i="33"/>
  <c r="J43" i="33"/>
  <c r="AC43" i="33"/>
  <c r="U31" i="21"/>
  <c r="W29" i="21"/>
  <c r="S37" i="34"/>
  <c r="H27" i="36"/>
  <c r="AB27" i="36" s="1"/>
  <c r="F27" i="36"/>
  <c r="AA27" i="36" s="1"/>
  <c r="J28" i="34"/>
  <c r="H11" i="34"/>
  <c r="U11" i="34" s="1"/>
  <c r="S17" i="37"/>
  <c r="J11" i="37"/>
  <c r="AC11" i="37"/>
  <c r="W12" i="39"/>
  <c r="W9" i="34"/>
  <c r="AB13" i="21"/>
  <c r="F23" i="39"/>
  <c r="AA23" i="39"/>
  <c r="F44" i="34"/>
  <c r="AA44" i="34" s="1"/>
  <c r="F126" i="34"/>
  <c r="G126" i="34" s="1"/>
  <c r="J44" i="34"/>
  <c r="W27" i="37"/>
  <c r="AB27" i="37"/>
  <c r="H60" i="37"/>
  <c r="H10" i="37"/>
  <c r="U10" i="37" s="1"/>
  <c r="S24" i="35"/>
  <c r="AB43" i="33"/>
  <c r="U9" i="34"/>
  <c r="F101" i="33"/>
  <c r="G101" i="33"/>
  <c r="H101" i="33" s="1"/>
  <c r="I101" i="33" s="1"/>
  <c r="J101" i="33" s="1"/>
  <c r="K101" i="33" s="1"/>
  <c r="L101" i="33" s="1"/>
  <c r="M101" i="33" s="1"/>
  <c r="J32" i="33"/>
  <c r="W32" i="33"/>
  <c r="H32" i="33"/>
  <c r="AB32" i="33"/>
  <c r="U45" i="21"/>
  <c r="AC45" i="21"/>
  <c r="AC13" i="21"/>
  <c r="S44" i="34"/>
  <c r="I60" i="37"/>
  <c r="J10" i="37"/>
  <c r="AC10" i="37" s="1"/>
  <c r="H23" i="39"/>
  <c r="AB23" i="39" s="1"/>
  <c r="J11" i="34"/>
  <c r="W11" i="34" s="1"/>
  <c r="J27" i="33"/>
  <c r="W27" i="33" s="1"/>
  <c r="W17" i="34"/>
  <c r="J25" i="34"/>
  <c r="W25" i="34" s="1"/>
  <c r="AC11" i="34"/>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1" i="40"/>
  <c r="AC9" i="40"/>
  <c r="S9" i="40"/>
  <c r="AC38"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19" i="40"/>
  <c r="F86" i="40"/>
  <c r="G86" i="40" s="1"/>
  <c r="H17" i="40"/>
  <c r="U17" i="40" s="1"/>
  <c r="J17" i="40"/>
  <c r="F17" i="40"/>
  <c r="F84" i="40"/>
  <c r="G84" i="40" s="1"/>
  <c r="F15" i="40"/>
  <c r="S15" i="40" s="1"/>
  <c r="J15" i="40"/>
  <c r="H15" i="40"/>
  <c r="AC25" i="40"/>
  <c r="W25" i="40"/>
  <c r="U19" i="40"/>
  <c r="U14" i="40"/>
  <c r="U8" i="40"/>
  <c r="S36" i="40"/>
  <c r="AC38" i="39"/>
  <c r="AA37" i="39"/>
  <c r="AC25" i="39"/>
  <c r="S23" i="39"/>
  <c r="S21" i="39"/>
  <c r="W27" i="39"/>
  <c r="AC27" i="39"/>
  <c r="W35" i="39"/>
  <c r="AC15" i="39"/>
  <c r="U41" i="39"/>
  <c r="AB15" i="39"/>
  <c r="U42" i="39"/>
  <c r="U19" i="39"/>
  <c r="AB27" i="39"/>
  <c r="U27" i="39"/>
  <c r="AA27" i="39"/>
  <c r="S27" i="39"/>
  <c r="S40" i="39"/>
  <c r="S31" i="39"/>
  <c r="AA12" i="39"/>
  <c r="S34" i="36"/>
  <c r="S22" i="36"/>
  <c r="AC16" i="36"/>
  <c r="W14" i="36"/>
  <c r="U27" i="36"/>
  <c r="AC26" i="36"/>
  <c r="U14" i="36"/>
  <c r="S10" i="36"/>
  <c r="W18" i="36"/>
  <c r="AC18" i="36"/>
  <c r="AC12" i="36"/>
  <c r="AC20" i="36"/>
  <c r="W29" i="36"/>
  <c r="W8" i="36"/>
  <c r="U13" i="36"/>
  <c r="AB18" i="36"/>
  <c r="U18" i="36"/>
  <c r="S29" i="36"/>
  <c r="W24" i="35"/>
  <c r="AB23" i="35"/>
  <c r="W11" i="35"/>
  <c r="W10" i="35"/>
  <c r="AB16" i="35"/>
  <c r="W14" i="35"/>
  <c r="W34" i="35"/>
  <c r="AC26" i="35"/>
  <c r="W28" i="35"/>
  <c r="AC27" i="35"/>
  <c r="U14" i="35"/>
  <c r="AB10" i="35"/>
  <c r="U8" i="35"/>
  <c r="AA13" i="35"/>
  <c r="S20" i="35"/>
  <c r="AB13" i="35"/>
  <c r="S10" i="35"/>
  <c r="W32" i="37"/>
  <c r="W26" i="37"/>
  <c r="AB28"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J19" i="37"/>
  <c r="W19" i="37" s="1"/>
  <c r="F19" i="37"/>
  <c r="AA19" i="37" s="1"/>
  <c r="G75" i="37"/>
  <c r="H19" i="37"/>
  <c r="W17" i="37"/>
  <c r="AB17" i="37"/>
  <c r="J15" i="37"/>
  <c r="W15" i="37" s="1"/>
  <c r="W10" i="37"/>
  <c r="S10" i="37"/>
  <c r="AA11" i="37"/>
  <c r="U9" i="37"/>
  <c r="AB10" i="37"/>
  <c r="AC21" i="37"/>
  <c r="W21" i="37"/>
  <c r="W11" i="37"/>
  <c r="AB11" i="37"/>
  <c r="S37" i="37"/>
  <c r="AA38" i="37"/>
  <c r="AC39" i="34"/>
  <c r="AB11" i="34"/>
  <c r="S40" i="34"/>
  <c r="S38" i="34"/>
  <c r="S36" i="34"/>
  <c r="U43" i="34"/>
  <c r="S43" i="34"/>
  <c r="AB19" i="34"/>
  <c r="S17" i="34"/>
  <c r="AB17" i="34"/>
  <c r="W15" i="34"/>
  <c r="W31" i="34"/>
  <c r="U23" i="34"/>
  <c r="U36" i="34"/>
  <c r="U21" i="34"/>
  <c r="AB21" i="34"/>
  <c r="AA25" i="34"/>
  <c r="AA46" i="34"/>
  <c r="W42" i="33"/>
  <c r="U25" i="33"/>
  <c r="U17" i="33"/>
  <c r="W25" i="33"/>
  <c r="U27" i="33"/>
  <c r="U34" i="33"/>
  <c r="U38" i="33"/>
  <c r="W43" i="33"/>
  <c r="AC41" i="33"/>
  <c r="AC27" i="33"/>
  <c r="AA45" i="33"/>
  <c r="U46" i="33"/>
  <c r="S17" i="33"/>
  <c r="U15" i="33"/>
  <c r="U9" i="33"/>
  <c r="S10" i="33"/>
  <c r="AC12" i="33"/>
  <c r="W13" i="33"/>
  <c r="AC46" i="33"/>
  <c r="W21" i="33"/>
  <c r="AC21" i="33"/>
  <c r="AB41" i="33"/>
  <c r="U13" i="33"/>
  <c r="U39" i="33"/>
  <c r="S42" i="33"/>
  <c r="AB23" i="21"/>
  <c r="U19" i="21"/>
  <c r="U30" i="21"/>
  <c r="AB36" i="21"/>
  <c r="S17" i="21"/>
  <c r="AA36" i="21"/>
  <c r="AA43" i="21"/>
  <c r="AB21" i="21"/>
  <c r="U21" i="21"/>
  <c r="AC19" i="21"/>
  <c r="U17" i="21"/>
  <c r="U12" i="21"/>
  <c r="AB11"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V25" i="31"/>
  <c r="H102" i="43"/>
  <c r="D3" i="21"/>
  <c r="M6" i="43"/>
  <c r="M5" i="43"/>
  <c r="F81" i="43"/>
  <c r="H85"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53" i="10"/>
  <c r="D123" i="9"/>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s="1"/>
  <c r="K82" i="43"/>
  <c r="J82" i="43" s="1"/>
  <c r="D82" i="43"/>
  <c r="M83" i="43"/>
  <c r="N83" i="43" s="1"/>
  <c r="H65" i="43"/>
  <c r="D117" i="43"/>
  <c r="E117" i="43" s="1"/>
  <c r="F117" i="43" s="1"/>
  <c r="G117" i="43" s="1"/>
  <c r="H117" i="43" s="1"/>
  <c r="B116" i="43"/>
  <c r="C116" i="43" s="1"/>
  <c r="F106" i="43"/>
  <c r="M12" i="43"/>
  <c r="M8" i="43"/>
  <c r="N7" i="43"/>
  <c r="M3" i="43"/>
  <c r="M11" i="43"/>
  <c r="N8" i="43"/>
  <c r="H8" i="44"/>
  <c r="H12" i="44"/>
  <c r="C63" i="39"/>
  <c r="G64" i="39"/>
  <c r="C64" i="39" s="1"/>
  <c r="M85" i="43"/>
  <c r="N85" i="43"/>
  <c r="K85" i="43"/>
  <c r="J85" i="43"/>
  <c r="D85" i="43"/>
  <c r="M82" i="43"/>
  <c r="N82" i="43" s="1"/>
  <c r="K83" i="43"/>
  <c r="J83" i="43" s="1"/>
  <c r="D83" i="43"/>
  <c r="H81"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U23" i="40"/>
  <c r="U40" i="40"/>
  <c r="S33" i="40"/>
  <c r="AB31" i="40"/>
  <c r="AC13" i="40"/>
  <c r="S14" i="40"/>
  <c r="S31" i="40"/>
  <c r="S11" i="40"/>
  <c r="AB37" i="39"/>
  <c r="W34" i="39"/>
  <c r="W32" i="39"/>
  <c r="S43" i="39"/>
  <c r="AA32" i="39"/>
  <c r="S11" i="39"/>
  <c r="AA25" i="39"/>
  <c r="S29" i="39"/>
  <c r="AB43" i="39"/>
  <c r="AC41" i="39"/>
  <c r="U11" i="39"/>
  <c r="W36" i="39"/>
  <c r="S34" i="39"/>
  <c r="S39" i="39"/>
  <c r="U9" i="39"/>
  <c r="S20" i="36"/>
  <c r="S8" i="36"/>
  <c r="AB34" i="35"/>
  <c r="W29" i="35"/>
  <c r="U33" i="35"/>
  <c r="W33" i="35"/>
  <c r="S36" i="35"/>
  <c r="U22" i="35"/>
  <c r="AA29" i="35"/>
  <c r="U28" i="35"/>
  <c r="U36" i="35"/>
  <c r="S26" i="35"/>
  <c r="AB26" i="35"/>
  <c r="AC16" i="35"/>
  <c r="S28" i="35"/>
  <c r="AC34" i="37"/>
  <c r="U29" i="37"/>
  <c r="S40" i="37"/>
  <c r="AC29" i="37"/>
  <c r="U26" i="37"/>
  <c r="AC13" i="37"/>
  <c r="U38" i="37"/>
  <c r="AA13" i="37"/>
  <c r="S9" i="37"/>
  <c r="G84" i="34"/>
  <c r="J21" i="34"/>
  <c r="W21" i="34" s="1"/>
  <c r="AB40" i="34"/>
  <c r="AC19" i="34"/>
  <c r="AB28" i="34"/>
  <c r="W41" i="34"/>
  <c r="AA45" i="34"/>
  <c r="AB45" i="34"/>
  <c r="AB35" i="34"/>
  <c r="W29" i="34"/>
  <c r="W43" i="34"/>
  <c r="U34" i="34"/>
  <c r="S34" i="34"/>
  <c r="AC25" i="34"/>
  <c r="AB44" i="34"/>
  <c r="AA33" i="34"/>
  <c r="AB47" i="34"/>
  <c r="U31" i="34"/>
  <c r="AB14" i="34"/>
  <c r="AC45" i="34"/>
  <c r="AA29" i="34"/>
  <c r="AC13" i="34"/>
  <c r="AB13" i="34"/>
  <c r="U10" i="34"/>
  <c r="S13" i="34"/>
  <c r="AA31" i="34"/>
  <c r="AB29" i="34"/>
  <c r="U19" i="33"/>
  <c r="AC32" i="33"/>
  <c r="AA43" i="33"/>
  <c r="U33" i="33"/>
  <c r="U30" i="33"/>
  <c r="AB26" i="33"/>
  <c r="AA36" i="33"/>
  <c r="W35" i="33"/>
  <c r="W40" i="33"/>
  <c r="W26" i="33"/>
  <c r="S33" i="33"/>
  <c r="U35" i="33"/>
  <c r="U32" i="33"/>
  <c r="AC45" i="33"/>
  <c r="AB29" i="33"/>
  <c r="AB36" i="33"/>
  <c r="AA19" i="33"/>
  <c r="W8" i="33"/>
  <c r="G83" i="21"/>
  <c r="J21" i="21"/>
  <c r="AC31" i="21"/>
  <c r="W23" i="21"/>
  <c r="AB25" i="21"/>
  <c r="AC46" i="21"/>
  <c r="W10" i="21"/>
  <c r="W12" i="21"/>
  <c r="S35" i="21"/>
  <c r="C15" i="39"/>
  <c r="C17" i="39"/>
  <c r="C19" i="39"/>
  <c r="C15" i="40"/>
  <c r="C17" i="40"/>
  <c r="B54" i="43"/>
  <c r="B65" i="43"/>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W33" i="37"/>
  <c r="S19" i="37"/>
  <c r="AC21" i="34"/>
  <c r="AC21" i="21"/>
  <c r="W21" i="21"/>
  <c r="M86" i="43"/>
  <c r="N86" i="43" s="1"/>
  <c r="F34" i="11"/>
  <c r="E19" i="1"/>
  <c r="D20" i="1"/>
  <c r="D18" i="1"/>
  <c r="F50" i="11"/>
  <c r="F19" i="1"/>
  <c r="F18" i="1"/>
  <c r="C11" i="12" s="1"/>
  <c r="D19" i="1"/>
  <c r="K87" i="43"/>
  <c r="J87" i="43" s="1"/>
  <c r="D87" i="43"/>
  <c r="C7" i="43"/>
  <c r="J22" i="43"/>
  <c r="M84" i="43"/>
  <c r="N84" i="43" s="1"/>
  <c r="K84" i="43"/>
  <c r="J84" i="43" s="1"/>
  <c r="D84" i="43"/>
  <c r="M81" i="43"/>
  <c r="N81" i="43" s="1"/>
  <c r="K81" i="43"/>
  <c r="J81" i="43" s="1"/>
  <c r="D81" i="43"/>
  <c r="M88" i="43"/>
  <c r="N88" i="43" s="1"/>
  <c r="K88" i="43"/>
  <c r="J88" i="43" s="1"/>
  <c r="D88" i="43"/>
  <c r="I114" i="57"/>
  <c r="D131" i="57" s="1"/>
  <c r="B41" i="1"/>
  <c r="M27" i="15" s="1"/>
  <c r="C24"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C16" i="59"/>
  <c r="D16" i="59" s="1"/>
  <c r="D17" i="59"/>
  <c r="B18" i="59"/>
  <c r="S18" i="59" s="1"/>
  <c r="AB18" i="59"/>
  <c r="U18" i="59"/>
  <c r="AA17" i="59"/>
  <c r="X17" i="59"/>
  <c r="AB17" i="59"/>
  <c r="AA16" i="59"/>
  <c r="Y16" i="59"/>
  <c r="Z16" i="59" s="1"/>
  <c r="Y14" i="59"/>
  <c r="Z14" i="59" s="1"/>
  <c r="AB14" i="59"/>
  <c r="AB12" i="59"/>
  <c r="X14" i="59"/>
  <c r="X12" i="59"/>
  <c r="AA14" i="59"/>
  <c r="AA12" i="59"/>
  <c r="AB13" i="59"/>
  <c r="X13" i="59"/>
  <c r="U14" i="59"/>
  <c r="J30" i="35"/>
  <c r="W30" i="35" s="1"/>
  <c r="H30" i="35"/>
  <c r="AB30" i="35" s="1"/>
  <c r="N56" i="9"/>
  <c r="O56" i="9"/>
  <c r="O58" i="57"/>
  <c r="K58" i="57"/>
  <c r="K59" i="57" s="1"/>
  <c r="K61" i="57" s="1"/>
  <c r="K63" i="57" s="1"/>
  <c r="N58" i="57"/>
  <c r="K56" i="9"/>
  <c r="K57" i="9" s="1"/>
  <c r="K59" i="9" s="1"/>
  <c r="K61" i="9" s="1"/>
  <c r="L58" i="57"/>
  <c r="F15" i="59"/>
  <c r="F14" i="59" s="1"/>
  <c r="C15" i="59"/>
  <c r="C14" i="59" s="1"/>
  <c r="X3" i="59"/>
  <c r="Y3" i="59"/>
  <c r="Z3" i="59" s="1"/>
  <c r="F48" i="43"/>
  <c r="H50" i="43" s="1"/>
  <c r="G4" i="47"/>
  <c r="B17" i="59"/>
  <c r="B16" i="59" s="1"/>
  <c r="B15" i="59" s="1"/>
  <c r="B14" i="59" s="1"/>
  <c r="AC30" i="35"/>
  <c r="I116" i="57"/>
  <c r="D133" i="57" s="1"/>
  <c r="D120" i="57"/>
  <c r="I114" i="9"/>
  <c r="D129" i="9" s="1"/>
  <c r="I112" i="9"/>
  <c r="D39" i="50" s="1"/>
  <c r="D40" i="50" s="1"/>
  <c r="D116" i="9"/>
  <c r="D114" i="9"/>
  <c r="D115" i="9"/>
  <c r="I113" i="9" s="1"/>
  <c r="E2" i="34"/>
  <c r="C19" i="57"/>
  <c r="F3" i="61"/>
  <c r="E2" i="36"/>
  <c r="F6" i="61"/>
  <c r="F7" i="61"/>
  <c r="F5" i="61"/>
  <c r="F4" i="61"/>
  <c r="E2" i="37"/>
  <c r="E2" i="35"/>
  <c r="D19" i="57"/>
  <c r="E2" i="11"/>
  <c r="D4" i="61"/>
  <c r="D5" i="61"/>
  <c r="E2" i="21"/>
  <c r="C20" i="57"/>
  <c r="D20" i="57"/>
  <c r="D3" i="61"/>
  <c r="E2" i="33"/>
  <c r="H23" i="31"/>
  <c r="C18" i="9" l="1"/>
  <c r="D18" i="9" s="1"/>
  <c r="H15" i="21"/>
  <c r="U15" i="21" s="1"/>
  <c r="W21" i="40"/>
  <c r="AC21" i="40"/>
  <c r="AC44" i="34"/>
  <c r="W44" i="34"/>
  <c r="U25" i="34"/>
  <c r="AB25" i="34"/>
  <c r="AA38" i="40"/>
  <c r="S38" i="40"/>
  <c r="AA24" i="36"/>
  <c r="S24" i="36"/>
  <c r="W24" i="36"/>
  <c r="AC24" i="36"/>
  <c r="S27" i="33"/>
  <c r="AA27" i="33"/>
  <c r="AC39" i="33"/>
  <c r="W39" i="33"/>
  <c r="U37" i="34"/>
  <c r="AB37" i="34"/>
  <c r="W23" i="34"/>
  <c r="AC23" i="34"/>
  <c r="W36" i="34"/>
  <c r="AC36" i="34"/>
  <c r="AB12" i="36"/>
  <c r="U12" i="36"/>
  <c r="S9" i="34"/>
  <c r="AA9" i="34"/>
  <c r="AA13" i="21"/>
  <c r="S13" i="21"/>
  <c r="W37" i="37"/>
  <c r="AC37" i="37"/>
  <c r="B107" i="57"/>
  <c r="C120" i="57"/>
  <c r="H116" i="57" s="1"/>
  <c r="AA23" i="21"/>
  <c r="S23" i="21"/>
  <c r="W33" i="34"/>
  <c r="AC33" i="34"/>
  <c r="AC35" i="34"/>
  <c r="W35" i="34"/>
  <c r="AA35" i="34"/>
  <c r="S35" i="34"/>
  <c r="W11" i="36"/>
  <c r="AC11" i="36"/>
  <c r="AC25" i="36"/>
  <c r="W25" i="36"/>
  <c r="U30" i="35"/>
  <c r="C6" i="43"/>
  <c r="AC15" i="37"/>
  <c r="D6" i="52"/>
  <c r="L106" i="9"/>
  <c r="A18" i="55" s="1"/>
  <c r="B48" i="60" s="1"/>
  <c r="AC19" i="37"/>
  <c r="U19" i="37"/>
  <c r="AB19" i="37"/>
  <c r="AB15" i="40"/>
  <c r="U15" i="40"/>
  <c r="S17" i="40"/>
  <c r="AA17" i="40"/>
  <c r="AC27" i="36"/>
  <c r="U38" i="40"/>
  <c r="W28" i="34"/>
  <c r="AC28" i="34"/>
  <c r="AA40" i="40"/>
  <c r="S40" i="40"/>
  <c r="AC40" i="40"/>
  <c r="W40" i="40"/>
  <c r="AA15" i="37"/>
  <c r="S15" i="37"/>
  <c r="W23" i="39"/>
  <c r="AC23" i="39"/>
  <c r="U16" i="36"/>
  <c r="AB16" i="36"/>
  <c r="W40" i="37"/>
  <c r="AC40" i="37"/>
  <c r="AB31" i="37"/>
  <c r="U31" i="37"/>
  <c r="U29" i="21"/>
  <c r="AB29" i="21"/>
  <c r="AA32" i="33"/>
  <c r="S32" i="33"/>
  <c r="AC40" i="34"/>
  <c r="W40" i="34"/>
  <c r="U32" i="39"/>
  <c r="AB32" i="39"/>
  <c r="J102" i="43"/>
  <c r="J107" i="43"/>
  <c r="N107" i="43"/>
  <c r="N102" i="43"/>
  <c r="N109" i="43"/>
  <c r="E109" i="43"/>
  <c r="E105" i="43"/>
  <c r="E102" i="43"/>
  <c r="I102" i="43"/>
  <c r="I103" i="43"/>
  <c r="M109" i="43"/>
  <c r="M104" i="43"/>
  <c r="C110" i="57"/>
  <c r="H104" i="57" s="1"/>
  <c r="AA45" i="21"/>
  <c r="S45" i="21"/>
  <c r="W25" i="35"/>
  <c r="AC25" i="35"/>
  <c r="AC35" i="35"/>
  <c r="W35" i="35"/>
  <c r="S27" i="40"/>
  <c r="AA27" i="40"/>
  <c r="I14" i="62"/>
  <c r="B8" i="62" s="1"/>
  <c r="AA30" i="35"/>
  <c r="F70" i="43"/>
  <c r="E81" i="43"/>
  <c r="B79" i="43" s="1"/>
  <c r="U30" i="40"/>
  <c r="S46" i="21"/>
  <c r="W15" i="33"/>
  <c r="S39" i="33"/>
  <c r="AA28" i="33"/>
  <c r="U37" i="33"/>
  <c r="AB27" i="34"/>
  <c r="U30" i="37"/>
  <c r="AB27" i="35"/>
  <c r="S22" i="35"/>
  <c r="AA33" i="35"/>
  <c r="AA33" i="36"/>
  <c r="U40" i="39"/>
  <c r="W42" i="39"/>
  <c r="AC14" i="40"/>
  <c r="S23" i="40"/>
  <c r="AB42" i="33"/>
  <c r="AC19" i="33"/>
  <c r="W17" i="33"/>
  <c r="S23" i="33"/>
  <c r="W37" i="33"/>
  <c r="W11" i="33"/>
  <c r="AA41" i="34"/>
  <c r="AB41" i="34"/>
  <c r="W39" i="37"/>
  <c r="W14" i="37"/>
  <c r="AC23" i="37"/>
  <c r="S34" i="37"/>
  <c r="S28" i="36"/>
  <c r="W28" i="36"/>
  <c r="S14" i="36"/>
  <c r="S26" i="36"/>
  <c r="S12" i="36"/>
  <c r="S13" i="39"/>
  <c r="AC11" i="39"/>
  <c r="AB13" i="39"/>
  <c r="AB29" i="39"/>
  <c r="AC17" i="39"/>
  <c r="AA35" i="40"/>
  <c r="AA19" i="40"/>
  <c r="W32" i="40"/>
  <c r="F9" i="33"/>
  <c r="J9" i="33"/>
  <c r="AA19" i="39"/>
  <c r="F12" i="37"/>
  <c r="J12" i="37"/>
  <c r="F29" i="21"/>
  <c r="W11" i="21"/>
  <c r="U10" i="36"/>
  <c r="S30" i="36"/>
  <c r="AB17" i="39"/>
  <c r="AA41" i="33"/>
  <c r="S37" i="40"/>
  <c r="AA30" i="34"/>
  <c r="U33" i="40"/>
  <c r="AB12" i="37"/>
  <c r="S28" i="34"/>
  <c r="F27" i="34"/>
  <c r="W40" i="39"/>
  <c r="S41" i="39"/>
  <c r="S13" i="40"/>
  <c r="F15" i="47"/>
  <c r="B13" i="47" s="1"/>
  <c r="AC31" i="39"/>
  <c r="AC9" i="37"/>
  <c r="AA23" i="37"/>
  <c r="AB8" i="34"/>
  <c r="AB20" i="35"/>
  <c r="U11" i="40"/>
  <c r="U23" i="37"/>
  <c r="W36" i="33"/>
  <c r="W43" i="21"/>
  <c r="AC45" i="39"/>
  <c r="AB28" i="33"/>
  <c r="AC14" i="21"/>
  <c r="F14" i="37"/>
  <c r="H25" i="36"/>
  <c r="F25" i="36"/>
  <c r="H35" i="35"/>
  <c r="F35" i="35"/>
  <c r="H25" i="35"/>
  <c r="F25" i="35"/>
  <c r="F13" i="36"/>
  <c r="J13" i="36"/>
  <c r="F11" i="36"/>
  <c r="H11" i="36"/>
  <c r="J32" i="36"/>
  <c r="H32" i="36"/>
  <c r="W38" i="34"/>
  <c r="AC11" i="40"/>
  <c r="F23" i="35"/>
  <c r="AB29" i="36"/>
  <c r="H39" i="37"/>
  <c r="S31" i="35"/>
  <c r="W23" i="36"/>
  <c r="F39" i="37"/>
  <c r="F9" i="21"/>
  <c r="J9" i="21"/>
  <c r="W9" i="21" s="1"/>
  <c r="H9" i="21"/>
  <c r="J23" i="35"/>
  <c r="AC31" i="35"/>
  <c r="AA32" i="35"/>
  <c r="S32" i="35"/>
  <c r="J12" i="34"/>
  <c r="H12" i="34"/>
  <c r="AC22" i="36"/>
  <c r="W22" i="36"/>
  <c r="F23" i="36"/>
  <c r="AB38" i="39"/>
  <c r="U38" i="39"/>
  <c r="J39" i="40"/>
  <c r="H39" i="40"/>
  <c r="F39" i="40"/>
  <c r="AB31" i="36"/>
  <c r="U31" i="36"/>
  <c r="H44" i="39"/>
  <c r="J44" i="39"/>
  <c r="C37" i="59"/>
  <c r="D36" i="59"/>
  <c r="D44" i="59"/>
  <c r="C45" i="59"/>
  <c r="F21" i="59"/>
  <c r="F20" i="59" s="1"/>
  <c r="V22" i="59"/>
  <c r="L100" i="43"/>
  <c r="D100" i="43"/>
  <c r="I15" i="58"/>
  <c r="S21" i="33"/>
  <c r="S21" i="34"/>
  <c r="U21" i="37"/>
  <c r="AB25" i="40"/>
  <c r="D21" i="59"/>
  <c r="O61" i="59"/>
  <c r="C80" i="59"/>
  <c r="D80" i="59" s="1"/>
  <c r="AB21" i="59"/>
  <c r="AB19" i="59"/>
  <c r="AA20" i="59"/>
  <c r="D28" i="59"/>
  <c r="Y21" i="59"/>
  <c r="Z21" i="59" s="1"/>
  <c r="Y20" i="59"/>
  <c r="Z20" i="59" s="1"/>
  <c r="X23" i="59"/>
  <c r="X24" i="59"/>
  <c r="AA24" i="59"/>
  <c r="X25" i="59"/>
  <c r="AA25" i="59"/>
  <c r="X26" i="59"/>
  <c r="AA26" i="59"/>
  <c r="Y27" i="59"/>
  <c r="Z27" i="59" s="1"/>
  <c r="Y28" i="59"/>
  <c r="Z28" i="59" s="1"/>
  <c r="Y29" i="59"/>
  <c r="Z29" i="59" s="1"/>
  <c r="Y30" i="59"/>
  <c r="Z30" i="59" s="1"/>
  <c r="C32" i="59"/>
  <c r="AA32" i="59"/>
  <c r="E45" i="59"/>
  <c r="E46" i="59" s="1"/>
  <c r="U46" i="59" s="1"/>
  <c r="P61" i="59"/>
  <c r="U62" i="59"/>
  <c r="J42" i="21"/>
  <c r="AC42" i="21" s="1"/>
  <c r="H42" i="21"/>
  <c r="AB42" i="21" s="1"/>
  <c r="F42" i="21"/>
  <c r="AA42" i="21" s="1"/>
  <c r="AB44" i="21"/>
  <c r="J52" i="15"/>
  <c r="M60" i="15" s="1"/>
  <c r="C7" i="36"/>
  <c r="C46" i="36" s="1"/>
  <c r="D46" i="36" s="1"/>
  <c r="G19" i="43"/>
  <c r="O19" i="43" s="1"/>
  <c r="C7" i="37"/>
  <c r="C52" i="37" s="1"/>
  <c r="D52" i="37" s="1"/>
  <c r="E52" i="37" s="1"/>
  <c r="F52" i="37" s="1"/>
  <c r="G52" i="37" s="1"/>
  <c r="C7" i="21"/>
  <c r="C58" i="21" s="1"/>
  <c r="D58" i="21" s="1"/>
  <c r="C7" i="39"/>
  <c r="C68" i="39" s="1"/>
  <c r="C70" i="39" s="1"/>
  <c r="C7" i="35"/>
  <c r="C48" i="35" s="1"/>
  <c r="D48" i="35" s="1"/>
  <c r="E48" i="35" s="1"/>
  <c r="F48" i="35" s="1"/>
  <c r="G48" i="35" s="1"/>
  <c r="H48" i="35" s="1"/>
  <c r="C7" i="40"/>
  <c r="C63" i="40" s="1"/>
  <c r="C65" i="40" s="1"/>
  <c r="AC33" i="21"/>
  <c r="S33" i="21"/>
  <c r="F13" i="59"/>
  <c r="F12" i="59" s="1"/>
  <c r="F11" i="59" s="1"/>
  <c r="F10" i="59" s="1"/>
  <c r="V14" i="59"/>
  <c r="C13" i="59"/>
  <c r="T14" i="59"/>
  <c r="D14" i="59"/>
  <c r="B13" i="59"/>
  <c r="B12" i="59" s="1"/>
  <c r="B11" i="59" s="1"/>
  <c r="B10" i="59" s="1"/>
  <c r="S14" i="59"/>
  <c r="D15" i="59"/>
  <c r="U23" i="39"/>
  <c r="S27" i="36"/>
  <c r="S26" i="37"/>
  <c r="C114" i="57"/>
  <c r="H109" i="57" s="1"/>
  <c r="W17" i="21"/>
  <c r="AA13" i="33"/>
  <c r="AC27" i="40"/>
  <c r="S25" i="33"/>
  <c r="U15" i="34"/>
  <c r="C27" i="39"/>
  <c r="B74" i="43"/>
  <c r="F9" i="35"/>
  <c r="H9" i="35"/>
  <c r="F12" i="35"/>
  <c r="H12" i="35"/>
  <c r="J36" i="35"/>
  <c r="H23" i="36"/>
  <c r="F25" i="37"/>
  <c r="J25" i="37"/>
  <c r="F44" i="39"/>
  <c r="C49" i="59"/>
  <c r="D48" i="59"/>
  <c r="D4" i="47"/>
  <c r="F4" i="47" s="1"/>
  <c r="B2" i="47" s="1"/>
  <c r="B25" i="31"/>
  <c r="Y27" i="31"/>
  <c r="Y25" i="31" s="1"/>
  <c r="U27" i="31"/>
  <c r="U25" i="31" s="1"/>
  <c r="C36" i="57" s="1"/>
  <c r="D125" i="57" s="1"/>
  <c r="I21" i="58"/>
  <c r="D1" i="58"/>
  <c r="E10" i="58" s="1"/>
  <c r="D60" i="59"/>
  <c r="O60" i="59"/>
  <c r="O59" i="59"/>
  <c r="C30" i="59"/>
  <c r="D29" i="59"/>
  <c r="C57" i="59"/>
  <c r="D56" i="59"/>
  <c r="F7" i="15"/>
  <c r="E13" i="1"/>
  <c r="N100" i="43"/>
  <c r="J100" i="43"/>
  <c r="F100" i="43"/>
  <c r="M100" i="43"/>
  <c r="I100" i="43"/>
  <c r="E100" i="43"/>
  <c r="C31" i="58"/>
  <c r="C30" i="58"/>
  <c r="C29" i="39"/>
  <c r="C25" i="40"/>
  <c r="B55" i="43"/>
  <c r="B75" i="43"/>
  <c r="U22" i="59"/>
  <c r="D61" i="59"/>
  <c r="D22" i="59"/>
  <c r="AA19" i="59"/>
  <c r="AA22" i="59"/>
  <c r="S22" i="59"/>
  <c r="X19" i="59"/>
  <c r="X22" i="59"/>
  <c r="B24" i="59"/>
  <c r="B25" i="59" s="1"/>
  <c r="B26" i="59" s="1"/>
  <c r="S26" i="59" s="1"/>
  <c r="C24" i="59"/>
  <c r="B49" i="59"/>
  <c r="B50" i="59" s="1"/>
  <c r="S50" i="59" s="1"/>
  <c r="B57" i="59"/>
  <c r="B58" i="59" s="1"/>
  <c r="S58" i="59" s="1"/>
  <c r="P62" i="59"/>
  <c r="AA23" i="59"/>
  <c r="E24" i="59"/>
  <c r="E25" i="59" s="1"/>
  <c r="E26" i="59" s="1"/>
  <c r="U26" i="59" s="1"/>
  <c r="AA27" i="59"/>
  <c r="E28" i="59"/>
  <c r="E29" i="59" s="1"/>
  <c r="E30" i="59" s="1"/>
  <c r="U30" i="59" s="1"/>
  <c r="AA31" i="59"/>
  <c r="E32" i="59"/>
  <c r="E33" i="59" s="1"/>
  <c r="E34" i="59" s="1"/>
  <c r="X32" i="59"/>
  <c r="S62" i="59"/>
  <c r="N62" i="59"/>
  <c r="V62" i="59"/>
  <c r="F61" i="59"/>
  <c r="AB23" i="59"/>
  <c r="F24" i="59"/>
  <c r="F25" i="59" s="1"/>
  <c r="F26" i="59" s="1"/>
  <c r="V26" i="59" s="1"/>
  <c r="AB24" i="59"/>
  <c r="AB25" i="59"/>
  <c r="AB26" i="59"/>
  <c r="X27" i="59"/>
  <c r="AB27" i="59"/>
  <c r="F28" i="59"/>
  <c r="F29" i="59" s="1"/>
  <c r="F30" i="59" s="1"/>
  <c r="V30" i="59" s="1"/>
  <c r="AB28" i="59"/>
  <c r="AB29" i="59"/>
  <c r="AB30" i="59"/>
  <c r="X31" i="59"/>
  <c r="AB31" i="59"/>
  <c r="F32" i="59"/>
  <c r="F33" i="59" s="1"/>
  <c r="F34" i="59" s="1"/>
  <c r="V34" i="59" s="1"/>
  <c r="AB32" i="59"/>
  <c r="B65" i="59"/>
  <c r="B64" i="59" s="1"/>
  <c r="F65" i="59"/>
  <c r="F64" i="59" s="1"/>
  <c r="AA13" i="59"/>
  <c r="AA18" i="59"/>
  <c r="E9" i="59"/>
  <c r="E8" i="59" s="1"/>
  <c r="E7" i="59" s="1"/>
  <c r="E6" i="59" s="1"/>
  <c r="U6" i="59" s="1"/>
  <c r="U10" i="59"/>
  <c r="Y18" i="59"/>
  <c r="Z18" i="59" s="1"/>
  <c r="AB16" i="59"/>
  <c r="AB15" i="59"/>
  <c r="Y15" i="59"/>
  <c r="Z15" i="59" s="1"/>
  <c r="AA11" i="59"/>
  <c r="AB10" i="59"/>
  <c r="X18" i="59"/>
  <c r="X16" i="59"/>
  <c r="X15" i="59"/>
  <c r="Y13" i="59"/>
  <c r="Z13" i="59" s="1"/>
  <c r="AB11" i="59"/>
  <c r="X11" i="59"/>
  <c r="Y12" i="59"/>
  <c r="Z12" i="59" s="1"/>
  <c r="Y17" i="59"/>
  <c r="Z17" i="59" s="1"/>
  <c r="AA15" i="59"/>
  <c r="X9" i="59"/>
  <c r="AA10" i="59"/>
  <c r="AA9" i="59"/>
  <c r="AB6" i="59"/>
  <c r="AB5" i="59"/>
  <c r="Y6" i="59"/>
  <c r="Z6" i="59" s="1"/>
  <c r="Y7" i="59"/>
  <c r="Z7" i="59" s="1"/>
  <c r="AA5" i="59"/>
  <c r="AA6" i="59"/>
  <c r="X6" i="59"/>
  <c r="X7" i="59"/>
  <c r="B15" i="50"/>
  <c r="B56" i="60" s="1"/>
  <c r="V18" i="59"/>
  <c r="Y11" i="59"/>
  <c r="Z11" i="59" s="1"/>
  <c r="Y9" i="59"/>
  <c r="Z9" i="59" s="1"/>
  <c r="AB9" i="59"/>
  <c r="AB7" i="59"/>
  <c r="AB8" i="59"/>
  <c r="Y5" i="59"/>
  <c r="Z5" i="59" s="1"/>
  <c r="Y8" i="59"/>
  <c r="Z8" i="59" s="1"/>
  <c r="AA7" i="59"/>
  <c r="AA8" i="59"/>
  <c r="X5" i="59"/>
  <c r="X8" i="59"/>
  <c r="S40" i="21"/>
  <c r="W39" i="21"/>
  <c r="AA39" i="21"/>
  <c r="AA38" i="21"/>
  <c r="F89" i="21"/>
  <c r="H26" i="21"/>
  <c r="AB26" i="21" s="1"/>
  <c r="AC32" i="21"/>
  <c r="S42" i="21"/>
  <c r="U42" i="21"/>
  <c r="AB39" i="21"/>
  <c r="AC38" i="21"/>
  <c r="U40" i="21"/>
  <c r="W40" i="21"/>
  <c r="AB38" i="21"/>
  <c r="U43" i="21"/>
  <c r="S44" i="21"/>
  <c r="H113" i="21"/>
  <c r="J37" i="21"/>
  <c r="F37" i="21"/>
  <c r="H37" i="21"/>
  <c r="U35" i="21"/>
  <c r="W34" i="21"/>
  <c r="AA34" i="21"/>
  <c r="AB34" i="21"/>
  <c r="U33" i="21"/>
  <c r="AA32" i="21"/>
  <c r="AB32" i="21"/>
  <c r="S31" i="21"/>
  <c r="S28" i="21"/>
  <c r="AC28" i="21"/>
  <c r="U28" i="21"/>
  <c r="U27" i="21"/>
  <c r="S27" i="21"/>
  <c r="AC27" i="21"/>
  <c r="W25" i="21"/>
  <c r="AA25" i="21"/>
  <c r="AB15" i="21"/>
  <c r="AC15" i="21"/>
  <c r="AA15" i="21"/>
  <c r="U14" i="21"/>
  <c r="S10" i="21"/>
  <c r="AC9" i="21"/>
  <c r="S8" i="21"/>
  <c r="AB8" i="21"/>
  <c r="C15" i="12"/>
  <c r="C13" i="12"/>
  <c r="D42" i="50"/>
  <c r="D43" i="50" s="1"/>
  <c r="E5" i="59"/>
  <c r="U5" i="59"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G17" i="43"/>
  <c r="C16" i="43" s="1"/>
  <c r="C5" i="43" s="1"/>
  <c r="J20" i="15"/>
  <c r="C6" i="15"/>
  <c r="F51" i="15"/>
  <c r="D63"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F31" i="15"/>
  <c r="H48" i="43"/>
  <c r="H49" i="43"/>
  <c r="H55" i="43"/>
  <c r="J7" i="33"/>
  <c r="W7" i="33" s="1"/>
  <c r="B13" i="1"/>
  <c r="I48" i="35"/>
  <c r="J48" i="35" s="1"/>
  <c r="K48" i="35" s="1"/>
  <c r="L48" i="35" s="1"/>
  <c r="M48" i="35" s="1"/>
  <c r="N48" i="35" s="1"/>
  <c r="O48" i="35" s="1"/>
  <c r="D59" i="34"/>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23" i="12"/>
  <c r="D128" i="9"/>
  <c r="D11" i="52" s="1"/>
  <c r="D20" i="50"/>
  <c r="C34" i="15"/>
  <c r="D8" i="62"/>
  <c r="C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6" i="61"/>
  <c r="D7" i="61"/>
  <c r="G1" i="61"/>
  <c r="D37" i="59" l="1"/>
  <c r="C38" i="59"/>
  <c r="U44" i="39"/>
  <c r="AB44" i="39"/>
  <c r="AB39" i="40"/>
  <c r="U39" i="40"/>
  <c r="AA23" i="36"/>
  <c r="S23" i="36"/>
  <c r="AC12" i="34"/>
  <c r="W12" i="34"/>
  <c r="AC23" i="35"/>
  <c r="W23" i="35"/>
  <c r="S39" i="37"/>
  <c r="AA39" i="37"/>
  <c r="AB32" i="36"/>
  <c r="U32" i="36"/>
  <c r="AB11" i="36"/>
  <c r="U11" i="36"/>
  <c r="W13" i="36"/>
  <c r="AC13" i="36"/>
  <c r="S25" i="35"/>
  <c r="AA25" i="35"/>
  <c r="AA35" i="35"/>
  <c r="S35" i="35"/>
  <c r="S25" i="36"/>
  <c r="AA25" i="36"/>
  <c r="S14" i="37"/>
  <c r="AA14" i="37"/>
  <c r="S29" i="21"/>
  <c r="AA29" i="21"/>
  <c r="AA12" i="37"/>
  <c r="S12" i="37"/>
  <c r="AC9" i="33"/>
  <c r="W9" i="33"/>
  <c r="D19" i="50"/>
  <c r="B32" i="60" s="1"/>
  <c r="C33" i="59"/>
  <c r="D32" i="59"/>
  <c r="C46" i="59"/>
  <c r="D45" i="59"/>
  <c r="W44" i="39"/>
  <c r="AC44" i="39"/>
  <c r="AA39" i="40"/>
  <c r="S39" i="40"/>
  <c r="AC39" i="40"/>
  <c r="W39" i="40"/>
  <c r="U12" i="34"/>
  <c r="AB12" i="34"/>
  <c r="AB9" i="21"/>
  <c r="U9" i="21"/>
  <c r="AA9" i="21"/>
  <c r="S9" i="21"/>
  <c r="U39" i="37"/>
  <c r="AB39" i="37"/>
  <c r="AA23" i="35"/>
  <c r="S23" i="35"/>
  <c r="W32" i="36"/>
  <c r="AC32" i="36"/>
  <c r="AA11" i="36"/>
  <c r="S11" i="36"/>
  <c r="S13" i="36"/>
  <c r="AA13" i="36"/>
  <c r="AB25" i="35"/>
  <c r="U25" i="35"/>
  <c r="AB35" i="35"/>
  <c r="U35" i="35"/>
  <c r="AB25" i="36"/>
  <c r="U25" i="36"/>
  <c r="S27" i="34"/>
  <c r="AA27" i="34"/>
  <c r="AC12" i="37"/>
  <c r="W12" i="37"/>
  <c r="S9" i="33"/>
  <c r="AA9" i="33"/>
  <c r="W42" i="21"/>
  <c r="H52" i="37"/>
  <c r="I52" i="37" s="1"/>
  <c r="J52" i="37" s="1"/>
  <c r="K52" i="37" s="1"/>
  <c r="L52" i="37" s="1"/>
  <c r="M52" i="37" s="1"/>
  <c r="N52" i="37" s="1"/>
  <c r="O52" i="37" s="1"/>
  <c r="J7" i="37"/>
  <c r="W7" i="37" s="1"/>
  <c r="H7" i="35"/>
  <c r="F7" i="37"/>
  <c r="S7" i="37" s="1"/>
  <c r="H7" i="37"/>
  <c r="AB7" i="37" s="1"/>
  <c r="T42" i="37" s="1"/>
  <c r="G42" i="37" s="1"/>
  <c r="G46" i="37" s="1"/>
  <c r="H46" i="37" s="1"/>
  <c r="D68" i="39"/>
  <c r="Q61" i="59"/>
  <c r="F60" i="59"/>
  <c r="D24" i="59"/>
  <c r="C25" i="59"/>
  <c r="E26" i="58"/>
  <c r="C50" i="59"/>
  <c r="D49" i="59"/>
  <c r="AC25" i="37"/>
  <c r="W25" i="37"/>
  <c r="AB23" i="36"/>
  <c r="U23" i="36"/>
  <c r="U12" i="35"/>
  <c r="AB12" i="35"/>
  <c r="AB9" i="35"/>
  <c r="U9" i="35"/>
  <c r="B9" i="59"/>
  <c r="B8" i="59" s="1"/>
  <c r="B7" i="59" s="1"/>
  <c r="B6" i="59" s="1"/>
  <c r="S10" i="59"/>
  <c r="M19" i="43"/>
  <c r="U34" i="59"/>
  <c r="C58" i="59"/>
  <c r="D57" i="59"/>
  <c r="T30" i="59"/>
  <c r="D30" i="59"/>
  <c r="B125" i="57"/>
  <c r="H103" i="57"/>
  <c r="AA44" i="39"/>
  <c r="S44" i="39"/>
  <c r="AA25" i="37"/>
  <c r="S25" i="37"/>
  <c r="AC36" i="35"/>
  <c r="W36" i="35"/>
  <c r="S12" i="35"/>
  <c r="AA12" i="35"/>
  <c r="AA9" i="35"/>
  <c r="S9" i="35"/>
  <c r="C12" i="59"/>
  <c r="D13" i="59"/>
  <c r="F9" i="59"/>
  <c r="F8" i="59" s="1"/>
  <c r="F7" i="59" s="1"/>
  <c r="F6" i="59" s="1"/>
  <c r="V10" i="59"/>
  <c r="C16" i="12"/>
  <c r="U26" i="21"/>
  <c r="G89" i="21"/>
  <c r="J26" i="21"/>
  <c r="U37" i="21"/>
  <c r="AB37" i="21"/>
  <c r="W37" i="21"/>
  <c r="AC37" i="21"/>
  <c r="AA37" i="21"/>
  <c r="S37" i="21"/>
  <c r="F7" i="35"/>
  <c r="AA7" i="35" s="1"/>
  <c r="R38" i="35"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D46" i="59" l="1"/>
  <c r="T46" i="59"/>
  <c r="D33" i="59"/>
  <c r="C34" i="59"/>
  <c r="D38" i="59"/>
  <c r="T38" i="59"/>
  <c r="E42" i="37"/>
  <c r="J7" i="36"/>
  <c r="W7" i="36" s="1"/>
  <c r="E68" i="39"/>
  <c r="D70" i="39"/>
  <c r="V6" i="59"/>
  <c r="F5" i="59"/>
  <c r="V5" i="59" s="1"/>
  <c r="C11" i="59"/>
  <c r="D12" i="59"/>
  <c r="G125" i="57"/>
  <c r="E125" i="57"/>
  <c r="T58" i="59"/>
  <c r="D58" i="59"/>
  <c r="S6" i="59"/>
  <c r="B5" i="59"/>
  <c r="S5" i="59" s="1"/>
  <c r="T50" i="59"/>
  <c r="D50" i="59"/>
  <c r="C26" i="59"/>
  <c r="D25" i="59"/>
  <c r="Q60" i="59"/>
  <c r="Q59" i="59"/>
  <c r="H89" i="21"/>
  <c r="I89" i="21" s="1"/>
  <c r="J89" i="21" s="1"/>
  <c r="K89" i="21" s="1"/>
  <c r="L89" i="21" s="1"/>
  <c r="M89" i="21" s="1"/>
  <c r="F26" i="21"/>
  <c r="W26" i="21"/>
  <c r="AC26" i="2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4" i="59" l="1"/>
  <c r="T34" i="59"/>
  <c r="U7" i="36"/>
  <c r="E70" i="39"/>
  <c r="F68" i="39"/>
  <c r="T26" i="59"/>
  <c r="D26" i="59"/>
  <c r="D11" i="59"/>
  <c r="C10" i="59"/>
  <c r="S26" i="21"/>
  <c r="AA26" i="2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G68" i="39" l="1"/>
  <c r="F70" i="39"/>
  <c r="C9" i="59"/>
  <c r="T10" i="59"/>
  <c r="D10"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G70" i="39" l="1"/>
  <c r="H68" i="39"/>
  <c r="D9" i="59"/>
  <c r="C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5" i="15" s="1"/>
  <c r="C13" i="15"/>
  <c r="J34" i="15" s="1"/>
  <c r="Q47" i="15"/>
  <c r="C36" i="15"/>
  <c r="J13" i="15"/>
  <c r="J23" i="15" s="1"/>
  <c r="J22" i="15"/>
  <c r="B2" i="12"/>
  <c r="B3" i="12"/>
  <c r="H70" i="39" l="1"/>
  <c r="I68" i="39"/>
  <c r="H7" i="21"/>
  <c r="U7" i="21" s="1"/>
  <c r="C7" i="59"/>
  <c r="D8" i="59"/>
  <c r="F7" i="21"/>
  <c r="S7" i="21" s="1"/>
  <c r="J7" i="21"/>
  <c r="W7" i="21" s="1"/>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Q46" i="15"/>
  <c r="C62" i="15"/>
  <c r="C60" i="15" s="1"/>
  <c r="C57" i="15"/>
  <c r="C66" i="15" s="1"/>
  <c r="C37" i="15"/>
  <c r="C30" i="15" s="1"/>
  <c r="C39" i="15" s="1"/>
  <c r="Q68" i="15"/>
  <c r="J16" i="15"/>
  <c r="J25" i="15" s="1"/>
  <c r="AB7" i="21" l="1"/>
  <c r="T48" i="21" s="1"/>
  <c r="G48" i="21" s="1"/>
  <c r="G52" i="21" s="1"/>
  <c r="H52" i="21" s="1"/>
  <c r="I70" i="39"/>
  <c r="J68" i="39"/>
  <c r="C98" i="57"/>
  <c r="E98" i="57" s="1"/>
  <c r="E99" i="57" s="1"/>
  <c r="D7" i="59"/>
  <c r="C6" i="59"/>
  <c r="AC7" i="21"/>
  <c r="V48" i="21" s="1"/>
  <c r="I48" i="21" s="1"/>
  <c r="I52" i="21" s="1"/>
  <c r="J52" i="21" s="1"/>
  <c r="AA7" i="21"/>
  <c r="R48" i="21" s="1"/>
  <c r="E48" i="21" s="1"/>
  <c r="N71" i="57"/>
  <c r="O71" i="57" s="1"/>
  <c r="O61" i="57"/>
  <c r="O60" i="57"/>
  <c r="Q59" i="57"/>
  <c r="J65" i="40"/>
  <c r="K63" i="40"/>
  <c r="K59" i="34"/>
  <c r="C59" i="15"/>
  <c r="C68" i="15" s="1"/>
  <c r="C69" i="15" s="1"/>
  <c r="C72" i="15" s="1"/>
  <c r="C40" i="15"/>
  <c r="L52" i="15" s="1"/>
  <c r="J38" i="15"/>
  <c r="J39" i="15" s="1"/>
  <c r="Q67" i="15"/>
  <c r="Q66" i="15" s="1"/>
  <c r="J70" i="39" l="1"/>
  <c r="K68" i="39"/>
  <c r="T6" i="59"/>
  <c r="D6" i="59"/>
  <c r="C5" i="59"/>
  <c r="G53" i="21"/>
  <c r="H53" i="21" s="1"/>
  <c r="R49" i="21"/>
  <c r="C49" i="21" s="1"/>
  <c r="B2" i="21" s="1"/>
  <c r="I53" i="21"/>
  <c r="J53" i="21" s="1"/>
  <c r="O63" i="57"/>
  <c r="O62" i="57"/>
  <c r="L63" i="40"/>
  <c r="K65" i="40"/>
  <c r="E52" i="21"/>
  <c r="F52" i="21" s="1"/>
  <c r="E53" i="21"/>
  <c r="F53" i="21" s="1"/>
  <c r="L59" i="34"/>
  <c r="C47" i="15"/>
  <c r="J41" i="15"/>
  <c r="J42" i="15" s="1"/>
  <c r="Q54" i="15"/>
  <c r="C43" i="15"/>
  <c r="Q65" i="15"/>
  <c r="Q45" i="15"/>
  <c r="Q51" i="15" s="1"/>
  <c r="Q63" i="15"/>
  <c r="D19" i="9"/>
  <c r="C48" i="21" l="1"/>
  <c r="L68" i="39"/>
  <c r="K70" i="39"/>
  <c r="T5" i="59"/>
  <c r="D5" i="59"/>
  <c r="M20" i="43" s="1"/>
  <c r="D101" i="9"/>
  <c r="B3" i="21"/>
  <c r="D35" i="9"/>
  <c r="D34" i="9" s="1"/>
  <c r="L65" i="40"/>
  <c r="M63" i="40"/>
  <c r="M59" i="34"/>
  <c r="N59" i="34" s="1"/>
  <c r="O59" i="34" s="1"/>
  <c r="H7" i="34" s="1"/>
  <c r="L58" i="15"/>
  <c r="L61" i="15" s="1"/>
  <c r="D20" i="9"/>
  <c r="L70" i="39" l="1"/>
  <c r="M68" i="39"/>
  <c r="D102" i="9"/>
  <c r="Q64" i="15"/>
  <c r="Q73" i="15" s="1"/>
  <c r="L47" i="15"/>
  <c r="F7" i="34"/>
  <c r="S7" i="34" s="1"/>
  <c r="J7" i="34"/>
  <c r="W7" i="34" s="1"/>
  <c r="M65" i="40"/>
  <c r="N63" i="40"/>
  <c r="AB7" i="34"/>
  <c r="T49" i="34" s="1"/>
  <c r="G49" i="34" s="1"/>
  <c r="U7" i="34"/>
  <c r="Q55" i="15"/>
  <c r="Q60" i="15" s="1"/>
  <c r="D55" i="9"/>
  <c r="N53" i="9" s="1"/>
  <c r="D56" i="9"/>
  <c r="N54" i="9" s="1"/>
  <c r="D59" i="9"/>
  <c r="N55" i="9" s="1"/>
  <c r="M70" i="39" l="1"/>
  <c r="N68" i="39"/>
  <c r="AA7" i="34"/>
  <c r="R49" i="34" s="1"/>
  <c r="R50" i="34" s="1"/>
  <c r="B2" i="15"/>
  <c r="B3" i="15"/>
  <c r="AC7" i="34"/>
  <c r="V49" i="34" s="1"/>
  <c r="I49" i="34" s="1"/>
  <c r="G54" i="34" s="1"/>
  <c r="H54" i="34" s="1"/>
  <c r="E49" i="34"/>
  <c r="E53" i="34" s="1"/>
  <c r="F53" i="34" s="1"/>
  <c r="O63" i="40"/>
  <c r="O65" i="40" s="1"/>
  <c r="N65" i="40"/>
  <c r="G53" i="34"/>
  <c r="H53" i="34" s="1"/>
  <c r="O68" i="39" l="1"/>
  <c r="O70" i="39" s="1"/>
  <c r="N70" i="39"/>
  <c r="E54" i="34"/>
  <c r="F54" i="34" s="1"/>
  <c r="I53" i="34"/>
  <c r="J53" i="34" s="1"/>
  <c r="I54" i="34"/>
  <c r="J54" i="34" s="1"/>
  <c r="C50" i="34"/>
  <c r="B2" i="34" s="1"/>
  <c r="B3" i="34" s="1"/>
  <c r="C49" i="34"/>
  <c r="H7" i="40"/>
  <c r="J7" i="40"/>
  <c r="F7" i="40"/>
  <c r="H7" i="39" l="1"/>
  <c r="AB7" i="39" s="1"/>
  <c r="T47" i="39" s="1"/>
  <c r="G47" i="39" s="1"/>
  <c r="F7" i="39"/>
  <c r="J7" i="39"/>
  <c r="AC7" i="40"/>
  <c r="V42" i="40" s="1"/>
  <c r="I42" i="40" s="1"/>
  <c r="I46" i="40" s="1"/>
  <c r="J46" i="40" s="1"/>
  <c r="W7" i="40"/>
  <c r="S7" i="40"/>
  <c r="AA7" i="40"/>
  <c r="R42" i="40" s="1"/>
  <c r="R43" i="40" s="1"/>
  <c r="AB7" i="40"/>
  <c r="T42" i="40" s="1"/>
  <c r="G42" i="40" s="1"/>
  <c r="G46" i="40" s="1"/>
  <c r="H46" i="40" s="1"/>
  <c r="U7" i="40"/>
  <c r="U7" i="39" l="1"/>
  <c r="AC7" i="39"/>
  <c r="V47" i="39" s="1"/>
  <c r="I47" i="39" s="1"/>
  <c r="G52" i="39" s="1"/>
  <c r="H52" i="39" s="1"/>
  <c r="W7" i="39"/>
  <c r="S7" i="39"/>
  <c r="AA7" i="39"/>
  <c r="R47" i="39" s="1"/>
  <c r="G51" i="39"/>
  <c r="H51" i="39" s="1"/>
  <c r="G47" i="40"/>
  <c r="H47" i="40" s="1"/>
  <c r="E42" i="40"/>
  <c r="R48" i="39" l="1"/>
  <c r="E47" i="39"/>
  <c r="I51" i="39"/>
  <c r="J51" i="39" s="1"/>
  <c r="I52" i="39"/>
  <c r="J52" i="39" s="1"/>
  <c r="I47" i="40"/>
  <c r="J47" i="40" s="1"/>
  <c r="E47" i="40"/>
  <c r="F47" i="40" s="1"/>
  <c r="E46" i="40"/>
  <c r="F46" i="40" s="1"/>
  <c r="C43" i="40"/>
  <c r="C42" i="40"/>
  <c r="E52" i="39" l="1"/>
  <c r="F52" i="39" s="1"/>
  <c r="E51" i="39"/>
  <c r="F51" i="39" s="1"/>
  <c r="C48" i="39"/>
  <c r="C47" i="3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M66" i="9" l="1"/>
  <c r="N66" i="9" s="1"/>
  <c r="M63" i="9"/>
  <c r="N63" i="9" s="1"/>
  <c r="N69" i="9" s="1"/>
  <c r="O69" i="9" s="1"/>
  <c r="M64" i="9"/>
  <c r="N64" i="9" s="1"/>
  <c r="D16" i="50"/>
  <c r="B30" i="60" s="1"/>
  <c r="B57" i="39"/>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M68" i="9"/>
  <c r="N68" i="9" s="1"/>
  <c r="M67" i="9"/>
  <c r="N67" i="9" s="1"/>
  <c r="D8" i="50"/>
  <c r="B22" i="60" s="1"/>
  <c r="C7" i="11" l="1"/>
  <c r="C5" i="11" s="1"/>
  <c r="C20" i="11" l="1"/>
  <c r="C25" i="11" s="1"/>
  <c r="C23" i="11"/>
  <c r="C22" i="11" l="1"/>
  <c r="C28" i="11"/>
  <c r="C27" i="11" s="1"/>
  <c r="C31" i="11" l="1"/>
  <c r="C52" i="11" s="1"/>
  <c r="C56" i="11" s="1"/>
  <c r="C57" i="11" s="1"/>
  <c r="B2" i="11" l="1"/>
  <c r="B3" i="11"/>
  <c r="C20" i="9"/>
  <c r="C19" i="9"/>
  <c r="C101" i="9" l="1"/>
  <c r="D22" i="9"/>
  <c r="G19" i="9"/>
  <c r="C102" i="9"/>
  <c r="G20" i="9"/>
  <c r="C32" i="9" s="1"/>
  <c r="I121" i="9" s="1"/>
  <c r="C35" i="9" l="1"/>
  <c r="C34" i="9" s="1"/>
  <c r="E121" i="9" s="1"/>
  <c r="D121" i="9" s="1"/>
  <c r="D122" i="9" s="1"/>
  <c r="I103" i="9"/>
  <c r="H121" i="9"/>
  <c r="C104" i="9"/>
  <c r="D107" i="9"/>
  <c r="G121" i="9" l="1"/>
  <c r="F121" i="9" s="1"/>
  <c r="F122" i="9" s="1"/>
  <c r="C103" i="9"/>
  <c r="I102" i="9"/>
  <c r="D14" i="62"/>
  <c r="D106" i="9"/>
  <c r="D112" i="9" s="1"/>
  <c r="H122" i="9"/>
  <c r="D117" i="9" l="1"/>
  <c r="I115" i="9" s="1"/>
  <c r="D113" i="9"/>
  <c r="I111" i="9" s="1"/>
  <c r="D126" i="9" s="1"/>
  <c r="I110" i="9"/>
  <c r="D125" i="9" s="1"/>
  <c r="G14" i="62" s="1"/>
  <c r="B6" i="62" s="1"/>
  <c r="D45" i="9"/>
  <c r="N48" i="9"/>
  <c r="B5" i="62"/>
  <c r="F14" i="62"/>
  <c r="E14" i="62"/>
  <c r="D5" i="62" l="1"/>
  <c r="C5" i="62"/>
  <c r="C93" i="9"/>
  <c r="C86" i="9" s="1"/>
  <c r="C64" i="9"/>
  <c r="C63" i="9" s="1"/>
  <c r="C67" i="9" s="1"/>
  <c r="C68" i="9" s="1"/>
  <c r="D54" i="9" s="1"/>
  <c r="D52" i="9"/>
  <c r="C78" i="9"/>
  <c r="C73" i="9" s="1"/>
  <c r="D53" i="9"/>
  <c r="D48" i="9" s="1"/>
  <c r="N52" i="9" s="1"/>
  <c r="O57" i="9" s="1"/>
  <c r="C72" i="9"/>
  <c r="C79" i="9" s="1"/>
  <c r="C85" i="9"/>
  <c r="C95" i="9" s="1"/>
  <c r="C6" i="62"/>
  <c r="D6" i="62"/>
  <c r="C96" i="9" l="1"/>
  <c r="E96" i="9" s="1"/>
  <c r="E97" i="9" s="1"/>
  <c r="C80" i="9"/>
  <c r="E80" i="9" s="1"/>
  <c r="E81" i="9" s="1"/>
  <c r="O59" i="9"/>
  <c r="Q57" i="9"/>
  <c r="O58" i="9"/>
  <c r="C81" i="9" l="1"/>
  <c r="C97" i="9"/>
  <c r="D58" i="9" s="1"/>
  <c r="O61" i="9"/>
  <c r="O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刘朝阳</author>
    <author>vampire</author>
  </authors>
  <commentList>
    <comment ref="AW2" authorId="0" shapeId="0" xr:uid="{00000000-0006-0000-1600-000001000000}">
      <text>
        <r>
          <rPr>
            <b/>
            <sz val="9"/>
            <color indexed="81"/>
            <rFont val="宋体"/>
            <family val="3"/>
            <charset val="134"/>
          </rPr>
          <t>填写交易证明的类型，分为商品房合同、预售契约、买卖契约、认购书。</t>
        </r>
      </text>
    </comment>
    <comment ref="AX2" authorId="0" shapeId="0" xr:uid="{00000000-0006-0000-1600-00000200000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F2" authorId="0" shapeId="0" xr:uid="{00000000-0006-0000-1600-000003000000}">
      <text>
        <r>
          <rPr>
            <b/>
            <sz val="9"/>
            <color indexed="81"/>
            <rFont val="宋体"/>
            <family val="3"/>
            <charset val="134"/>
          </rPr>
          <t>填写数值型数据，保留小数点后一位。</t>
        </r>
      </text>
    </comment>
    <comment ref="BG2" authorId="0" shapeId="0" xr:uid="{00000000-0006-0000-1600-000004000000}">
      <text>
        <r>
          <rPr>
            <b/>
            <sz val="9"/>
            <color indexed="81"/>
            <rFont val="宋体"/>
            <family val="3"/>
            <charset val="134"/>
          </rPr>
          <t>此项填写合同日期，无合同日期填写预售登记日期，均无则在备注中注明</t>
        </r>
      </text>
    </comment>
    <comment ref="BH2" authorId="0" shapeId="0" xr:uid="{00000000-0006-0000-1600-000005000000}">
      <text>
        <r>
          <rPr>
            <b/>
            <sz val="9"/>
            <color indexed="81"/>
            <rFont val="宋体"/>
            <family val="3"/>
            <charset val="134"/>
          </rPr>
          <t>在补充过程中发现合同遗漏的项目，不能正常补充的需注明。</t>
        </r>
      </text>
    </comment>
    <comment ref="BL2" authorId="1" shapeId="0" xr:uid="{00000000-0006-0000-1600-000006000000}">
      <text>
        <r>
          <rPr>
            <b/>
            <sz val="9"/>
            <color indexed="81"/>
            <rFont val="宋体"/>
            <family val="3"/>
            <charset val="134"/>
          </rPr>
          <t>销售方式分为现售和预售两种方式</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<sst xmlns="http://schemas.openxmlformats.org/spreadsheetml/2006/main" count="9245" uniqueCount="3635">
  <si>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</si>
  <si>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</si>
  <si>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</si>
  <si>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</si>
  <si>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</si>
  <si>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</si>
  <si>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</si>
  <si>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</si>
  <si>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</si>
  <si>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</si>
  <si>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</si>
  <si>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</si>
  <si>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</si>
  <si>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</si>
  <si>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</si>
  <si>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</si>
  <si>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</si>
  <si>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</si>
  <si>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</si>
  <si>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</si>
  <si>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</si>
  <si>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</si>
  <si>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</si>
  <si>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</si>
  <si>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</si>
  <si>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</si>
  <si>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</si>
  <si>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</si>
  <si>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</si>
  <si>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</si>
  <si>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</si>
  <si>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</si>
  <si>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</si>
  <si>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</si>
  <si>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</si>
  <si>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</si>
  <si>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</si>
  <si>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</si>
  <si>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</si>
  <si>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</si>
  <si>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</si>
  <si>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</si>
  <si>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</si>
  <si>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</si>
  <si>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</si>
  <si>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</si>
  <si>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</si>
  <si>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</si>
  <si>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</si>
  <si>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</si>
  <si>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</si>
  <si>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</si>
  <si>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</si>
  <si>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</si>
  <si>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</si>
  <si>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</si>
  <si>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</si>
  <si>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</si>
  <si>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</si>
  <si>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</si>
  <si>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</si>
  <si>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</si>
  <si>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</si>
  <si>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</si>
  <si>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</si>
  <si>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</si>
  <si>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</si>
  <si>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</si>
  <si>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</si>
  <si>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</si>
  <si>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</si>
  <si>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</si>
  <si>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</si>
  <si>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</si>
  <si>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</si>
  <si>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</si>
  <si>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</si>
  <si>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</si>
  <si>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</si>
  <si>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</si>
  <si>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</si>
  <si>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</si>
  <si>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</si>
  <si>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</si>
  <si>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</si>
  <si>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</si>
  <si>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</si>
  <si>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</si>
  <si>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</si>
  <si>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</si>
  <si>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</si>
  <si>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</si>
  <si>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</si>
  <si>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</si>
  <si>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</si>
  <si>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</si>
  <si>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</si>
  <si>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</si>
  <si>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</si>
  <si>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</si>
  <si>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</si>
  <si>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</si>
  <si>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</si>
  <si>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</si>
  <si>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</si>
  <si>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</si>
  <si>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</si>
  <si>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</si>
  <si>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</si>
  <si>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</si>
  <si>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</si>
  <si>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</si>
  <si>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</si>
  <si>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</si>
  <si>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</si>
  <si>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</si>
  <si>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</si>
  <si>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</si>
  <si>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</si>
  <si>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</si>
  <si>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</si>
  <si>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</si>
  <si>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</si>
  <si>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</si>
  <si>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</si>
  <si>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</si>
  <si>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</si>
  <si>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</si>
  <si>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</si>
  <si>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</si>
  <si>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</si>
  <si>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</si>
  <si>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</si>
  <si>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</si>
  <si>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</si>
  <si>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</si>
  <si>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</si>
  <si>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</si>
  <si>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</si>
  <si>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</si>
  <si>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</si>
  <si>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</si>
  <si>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</si>
  <si>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</si>
  <si>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</si>
  <si>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</si>
  <si>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</si>
  <si>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</si>
  <si>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</si>
  <si>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</si>
  <si>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</si>
  <si>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</si>
  <si>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</si>
  <si>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</si>
  <si>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</si>
  <si>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</si>
  <si>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</si>
  <si>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</si>
  <si>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</si>
  <si>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</si>
  <si>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</si>
  <si>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</si>
  <si>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</si>
  <si>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</si>
  <si>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</si>
  <si>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</si>
  <si>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</si>
  <si>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</si>
  <si>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</si>
  <si>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</si>
  <si>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</si>
  <si>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</si>
  <si>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</si>
  <si>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</si>
  <si>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</si>
  <si>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</si>
  <si>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</si>
  <si>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</si>
  <si>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</si>
  <si>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</si>
  <si>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</si>
  <si>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</si>
  <si>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</si>
  <si>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</si>
  <si>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</si>
  <si>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</si>
  <si>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</si>
  <si>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</si>
  <si>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</si>
  <si>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</si>
  <si>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</si>
  <si>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</si>
  <si>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</si>
  <si>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</si>
  <si>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</si>
  <si>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</si>
  <si>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</si>
  <si>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</si>
  <si>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</si>
  <si>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</si>
  <si>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</si>
  <si>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</si>
  <si>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</si>
  <si>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</si>
  <si>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</si>
  <si>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</si>
  <si>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</si>
  <si>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</si>
  <si>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</si>
  <si>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</si>
  <si>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</si>
  <si>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</si>
  <si>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</si>
  <si>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</si>
  <si>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</si>
  <si>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</si>
  <si>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</si>
  <si>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</si>
  <si>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</si>
  <si>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</si>
  <si>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</si>
  <si>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</si>
  <si>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</si>
  <si>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</si>
  <si>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</si>
  <si>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</si>
  <si>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</si>
  <si>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</si>
  <si>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</si>
  <si>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</si>
  <si>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</si>
  <si>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</si>
  <si>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</si>
  <si>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</si>
  <si>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</si>
  <si>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</si>
  <si>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</si>
  <si>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</si>
  <si>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</si>
  <si>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</si>
  <si>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</si>
  <si>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</si>
  <si>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</si>
  <si>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</si>
  <si>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</si>
  <si>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</si>
  <si>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</si>
  <si>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</si>
  <si>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</si>
  <si>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</si>
  <si>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</si>
  <si>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</si>
  <si>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</si>
  <si>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</si>
  <si>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</si>
  <si>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</si>
  <si>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</si>
  <si>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</si>
  <si>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</si>
  <si>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</si>
  <si>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</si>
  <si>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</si>
  <si>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</si>
  <si>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</si>
  <si>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</si>
  <si>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</si>
  <si>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</si>
  <si>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</si>
  <si>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</si>
  <si>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</si>
  <si>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</si>
  <si>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</si>
  <si>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</si>
  <si>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</si>
  <si>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</si>
  <si>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</si>
  <si>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</si>
  <si>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</si>
  <si>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</si>
  <si>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</si>
  <si>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</si>
  <si>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</si>
  <si>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</si>
  <si>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</si>
  <si>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</si>
  <si>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</si>
  <si>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</si>
  <si>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</si>
  <si>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</si>
  <si>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</si>
  <si>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</si>
  <si>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</si>
  <si>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</si>
  <si>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</si>
  <si>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</si>
  <si>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</si>
  <si>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</si>
  <si>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</si>
  <si>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</si>
  <si>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</si>
  <si>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</si>
  <si>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</si>
  <si>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</si>
  <si>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</si>
  <si>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</si>
  <si>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</si>
  <si>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</si>
  <si>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</si>
  <si>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</si>
  <si>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</si>
  <si>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</si>
  <si>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</si>
  <si>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</si>
  <si>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</si>
  <si>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</si>
  <si>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</si>
  <si>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</si>
  <si>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</si>
  <si>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</si>
  <si>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</si>
  <si>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</si>
  <si>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</si>
  <si>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</si>
  <si>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</si>
  <si>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</si>
  <si>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</si>
  <si>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</si>
  <si>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</si>
  <si>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</si>
  <si>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</si>
  <si>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</si>
  <si>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</si>
  <si>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</si>
  <si>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</si>
  <si>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</si>
  <si>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</si>
  <si>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</si>
  <si>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</si>
  <si>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</si>
  <si>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</si>
  <si>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</si>
  <si>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</si>
  <si>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</si>
  <si>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</si>
  <si>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</si>
  <si>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</si>
  <si>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</si>
  <si>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</si>
  <si>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</si>
  <si>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</si>
  <si>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</si>
  <si>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</si>
  <si>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</si>
  <si>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</si>
  <si>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</si>
  <si>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</si>
  <si>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</si>
  <si>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</si>
  <si>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</si>
  <si>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</si>
  <si>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</si>
  <si>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</si>
  <si>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</si>
  <si>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</si>
  <si>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</si>
  <si>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</si>
  <si>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</si>
  <si>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</si>
  <si>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</si>
  <si>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</si>
  <si>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</si>
  <si>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</si>
  <si>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</si>
  <si>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</si>
  <si>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</si>
  <si>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</si>
  <si>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</si>
  <si>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</si>
  <si>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</si>
  <si>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</si>
  <si>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</si>
  <si>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</si>
  <si>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</si>
  <si>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</si>
  <si>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</si>
  <si>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</si>
  <si>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</si>
  <si>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</si>
  <si>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</si>
  <si>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</si>
  <si>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</si>
  <si>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</si>
  <si>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</si>
  <si>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</si>
  <si>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</si>
  <si>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</si>
  <si>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</si>
  <si>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</si>
  <si>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</si>
  <si>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</si>
  <si>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</si>
  <si>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</si>
  <si>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</si>
  <si>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</si>
  <si>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</si>
  <si>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</si>
  <si>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</si>
  <si>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</si>
  <si>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</si>
  <si>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</si>
  <si>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</si>
  <si>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</si>
  <si>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</si>
  <si>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</si>
  <si>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</si>
  <si>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</si>
  <si>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</si>
  <si>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</si>
  <si>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</si>
  <si>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</si>
  <si>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</si>
  <si>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</si>
  <si>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</si>
  <si>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</si>
  <si>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</si>
  <si>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</si>
  <si>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</si>
  <si>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</si>
  <si>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</si>
  <si>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</si>
  <si>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</si>
  <si>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</si>
  <si>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</si>
  <si>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</si>
  <si>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</si>
  <si>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</si>
  <si>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</si>
  <si>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</si>
  <si>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</si>
  <si>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</si>
  <si>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</si>
  <si>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</si>
  <si>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</si>
  <si>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</si>
  <si>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</si>
  <si>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</si>
  <si>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</si>
  <si>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</si>
  <si>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</si>
  <si>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</si>
  <si>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</si>
  <si>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</si>
  <si>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</si>
  <si>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</si>
  <si>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</si>
  <si>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</si>
  <si>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</si>
  <si>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</si>
  <si>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</si>
  <si>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</si>
  <si>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</si>
  <si>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</si>
  <si>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</si>
  <si>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</si>
  <si>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</si>
  <si>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</si>
  <si>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</si>
  <si>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</si>
  <si>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</si>
  <si>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</si>
  <si>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</si>
  <si>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</si>
  <si>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</si>
  <si>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</si>
  <si>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</si>
  <si>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</si>
  <si>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</si>
  <si>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</si>
  <si>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</si>
  <si>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</si>
  <si>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</si>
  <si>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</si>
  <si>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</si>
  <si>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</si>
  <si>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</si>
  <si>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</si>
  <si>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</si>
  <si>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</si>
  <si>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</si>
  <si>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</si>
  <si>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</si>
  <si>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</si>
  <si>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</si>
  <si>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</si>
  <si>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</si>
  <si>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</si>
  <si>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</si>
  <si>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</si>
  <si>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</si>
  <si>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</si>
  <si>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</si>
  <si>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</si>
  <si>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</si>
  <si>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</si>
  <si>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</si>
  <si>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</si>
  <si>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</si>
  <si>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</si>
  <si>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</si>
  <si>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</si>
  <si>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</si>
  <si>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</si>
  <si>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</si>
  <si>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</si>
  <si>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</si>
  <si>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</si>
  <si>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</si>
  <si>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</si>
  <si>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</si>
  <si>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</si>
  <si>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</si>
  <si>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</si>
  <si>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</si>
  <si>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</si>
  <si>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</si>
  <si>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</si>
  <si>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</si>
  <si>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</si>
  <si>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</si>
  <si>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</si>
  <si>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</si>
  <si>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</si>
  <si>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</si>
  <si>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</si>
  <si>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</si>
  <si>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</si>
  <si>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</si>
  <si>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</si>
  <si>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</si>
  <si>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</si>
  <si>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</si>
  <si>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</si>
  <si>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</si>
  <si>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</si>
  <si>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</si>
  <si>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</si>
  <si>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</si>
  <si>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</si>
  <si>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</si>
  <si>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</si>
  <si>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</si>
  <si>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</si>
  <si>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</si>
  <si>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</si>
  <si>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</si>
  <si>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</si>
  <si>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</si>
  <si>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</si>
  <si>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</si>
  <si>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</si>
  <si>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</si>
  <si>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</si>
  <si>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</si>
  <si>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</si>
  <si>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</si>
  <si>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</si>
  <si>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</si>
  <si>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</si>
  <si>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</si>
  <si>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</si>
  <si>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</si>
  <si>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</si>
  <si>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</si>
  <si>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</si>
  <si>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</si>
  <si>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</si>
  <si>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</si>
  <si>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</si>
  <si>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</si>
  <si>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</si>
  <si>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</si>
  <si>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</si>
  <si>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</si>
  <si>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</si>
  <si>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</si>
  <si>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</si>
  <si>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</si>
  <si>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</si>
  <si>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</si>
  <si>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</si>
  <si>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</si>
  <si>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</si>
  <si>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</si>
  <si>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</si>
  <si>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</si>
  <si>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</si>
  <si>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</si>
  <si>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</si>
  <si>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</si>
  <si>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</si>
  <si>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</si>
  <si>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</si>
  <si>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</si>
  <si>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</si>
  <si>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</si>
  <si>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</si>
  <si>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</si>
  <si>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</si>
  <si>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</si>
  <si>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</si>
  <si>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</si>
  <si>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</si>
  <si>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</si>
  <si>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</si>
  <si>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</si>
  <si>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</si>
  <si>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</si>
  <si>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</si>
  <si>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</si>
  <si>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</si>
  <si>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</si>
  <si>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</si>
  <si>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</si>
  <si>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</si>
  <si>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</si>
  <si>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</si>
  <si>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</si>
  <si>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</si>
  <si>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</si>
  <si>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</si>
  <si>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</si>
  <si>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</si>
  <si>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</si>
  <si>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</si>
  <si>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</si>
  <si>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</si>
  <si>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</si>
  <si>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</si>
  <si>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</si>
  <si>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</si>
  <si>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</si>
  <si>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</si>
  <si>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</si>
  <si>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</si>
  <si>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</si>
  <si>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</si>
  <si>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</si>
  <si>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</si>
  <si>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</si>
  <si>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</si>
  <si>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</si>
  <si>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</si>
  <si>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</si>
  <si>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</si>
  <si>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</si>
  <si>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</si>
  <si>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</si>
  <si>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</si>
  <si>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</si>
  <si>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</si>
  <si>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</si>
  <si>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</si>
  <si>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</si>
  <si>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</si>
  <si>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</si>
  <si>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</si>
  <si>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</si>
  <si>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</si>
  <si>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</si>
  <si>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</si>
  <si>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</si>
  <si>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</si>
  <si>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</si>
  <si>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</si>
  <si>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</si>
  <si>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</si>
  <si>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</si>
  <si>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</si>
  <si>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</si>
  <si>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</si>
  <si>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</si>
  <si>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</si>
  <si>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</si>
  <si>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</si>
  <si>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</si>
  <si>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</si>
  <si>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</si>
  <si>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</si>
  <si>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</si>
  <si>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</si>
  <si>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</si>
  <si>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</si>
  <si>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</si>
  <si>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</si>
  <si>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</si>
  <si>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</si>
  <si>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</si>
  <si>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</si>
  <si>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</si>
  <si>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</si>
  <si>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</si>
  <si>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</si>
  <si>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</si>
  <si>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</si>
  <si>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</si>
  <si>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</si>
  <si>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</si>
  <si>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</si>
  <si>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</si>
  <si>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</si>
  <si>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</si>
  <si>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</si>
  <si>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</si>
  <si>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</si>
  <si>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</si>
  <si>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</si>
  <si>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</si>
  <si>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</si>
  <si>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</si>
  <si>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</si>
  <si>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</si>
  <si>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</si>
  <si>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</si>
  <si>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</si>
  <si>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</si>
  <si>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</si>
  <si>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</si>
  <si>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</si>
  <si>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</si>
  <si>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</si>
  <si>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</si>
  <si>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</si>
  <si>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</si>
  <si>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</si>
  <si>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</si>
  <si>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</si>
  <si>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</si>
  <si>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</si>
  <si>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</si>
  <si>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</si>
  <si>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</si>
  <si>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</si>
  <si>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</si>
  <si>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</si>
  <si>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</si>
  <si>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</si>
  <si>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</si>
  <si>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</si>
  <si>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</si>
  <si>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</si>
  <si>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</si>
  <si>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</si>
  <si>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</si>
  <si>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</si>
  <si>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</si>
  <si>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</si>
  <si>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</si>
  <si>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</si>
  <si>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</si>
  <si>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</si>
  <si>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</si>
  <si>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</si>
  <si>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</si>
  <si>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</si>
  <si>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</si>
  <si>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</si>
  <si>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</si>
  <si>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</si>
  <si>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</si>
  <si>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</si>
  <si>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</si>
  <si>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</si>
  <si>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</si>
  <si>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</si>
  <si>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</si>
  <si>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</si>
  <si>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</si>
  <si>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</si>
  <si>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</si>
  <si>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</si>
  <si>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</si>
  <si>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</si>
  <si>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</si>
  <si>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</si>
  <si>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</si>
  <si>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</si>
  <si>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</si>
  <si>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</si>
  <si>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</si>
  <si>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</si>
  <si>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</si>
  <si>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</si>
  <si>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</si>
  <si>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</si>
  <si>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</si>
  <si>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</si>
  <si>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</si>
  <si>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</si>
  <si>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</si>
  <si>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</si>
  <si>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</si>
  <si>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</si>
  <si>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</si>
  <si>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</si>
  <si>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</si>
  <si>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</si>
  <si>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</si>
  <si>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</si>
  <si>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</si>
  <si>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</si>
  <si>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</si>
  <si>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</si>
  <si>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</si>
  <si>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</si>
  <si>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</si>
  <si>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</si>
  <si>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</si>
  <si>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</si>
  <si>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</si>
  <si>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</si>
  <si>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</si>
  <si>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</si>
  <si>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</si>
  <si>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</si>
  <si>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</si>
  <si>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</si>
  <si>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</si>
  <si>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</si>
  <si>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</si>
  <si>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</si>
  <si>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</si>
  <si>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</si>
  <si>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</si>
  <si>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</si>
  <si>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</si>
  <si>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</si>
  <si>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</si>
  <si>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</si>
  <si>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</si>
  <si>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</si>
  <si>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</si>
  <si>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</si>
  <si>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</si>
  <si>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</si>
  <si>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</si>
  <si>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</si>
  <si>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</si>
  <si>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</si>
  <si>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</si>
  <si>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</si>
  <si>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</si>
  <si>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</si>
  <si>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</si>
  <si>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</si>
  <si>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</si>
  <si>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</si>
  <si>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</si>
  <si>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</si>
  <si>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</si>
  <si>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</si>
  <si>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</si>
  <si>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</si>
  <si>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</si>
  <si>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</si>
  <si>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</si>
  <si>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</si>
  <si>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</si>
  <si>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</si>
  <si>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</si>
  <si>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</si>
  <si>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</si>
  <si>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</si>
  <si>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</si>
  <si>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</si>
  <si>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</si>
  <si>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</si>
  <si>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</si>
  <si>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</si>
  <si>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</si>
  <si>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</si>
  <si>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</si>
  <si>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</si>
  <si>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</si>
  <si>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</si>
  <si>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</si>
  <si>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</si>
  <si>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</si>
  <si>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</si>
  <si>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</si>
  <si>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</si>
  <si>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</si>
  <si>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</si>
  <si>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</si>
  <si>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</si>
  <si>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</si>
  <si>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</si>
  <si>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</si>
  <si>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</si>
  <si>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</si>
  <si>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</si>
  <si>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</si>
  <si>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</si>
  <si>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</si>
  <si>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</si>
  <si>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</si>
  <si>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</si>
  <si>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</si>
  <si>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</si>
  <si>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</si>
  <si>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</si>
  <si>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</si>
  <si>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</si>
  <si>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</si>
  <si>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</si>
  <si>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</si>
  <si>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</si>
  <si>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</si>
  <si>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</si>
  <si>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</si>
  <si>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</si>
  <si>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</si>
  <si>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</si>
  <si>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</si>
  <si>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</si>
  <si>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</si>
  <si>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</si>
  <si>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</si>
  <si>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</si>
  <si>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</si>
  <si>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</si>
  <si>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</si>
  <si>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</si>
  <si>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</si>
  <si>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</si>
  <si>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</si>
  <si>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</si>
  <si>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</si>
  <si>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</si>
  <si>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</si>
  <si>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</si>
  <si>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</si>
  <si>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</si>
  <si>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</si>
  <si>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</si>
  <si>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</si>
  <si>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</si>
  <si>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</si>
  <si>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</si>
  <si>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</si>
  <si>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</si>
  <si>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</si>
  <si>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</si>
  <si>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</si>
  <si>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</si>
  <si>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</si>
  <si>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</si>
  <si>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</si>
  <si>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</si>
  <si>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</si>
  <si>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</si>
  <si>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</si>
  <si>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</si>
  <si>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</si>
  <si>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</si>
  <si>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</si>
  <si>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</si>
  <si>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</si>
  <si>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</si>
  <si>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</si>
  <si>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</si>
  <si>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</si>
  <si>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</si>
  <si>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</si>
  <si>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</si>
  <si>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</si>
  <si>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</si>
  <si>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</si>
  <si>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</si>
  <si>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</si>
  <si>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</si>
  <si>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</si>
  <si>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</si>
  <si>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</si>
  <si>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</si>
  <si>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</si>
  <si>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</si>
  <si>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</si>
  <si>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</si>
  <si>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</si>
  <si>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</si>
  <si>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</si>
  <si>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</si>
  <si>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</si>
  <si>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</si>
  <si>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</si>
  <si>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</si>
  <si>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</si>
  <si>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</si>
  <si>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</si>
  <si>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</si>
  <si>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</si>
  <si>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</si>
  <si>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</si>
  <si>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</si>
  <si>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</si>
  <si>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</si>
  <si>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</si>
  <si>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</si>
  <si>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</si>
  <si>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</si>
  <si>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</si>
  <si>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</si>
  <si>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</si>
  <si>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</si>
  <si>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</si>
  <si>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</si>
  <si>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</si>
  <si>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</si>
  <si>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</si>
  <si>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</si>
  <si>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</si>
  <si>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</si>
  <si>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</si>
  <si>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</si>
  <si>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</si>
  <si>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</si>
  <si>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</si>
  <si>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</si>
  <si>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</si>
  <si>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</si>
  <si>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</si>
  <si>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</si>
  <si>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</si>
  <si>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</si>
  <si>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</si>
  <si>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</si>
  <si>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</si>
  <si>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</si>
  <si>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</si>
  <si>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</si>
  <si>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</si>
  <si>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</si>
  <si>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</si>
  <si>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</si>
  <si>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</si>
  <si>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</si>
  <si>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</si>
  <si>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</si>
  <si>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</si>
  <si>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</si>
  <si>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</si>
  <si>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</si>
  <si>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</si>
  <si>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</si>
  <si>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</si>
  <si>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</si>
  <si>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</si>
  <si>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</si>
  <si>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</si>
  <si>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</si>
  <si>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</si>
  <si>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</si>
  <si>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</si>
  <si>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</si>
  <si>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</si>
  <si>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</si>
  <si>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</si>
  <si>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</si>
  <si>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</si>
  <si>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</si>
  <si>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</si>
  <si>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</si>
  <si>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</si>
  <si>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</si>
  <si>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</si>
  <si>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</si>
  <si>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</si>
  <si>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</si>
  <si>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</si>
  <si>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</si>
  <si>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</si>
  <si>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</si>
  <si>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</si>
  <si>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</si>
  <si>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</si>
  <si>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</si>
  <si>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</si>
  <si>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</si>
  <si>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</si>
  <si>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</si>
  <si>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</si>
  <si>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</si>
  <si>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</si>
  <si>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</si>
  <si>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</si>
  <si>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</si>
  <si>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</si>
  <si>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</si>
  <si>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</si>
  <si>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</si>
  <si>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</si>
  <si>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</si>
  <si>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</si>
  <si>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</si>
  <si>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</si>
  <si>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</si>
  <si>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</si>
  <si>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</si>
  <si>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</si>
  <si>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</si>
  <si>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</si>
  <si>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</si>
  <si>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</si>
  <si>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</si>
  <si>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</si>
  <si>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</si>
  <si>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</si>
  <si>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</si>
  <si>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</si>
  <si>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</si>
  <si>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</si>
  <si>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</si>
  <si>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</si>
  <si>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</si>
  <si>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</si>
  <si>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</si>
  <si>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</si>
  <si>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</si>
  <si>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</si>
  <si>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</si>
  <si>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</si>
  <si>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</si>
  <si>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</si>
  <si>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</si>
  <si>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</si>
  <si>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</si>
  <si>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</si>
  <si>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</si>
  <si>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</si>
  <si>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</si>
  <si>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</si>
  <si>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</si>
  <si>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</si>
  <si>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</si>
  <si>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</si>
  <si>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</si>
  <si>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</si>
  <si>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</si>
  <si>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</si>
  <si>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</si>
  <si>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</si>
  <si>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</si>
  <si>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</si>
  <si>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</si>
  <si>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</si>
  <si>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</si>
  <si>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</si>
  <si>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</si>
  <si>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</si>
  <si>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</si>
  <si>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</si>
  <si>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</si>
  <si>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</si>
  <si>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</si>
  <si>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</si>
  <si>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</si>
  <si>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</si>
  <si>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</si>
  <si>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</si>
  <si>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</si>
  <si>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</si>
  <si>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</si>
  <si>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</si>
  <si>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</si>
  <si>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</si>
  <si>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</si>
  <si>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</si>
  <si>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</si>
  <si>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</si>
  <si>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</si>
  <si>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</si>
  <si>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</si>
  <si>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</si>
  <si>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</si>
  <si>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</si>
  <si>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</si>
  <si>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</si>
  <si>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</si>
  <si>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</si>
  <si>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</si>
  <si>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</si>
  <si>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</si>
  <si>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</si>
  <si>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</si>
  <si>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</si>
  <si>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</si>
  <si>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</si>
  <si>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</si>
  <si>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</si>
  <si>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</si>
  <si>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</si>
  <si>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</si>
  <si>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</si>
  <si>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</si>
  <si>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</si>
  <si>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</si>
  <si>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</si>
  <si>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</si>
  <si>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</si>
  <si>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</si>
  <si>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</si>
  <si>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</si>
  <si>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</si>
  <si>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</si>
  <si>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</si>
  <si>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</si>
  <si>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</si>
  <si>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</si>
  <si>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</si>
  <si>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</si>
  <si>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</si>
  <si>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</si>
  <si>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</si>
  <si>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</si>
  <si>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</si>
  <si>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</si>
  <si>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</si>
  <si>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</si>
  <si>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</si>
  <si>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</si>
  <si>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</si>
  <si>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</si>
  <si>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</si>
  <si>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</si>
  <si>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</si>
  <si>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</si>
  <si>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</si>
  <si>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</si>
  <si>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</si>
  <si>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</si>
  <si>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</si>
  <si>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</si>
  <si>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</si>
  <si>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</si>
  <si>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</si>
  <si>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</si>
  <si>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</si>
  <si>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</si>
  <si>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</si>
  <si>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</si>
  <si>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</si>
  <si>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</si>
  <si>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</si>
  <si>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</si>
  <si>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</si>
  <si>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</si>
  <si>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</si>
  <si>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</si>
  <si>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</si>
  <si>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</si>
  <si>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</si>
  <si>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</si>
  <si>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</si>
  <si>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</si>
  <si>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</si>
  <si>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</si>
  <si>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</si>
  <si>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</si>
  <si>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</si>
  <si>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</si>
  <si>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</si>
  <si>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</si>
  <si>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</si>
  <si>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</si>
  <si>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</si>
  <si>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</si>
  <si>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</si>
  <si>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</si>
  <si>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</si>
  <si>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</si>
  <si>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</si>
  <si>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</si>
  <si>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</si>
  <si>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</si>
  <si>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</si>
  <si>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</si>
  <si>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</si>
  <si>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</si>
  <si>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</si>
  <si>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</si>
  <si>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</si>
  <si>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</si>
  <si>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</si>
  <si>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</si>
  <si>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</si>
  <si>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</si>
  <si>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</si>
  <si>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</si>
  <si>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</si>
  <si>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</si>
  <si>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</si>
  <si>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</si>
  <si>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</si>
  <si>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</si>
  <si>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</si>
  <si>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</si>
  <si>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</si>
  <si>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</si>
  <si>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</si>
  <si>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</si>
  <si>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</si>
  <si>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</si>
  <si>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</si>
  <si>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</si>
  <si>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</si>
  <si>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</si>
  <si>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</si>
  <si>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</si>
  <si>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</si>
  <si>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</si>
  <si>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</si>
  <si>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</si>
  <si>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</si>
  <si>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</si>
  <si>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</si>
  <si>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</si>
  <si>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</si>
  <si>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</si>
  <si>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</si>
  <si>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</si>
  <si>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</si>
  <si>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</si>
  <si>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</si>
  <si>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</si>
  <si>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</si>
  <si>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</si>
  <si>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</si>
  <si>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</si>
  <si>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</si>
  <si>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</si>
  <si>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</si>
  <si>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</si>
  <si>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</si>
  <si>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</si>
  <si>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</si>
  <si>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</si>
  <si>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</si>
  <si>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</si>
  <si>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</si>
  <si>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</si>
  <si>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</si>
  <si>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</si>
  <si>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</si>
  <si>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</si>
  <si>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</si>
  <si>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</si>
  <si>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</si>
  <si>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</si>
  <si>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</si>
  <si>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</si>
  <si>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</si>
  <si>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</si>
  <si>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</si>
  <si>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</si>
  <si>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</si>
  <si>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</si>
  <si>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</si>
  <si>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</si>
  <si>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</si>
  <si>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</si>
  <si>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</si>
  <si>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</si>
  <si>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</si>
  <si>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</si>
  <si>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</si>
  <si>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</si>
  <si>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</si>
  <si>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</si>
  <si>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</si>
  <si>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</si>
  <si>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</si>
  <si>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</si>
  <si>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</si>
  <si>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</si>
  <si>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</si>
  <si>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</si>
  <si>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</si>
  <si>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</si>
  <si>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</si>
  <si>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</si>
  <si>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</si>
  <si>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</si>
  <si>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</si>
  <si>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</si>
  <si>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</si>
  <si>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</si>
  <si>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</si>
  <si>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</si>
  <si>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</si>
  <si>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</si>
  <si>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</si>
  <si>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</si>
  <si>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</si>
  <si>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</si>
  <si>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</si>
  <si>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</si>
  <si>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</si>
  <si>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</si>
  <si>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</si>
  <si>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</si>
  <si>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</si>
  <si>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</si>
  <si>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</si>
  <si>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</si>
  <si>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</si>
  <si>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</si>
  <si>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</si>
  <si>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</si>
  <si>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</si>
  <si>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</si>
  <si>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</si>
  <si>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</si>
  <si>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</si>
  <si>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</si>
  <si>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</si>
  <si>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</si>
  <si>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</si>
  <si>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</si>
  <si>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</si>
  <si>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</si>
  <si>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</si>
  <si>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</si>
  <si>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</si>
  <si>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</si>
  <si>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</si>
  <si>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</si>
  <si>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</si>
  <si>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</si>
  <si>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</si>
  <si>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</si>
  <si>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</si>
  <si>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</si>
  <si>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</si>
  <si>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</si>
  <si>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</si>
  <si>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</si>
  <si>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</si>
  <si>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</si>
  <si>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</si>
  <si>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</si>
  <si>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</si>
  <si>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</si>
  <si>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</si>
  <si>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</si>
  <si>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</si>
  <si>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</si>
  <si>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</si>
  <si>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</si>
  <si>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</si>
  <si>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</si>
  <si>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</si>
  <si>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</si>
  <si>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</si>
  <si>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</si>
  <si>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</si>
  <si>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</si>
  <si>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</si>
  <si>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</si>
  <si>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</si>
  <si>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</si>
  <si>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</si>
  <si>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</si>
  <si>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</si>
  <si>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</si>
  <si>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</si>
  <si>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</si>
  <si>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</si>
  <si>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</si>
  <si>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</si>
  <si>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</si>
  <si>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</si>
  <si>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</si>
  <si>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</si>
  <si>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</si>
  <si>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</si>
  <si>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</si>
  <si>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</si>
  <si>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</si>
  <si>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</si>
  <si>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</si>
  <si>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</si>
  <si>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</si>
  <si>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</si>
  <si>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</si>
  <si>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</si>
  <si>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</si>
  <si>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</si>
  <si>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</si>
  <si>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</si>
  <si>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</si>
  <si>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</si>
  <si>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</si>
  <si>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</si>
  <si>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</si>
  <si>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</si>
  <si>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</si>
  <si>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</si>
  <si>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</si>
  <si>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</si>
  <si>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</si>
  <si>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</si>
  <si>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</si>
  <si>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</si>
  <si>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</si>
  <si>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</si>
  <si>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</si>
  <si>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</si>
  <si>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</si>
  <si>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</si>
  <si>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</si>
  <si>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</si>
  <si>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</si>
  <si>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</si>
  <si>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</si>
  <si>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</si>
  <si>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</si>
  <si>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</si>
  <si>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</si>
  <si>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</si>
  <si>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</si>
  <si>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</si>
  <si>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</si>
  <si>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</si>
  <si>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</si>
  <si>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</si>
  <si>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</si>
  <si>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</si>
  <si>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</si>
  <si>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</si>
  <si>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</si>
  <si>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</si>
  <si>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</si>
  <si>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</si>
  <si>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</si>
  <si>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</si>
  <si>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</si>
  <si>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</si>
  <si>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</si>
  <si>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</si>
  <si>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</si>
  <si>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</si>
  <si>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</si>
  <si>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</si>
  <si>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</si>
  <si>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</si>
  <si>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</si>
  <si>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</si>
  <si>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</si>
  <si>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</si>
  <si>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</si>
  <si>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</si>
  <si>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</si>
  <si>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</si>
  <si>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</si>
  <si>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</si>
  <si>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</si>
  <si>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</si>
  <si>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</si>
  <si>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</si>
  <si>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</si>
  <si>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</si>
  <si>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</si>
  <si>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</si>
  <si>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</si>
  <si>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</si>
  <si>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</si>
  <si>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</si>
  <si>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</si>
  <si>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</si>
  <si>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</si>
  <si>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</si>
  <si>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</si>
  <si>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</si>
  <si>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</si>
  <si>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</si>
  <si>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</si>
  <si>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</si>
  <si>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</si>
  <si>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</si>
  <si>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</si>
  <si>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</si>
  <si>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</si>
  <si>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</si>
  <si>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</si>
  <si>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</si>
  <si>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</si>
  <si>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</si>
  <si>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</si>
  <si>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</si>
  <si>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</si>
  <si>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</si>
  <si>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</si>
  <si>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</si>
  <si>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</si>
  <si>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</si>
  <si>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</si>
  <si>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</si>
  <si>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</si>
  <si>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</si>
  <si>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</si>
  <si>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</si>
  <si>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</si>
  <si>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</si>
  <si>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</si>
  <si>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</si>
  <si>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</si>
  <si>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</si>
  <si>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</si>
  <si>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</si>
  <si>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</si>
  <si>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</si>
  <si>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</si>
  <si>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</si>
  <si>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</si>
  <si>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</si>
  <si>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</si>
  <si>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</si>
  <si>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</si>
  <si>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</si>
  <si>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</si>
  <si>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</si>
  <si>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</si>
  <si>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</si>
  <si>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</si>
  <si>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</si>
  <si>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</si>
  <si>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</si>
  <si>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</si>
  <si>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</si>
  <si>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</si>
  <si>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</si>
  <si>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</si>
  <si>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</si>
  <si>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</si>
  <si>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</si>
  <si>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</si>
  <si>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</si>
  <si>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</si>
  <si>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</si>
  <si>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</si>
  <si>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</si>
  <si>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</si>
  <si>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</si>
  <si>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</si>
  <si>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</si>
  <si>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</si>
  <si>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</si>
  <si>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</si>
  <si>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</si>
  <si>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</si>
  <si>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</si>
  <si>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</si>
  <si>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</si>
  <si>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</si>
  <si>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</si>
  <si>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</si>
  <si>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</si>
  <si>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</si>
  <si>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</si>
  <si>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</si>
  <si>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</si>
  <si>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</si>
  <si>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</si>
  <si>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</si>
  <si>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</si>
  <si>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</si>
  <si>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</si>
  <si>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</si>
  <si>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</si>
  <si>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</si>
  <si>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</si>
  <si>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</si>
  <si>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</si>
  <si>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</si>
  <si>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</si>
  <si>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</si>
  <si>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</si>
  <si>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</si>
  <si>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</si>
  <si>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</si>
  <si>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</si>
  <si>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</si>
  <si>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</si>
  <si>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</si>
  <si>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</si>
  <si>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</si>
  <si>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</si>
  <si>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</si>
  <si>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</si>
  <si>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</si>
  <si>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</si>
  <si>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</si>
  <si>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</si>
  <si>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</si>
  <si>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</si>
  <si>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</si>
  <si>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</si>
  <si>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</si>
  <si>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</si>
  <si>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</si>
  <si>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</si>
  <si>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</si>
  <si>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</si>
  <si>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</si>
  <si>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</si>
  <si>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</si>
  <si>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</si>
  <si>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</si>
  <si>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</si>
  <si>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</si>
  <si>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</si>
  <si>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</si>
  <si>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</si>
  <si>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</si>
  <si>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</si>
  <si>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</si>
  <si>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</si>
  <si>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</si>
  <si>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</si>
  <si>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</si>
  <si>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</si>
  <si>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</si>
  <si>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</si>
  <si>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</si>
  <si>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</si>
  <si>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</si>
  <si>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</si>
  <si>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</si>
  <si>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</si>
  <si>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</si>
  <si>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</si>
  <si>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</si>
  <si>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</si>
  <si>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</si>
  <si>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</si>
  <si>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</si>
  <si>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</si>
  <si>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</si>
  <si>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</si>
  <si>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</si>
  <si>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</si>
  <si>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</si>
  <si>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</si>
  <si>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</si>
  <si>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</si>
  <si>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</si>
  <si>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</si>
  <si>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</si>
  <si>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</si>
  <si>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</si>
  <si>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</si>
  <si>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</si>
  <si>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</si>
  <si>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</si>
  <si>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</si>
  <si>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</si>
  <si>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</si>
  <si>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</si>
  <si>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</si>
  <si>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</si>
  <si>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</si>
  <si>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</si>
  <si>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</si>
  <si>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</si>
  <si>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</si>
  <si>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</si>
  <si>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</si>
  <si>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</si>
  <si>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</si>
  <si>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</si>
  <si>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</si>
  <si>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</si>
  <si>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</si>
  <si>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</si>
  <si>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</si>
  <si>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</si>
  <si>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</si>
  <si>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</si>
  <si>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</si>
  <si>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</si>
  <si>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</si>
  <si>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</si>
  <si>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</si>
  <si>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</si>
  <si>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</si>
  <si>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</si>
  <si>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</si>
  <si>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</si>
  <si>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</si>
  <si>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</si>
  <si>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</si>
  <si>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</si>
  <si>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</si>
  <si>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</si>
  <si>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</si>
  <si>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</si>
  <si>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</si>
  <si>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</si>
  <si>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</si>
  <si>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</si>
  <si>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</si>
  <si>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</si>
  <si>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</si>
  <si>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</si>
  <si>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</si>
  <si>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</si>
  <si>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</si>
  <si>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</si>
  <si>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</si>
  <si>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</si>
  <si>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</si>
  <si>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</si>
  <si>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</si>
  <si>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</si>
  <si>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</si>
  <si>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</si>
  <si>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</si>
  <si>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</si>
  <si>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</si>
  <si>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</si>
  <si>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</si>
  <si>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</si>
  <si>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</si>
  <si>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</si>
  <si>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</si>
  <si>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</si>
  <si>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</si>
  <si>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</si>
  <si>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</si>
  <si>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</si>
  <si>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</si>
  <si>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</si>
  <si>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</si>
  <si>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</si>
  <si>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</si>
  <si>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</si>
  <si>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</si>
  <si>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</si>
  <si>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</si>
  <si>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</si>
  <si>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</si>
  <si>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</si>
  <si>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</si>
  <si>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</si>
  <si>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</si>
  <si>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</si>
  <si>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</si>
  <si>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</si>
  <si>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</si>
  <si>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</si>
  <si>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</si>
  <si>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</si>
  <si>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</si>
  <si>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</si>
  <si>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</si>
  <si>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</si>
  <si>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</si>
  <si>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</si>
  <si>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</si>
  <si>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</si>
  <si>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</si>
  <si>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</si>
  <si>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</si>
  <si>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</si>
  <si>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</si>
  <si>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</si>
  <si>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</si>
  <si>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</si>
  <si>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</si>
  <si>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</si>
  <si>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</si>
  <si>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</si>
  <si>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</si>
  <si>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</si>
  <si>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</si>
  <si>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</si>
  <si>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</si>
  <si>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</si>
  <si>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</si>
  <si>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</si>
  <si>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</si>
  <si>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</si>
  <si>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</si>
  <si>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</si>
  <si>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</si>
  <si>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</si>
  <si>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</si>
  <si>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</si>
  <si>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</si>
  <si>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</si>
  <si>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</si>
  <si>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</si>
  <si>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</si>
  <si>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</si>
  <si>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</si>
  <si>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</si>
  <si>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</si>
  <si>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</si>
  <si>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</si>
  <si>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</si>
  <si>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</si>
  <si>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</si>
  <si>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</si>
  <si>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</si>
  <si>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</si>
  <si>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</si>
  <si>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</si>
  <si>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</si>
  <si>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</si>
  <si>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</si>
  <si>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</si>
  <si>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</si>
  <si>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</si>
  <si>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</si>
  <si>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</si>
  <si>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</si>
  <si>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</si>
  <si>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</si>
  <si>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</si>
  <si>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</si>
  <si>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</si>
  <si>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</si>
  <si>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</si>
  <si>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</si>
  <si>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</si>
  <si>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</si>
  <si>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</si>
  <si>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</si>
  <si>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</si>
  <si>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</si>
  <si>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</si>
  <si>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</si>
  <si>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</si>
  <si>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</si>
  <si>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</si>
  <si>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</si>
  <si>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</si>
  <si>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</si>
  <si>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</si>
  <si>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</si>
  <si>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</si>
  <si>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</si>
  <si>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</si>
  <si>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</si>
  <si>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</si>
  <si>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</si>
  <si>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</si>
  <si>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</si>
  <si>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</si>
  <si>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</si>
  <si>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</si>
  <si>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</si>
  <si>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</si>
  <si>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</si>
  <si>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</si>
  <si>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</si>
  <si>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</si>
  <si>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</si>
  <si>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</si>
  <si>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</si>
  <si>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</si>
  <si>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</si>
  <si>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</si>
  <si>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</si>
  <si>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</si>
  <si>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</si>
  <si>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</si>
  <si>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</si>
  <si>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</si>
  <si>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</si>
  <si>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</si>
  <si>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</si>
  <si>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</si>
  <si>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</si>
  <si>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</si>
  <si>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</si>
  <si>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</si>
  <si>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</si>
  <si>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</si>
  <si>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</si>
  <si>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</si>
  <si>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</si>
  <si>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</si>
  <si>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</si>
  <si>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</si>
  <si>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</si>
  <si>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</si>
  <si>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</si>
  <si>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</si>
  <si>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</si>
  <si>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</si>
  <si>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</si>
  <si>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</si>
  <si>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</si>
  <si>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</si>
  <si>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</si>
  <si>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</si>
  <si>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</si>
  <si>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</si>
  <si>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</si>
  <si>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</si>
  <si>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</si>
  <si>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</si>
  <si>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</si>
  <si>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</si>
  <si>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</si>
  <si>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</si>
  <si>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</si>
  <si>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</si>
  <si>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</si>
  <si>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</si>
  <si>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</si>
  <si>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</si>
  <si>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</si>
  <si>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</si>
  <si>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</si>
  <si>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</si>
  <si>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</si>
  <si>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</si>
  <si>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</si>
  <si>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</si>
  <si>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</si>
  <si>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</si>
  <si>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</si>
  <si>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</si>
  <si>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</si>
  <si>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</si>
  <si>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</si>
  <si>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</si>
  <si>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</si>
  <si>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</si>
  <si>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</si>
  <si>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</si>
  <si>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</si>
  <si>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</si>
  <si>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</si>
  <si>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</si>
  <si>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</si>
  <si>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</si>
  <si>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</si>
  <si>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</si>
  <si>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</si>
  <si>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</si>
  <si>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</si>
  <si>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</si>
  <si>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</si>
  <si>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</si>
  <si>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</si>
  <si>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</si>
  <si>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</si>
  <si>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</si>
  <si>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</si>
  <si>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</si>
  <si>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</si>
  <si>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</si>
  <si>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</si>
  <si>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</si>
  <si>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</si>
  <si>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</si>
  <si>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</si>
  <si>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</si>
  <si>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</si>
  <si>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</si>
  <si>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</si>
  <si>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</si>
  <si>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</si>
  <si>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</si>
  <si>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</si>
  <si>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</si>
  <si>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</si>
  <si>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</si>
  <si>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</si>
  <si>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</si>
  <si>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</si>
  <si>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</si>
  <si>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</si>
  <si>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</si>
  <si>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</si>
  <si>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</si>
  <si>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</si>
  <si>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</si>
  <si>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</si>
  <si>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</si>
  <si>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</si>
  <si>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</si>
  <si>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</si>
  <si>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</si>
  <si>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</si>
  <si>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</si>
  <si>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</si>
  <si>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</si>
  <si>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</si>
  <si>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</si>
  <si>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</si>
  <si>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</si>
  <si>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</si>
  <si>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</si>
  <si>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</si>
  <si>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</si>
  <si>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</si>
  <si>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</si>
  <si>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</si>
  <si>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</si>
  <si>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</si>
  <si>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</si>
  <si>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</si>
  <si>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</si>
  <si>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</si>
  <si>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</si>
  <si>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</si>
  <si>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</si>
  <si>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</si>
  <si>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</si>
  <si>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</si>
  <si>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</si>
  <si>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</si>
  <si>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</si>
  <si>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</si>
  <si>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</si>
  <si>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</si>
  <si>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</si>
  <si>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</si>
  <si>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</si>
  <si>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</si>
  <si>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</si>
  <si>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</si>
  <si>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</si>
  <si>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</si>
  <si>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</si>
  <si>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</si>
  <si>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</si>
  <si>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</si>
  <si>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</si>
  <si>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</si>
  <si>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</si>
  <si>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</si>
  <si>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</si>
  <si>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</si>
  <si>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</si>
  <si>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</si>
  <si>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</si>
  <si>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</si>
  <si>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</si>
  <si>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</si>
  <si>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</si>
  <si>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</si>
  <si>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</si>
  <si>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</si>
  <si>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</si>
  <si>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</si>
  <si>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</si>
  <si>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</si>
  <si>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</si>
  <si>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</si>
  <si>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</si>
  <si>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</si>
  <si>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</si>
  <si>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</si>
  <si>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</si>
  <si>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</si>
  <si>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</si>
  <si>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</si>
  <si>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</si>
  <si>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</si>
  <si>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</si>
  <si>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</si>
  <si>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</si>
  <si>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</si>
  <si>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</si>
  <si>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</si>
  <si>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</si>
  <si>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</si>
  <si>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</si>
  <si>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</si>
  <si>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</si>
  <si>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</si>
  <si>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</si>
  <si>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</si>
  <si>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</si>
  <si>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</si>
  <si>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</si>
  <si>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</si>
  <si>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</si>
  <si>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</si>
  <si>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</si>
  <si>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</si>
  <si>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</si>
  <si>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</si>
  <si>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</si>
  <si>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</si>
  <si>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</si>
  <si>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</si>
  <si>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</si>
  <si>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</si>
  <si>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</si>
  <si>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</si>
  <si>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</si>
  <si>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</si>
  <si>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</si>
  <si>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</si>
  <si>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</si>
  <si>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</si>
  <si>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</si>
  <si>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</si>
  <si>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</si>
  <si>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</si>
  <si>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</si>
  <si>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</si>
  <si>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</si>
  <si>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</si>
  <si>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</si>
  <si>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</si>
  <si>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</si>
  <si>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</si>
  <si>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</si>
  <si>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</si>
  <si>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</si>
  <si>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</si>
  <si>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</si>
  <si>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</si>
  <si>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</si>
  <si>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</si>
  <si>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</si>
  <si>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</si>
  <si>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</si>
  <si>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</si>
  <si>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</si>
  <si>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</si>
  <si>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</si>
  <si>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</si>
  <si>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</si>
  <si>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</si>
  <si>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</si>
  <si>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</si>
  <si>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</si>
  <si>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</si>
  <si>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</si>
  <si>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</si>
  <si>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</si>
  <si>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</si>
  <si>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</si>
  <si>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</si>
  <si>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</si>
  <si>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</si>
  <si>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</si>
  <si>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</si>
  <si>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</si>
  <si>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</si>
  <si>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</si>
  <si>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</si>
  <si>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</si>
  <si>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</si>
  <si>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</si>
  <si>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</si>
  <si>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</si>
  <si>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</si>
  <si>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</si>
  <si>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</si>
  <si>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</si>
  <si>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</si>
  <si>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</si>
  <si>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</si>
  <si>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</si>
  <si>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</si>
  <si>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</si>
  <si>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</si>
  <si>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</si>
  <si>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</si>
  <si>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</si>
  <si>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</si>
  <si>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</si>
  <si>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</si>
  <si>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</si>
  <si>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</si>
  <si>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</si>
  <si>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</si>
  <si>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</si>
  <si>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</si>
  <si>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</si>
  <si>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</si>
  <si>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</si>
  <si>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</si>
  <si>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</si>
  <si>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</si>
  <si>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</si>
  <si>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</si>
  <si>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</si>
  <si>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</si>
  <si>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</si>
  <si>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</si>
  <si>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</si>
  <si>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</si>
  <si>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</si>
  <si>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</si>
  <si>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</si>
  <si>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</si>
  <si>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</si>
  <si>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</si>
  <si>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</si>
  <si>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</si>
  <si>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</si>
  <si>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</si>
  <si>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</si>
  <si>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</si>
  <si>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</si>
  <si>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</si>
  <si>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</si>
  <si>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</si>
  <si>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</si>
  <si>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</si>
  <si>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</si>
  <si>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</si>
  <si>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</si>
  <si>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</si>
  <si>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</si>
  <si>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</si>
  <si>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</si>
  <si>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</si>
  <si>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</si>
  <si>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</si>
  <si>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</si>
  <si>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</si>
  <si>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</si>
  <si>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</si>
  <si>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</si>
  <si>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</si>
  <si>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</si>
  <si>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</si>
  <si>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</si>
  <si>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</si>
  <si>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</si>
  <si>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</si>
  <si>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</si>
  <si>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</si>
  <si>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</si>
  <si>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</si>
  <si>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</si>
  <si>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</si>
  <si>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</si>
  <si>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</si>
  <si>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</si>
  <si>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</si>
  <si>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</si>
  <si>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</si>
  <si>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</si>
  <si>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</si>
  <si>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</si>
  <si>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</si>
  <si>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</si>
  <si>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</si>
  <si>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</si>
  <si>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</si>
  <si>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</si>
  <si>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</si>
  <si>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</si>
  <si>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</si>
  <si>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</si>
  <si>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</si>
  <si>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</si>
  <si>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</si>
  <si>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</si>
  <si>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</si>
  <si>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</si>
  <si>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</si>
  <si>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</si>
  <si>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</si>
  <si>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</si>
  <si>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</si>
  <si>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</si>
  <si>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</si>
  <si>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</si>
  <si>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</si>
  <si>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</si>
  <si>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</si>
  <si>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</si>
  <si>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</si>
  <si>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</si>
  <si>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</si>
  <si>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</si>
  <si>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</si>
  <si>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</si>
  <si>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</si>
  <si>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</si>
  <si>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</si>
  <si>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</si>
  <si>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</si>
  <si>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</si>
  <si>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</si>
  <si>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</si>
  <si>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</si>
  <si>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</si>
  <si>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</si>
  <si>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</si>
  <si>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</si>
  <si>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</si>
  <si>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</si>
  <si>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</si>
  <si>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</si>
  <si>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</si>
  <si>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</si>
  <si>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</si>
  <si>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</si>
  <si>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</si>
  <si>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</si>
  <si>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</si>
  <si>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</si>
  <si>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</si>
  <si>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</si>
  <si>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</si>
  <si>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</si>
  <si>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</si>
  <si>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</si>
  <si>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</si>
  <si>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</si>
  <si>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</si>
  <si>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</si>
  <si>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</si>
  <si>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</si>
  <si>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</si>
  <si>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</si>
  <si>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</si>
  <si>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</si>
  <si>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</si>
  <si>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</si>
  <si>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</si>
  <si>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</si>
  <si>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</si>
  <si>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</si>
  <si>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</si>
  <si>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</si>
  <si>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</si>
  <si>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</si>
  <si>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</si>
  <si>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</si>
  <si>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</si>
  <si>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</si>
  <si>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</si>
  <si>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</si>
  <si>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</si>
  <si>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</si>
  <si>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</si>
  <si>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</si>
  <si>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</si>
  <si>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</si>
  <si>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</si>
  <si>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</si>
  <si>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</si>
  <si>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</si>
  <si>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</si>
  <si>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</si>
  <si>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</si>
  <si>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</si>
  <si>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</si>
  <si>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</si>
  <si>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</si>
  <si>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</si>
  <si>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</si>
  <si>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</si>
  <si>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</si>
  <si>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</si>
  <si>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</si>
  <si>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</si>
  <si>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</si>
  <si>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</si>
  <si>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</si>
  <si>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</si>
  <si>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</si>
  <si>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</si>
  <si>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</si>
  <si>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</si>
  <si>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</si>
  <si>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</si>
  <si>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</si>
  <si>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</si>
  <si>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</si>
  <si>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</si>
  <si>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</si>
  <si>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</si>
  <si>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</si>
  <si>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</si>
  <si>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</si>
  <si>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</si>
  <si>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</si>
  <si>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</si>
  <si>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</si>
  <si>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</si>
  <si>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</si>
  <si>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</si>
  <si>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</si>
  <si>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</si>
  <si>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</si>
  <si>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</si>
  <si>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</si>
  <si>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</si>
  <si>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</si>
  <si>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</si>
  <si>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</si>
  <si>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</si>
  <si>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</si>
  <si>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</si>
  <si>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</si>
  <si>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</si>
  <si>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</si>
  <si>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</si>
  <si>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</si>
  <si>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</si>
  <si>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</si>
  <si>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</si>
  <si>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</si>
  <si>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</si>
  <si>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</si>
  <si>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</si>
  <si>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</si>
  <si>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</si>
  <si>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</si>
  <si>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</si>
  <si>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</si>
  <si>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</si>
  <si>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</si>
  <si>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</si>
  <si>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</si>
  <si>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</si>
  <si>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</si>
  <si>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</si>
  <si>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</si>
  <si>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</si>
  <si>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</si>
  <si>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</si>
  <si>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</si>
  <si>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</si>
  <si>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</si>
  <si>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</si>
  <si>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</si>
  <si>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</si>
  <si>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</si>
  <si>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</si>
  <si>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</si>
  <si>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</si>
  <si>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</si>
  <si>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</si>
  <si>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</si>
  <si>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</si>
  <si>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</si>
  <si>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</si>
  <si>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</si>
  <si>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</si>
  <si>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</si>
  <si>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</si>
  <si>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</si>
  <si>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</si>
  <si>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</si>
  <si>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</si>
  <si>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</si>
  <si>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</si>
  <si>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</si>
  <si>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</si>
  <si>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</si>
  <si>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</si>
  <si>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</si>
  <si>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</si>
  <si>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</si>
  <si>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</si>
  <si>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</si>
  <si>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</si>
  <si>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</si>
  <si>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</si>
  <si>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</si>
  <si>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</si>
  <si>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</si>
  <si>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</si>
  <si>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</si>
  <si>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</si>
  <si>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</si>
  <si>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</si>
  <si>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</si>
  <si>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</si>
  <si>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</si>
  <si>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</si>
  <si>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</si>
  <si>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</si>
  <si>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</si>
  <si>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</si>
  <si>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</si>
  <si>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</si>
  <si>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</si>
  <si>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</si>
  <si>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</si>
  <si>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</si>
  <si>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</si>
  <si>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</si>
  <si>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</si>
  <si>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</si>
  <si>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</si>
  <si>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</si>
  <si>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</si>
  <si>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</si>
  <si>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</si>
  <si>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</si>
  <si>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</si>
  <si>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</si>
  <si>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</si>
  <si>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</si>
  <si>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</si>
  <si>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</si>
  <si>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</si>
  <si>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</si>
  <si>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</si>
  <si>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</si>
  <si>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</si>
  <si>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</si>
  <si>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</si>
  <si>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</si>
  <si>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</si>
  <si>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</si>
  <si>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</si>
  <si>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</si>
  <si>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</si>
  <si>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</si>
  <si>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</si>
  <si>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</si>
  <si>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</si>
  <si>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</si>
  <si>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</si>
  <si>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</si>
  <si>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</si>
  <si>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</si>
  <si>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</si>
  <si>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</si>
  <si>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</si>
  <si>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</si>
  <si>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</si>
  <si>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</si>
  <si>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</si>
  <si>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</si>
  <si>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</si>
  <si>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</si>
  <si>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</si>
  <si>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</si>
  <si>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</si>
  <si>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</si>
  <si>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</si>
  <si>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</si>
  <si>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</si>
  <si>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</si>
  <si>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</si>
  <si>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</si>
  <si>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</si>
  <si>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</si>
  <si>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</si>
  <si>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</si>
  <si>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</si>
  <si>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</si>
  <si>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</si>
  <si>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</si>
  <si>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</si>
  <si>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</si>
  <si>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</si>
  <si>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</si>
  <si>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</si>
  <si>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</si>
  <si>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</si>
  <si>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</si>
  <si>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</si>
  <si>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</si>
  <si>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</si>
  <si>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</si>
  <si>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</si>
  <si>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</si>
  <si>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</si>
  <si>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</si>
  <si>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</si>
  <si>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</si>
  <si>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</si>
  <si>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</si>
  <si>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</si>
  <si>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</si>
  <si>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</si>
  <si>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</si>
  <si>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</si>
  <si>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</si>
  <si>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</si>
  <si>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</si>
  <si>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</si>
  <si>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</si>
  <si>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</si>
  <si>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</si>
  <si>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</si>
  <si>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</si>
  <si>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</si>
  <si>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</si>
  <si>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</si>
  <si>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</si>
  <si>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</si>
  <si>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</si>
  <si>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</si>
  <si>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</si>
  <si>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</si>
  <si>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</si>
  <si>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</si>
  <si>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</si>
  <si>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</si>
  <si>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</si>
  <si>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</si>
  <si>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</si>
  <si>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</si>
  <si>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</si>
  <si>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</si>
  <si>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</si>
  <si>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</si>
  <si>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</si>
  <si>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</si>
  <si>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</si>
  <si>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</si>
  <si>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</si>
  <si>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</si>
  <si>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</si>
  <si>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</si>
  <si>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</si>
  <si>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</si>
  <si>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</si>
  <si>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</si>
  <si>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</si>
  <si>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</si>
  <si>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</si>
  <si>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</si>
  <si>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</si>
  <si>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</si>
  <si>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</si>
  <si>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</si>
  <si>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</si>
  <si>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</si>
  <si>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</si>
  <si>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</si>
  <si>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</si>
  <si>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</si>
  <si>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</si>
  <si>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</si>
  <si>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</si>
  <si>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</si>
  <si>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</si>
  <si>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</si>
  <si>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</si>
  <si>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</si>
  <si>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</si>
  <si>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</si>
  <si>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</si>
  <si>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</si>
  <si>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</si>
  <si>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</si>
  <si>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</si>
  <si>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</si>
  <si>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</si>
  <si>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</si>
  <si>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</si>
  <si>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</si>
  <si>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</si>
  <si>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</si>
  <si>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</si>
  <si>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</si>
  <si>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</si>
  <si>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</si>
  <si>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</si>
  <si>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</si>
  <si>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</si>
  <si>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</si>
  <si>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</si>
  <si>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</si>
  <si>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</si>
  <si>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</si>
  <si>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</si>
  <si>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</si>
  <si>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</si>
  <si>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</si>
  <si>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</si>
  <si>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</si>
  <si>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</si>
  <si>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</si>
  <si>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</si>
  <si>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</si>
  <si>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</si>
  <si>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</si>
  <si>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</si>
  <si>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</si>
  <si>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</si>
  <si>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</si>
  <si>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</si>
  <si>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</si>
  <si>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</si>
  <si>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</si>
  <si>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</si>
  <si>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</si>
  <si>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</si>
  <si>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</si>
  <si>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</si>
  <si>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</si>
  <si>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</si>
  <si>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</si>
  <si>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</si>
  <si>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</si>
  <si>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</si>
  <si>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</si>
  <si>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</si>
  <si>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</si>
  <si>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</si>
  <si>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</si>
  <si>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</si>
  <si>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</si>
  <si>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</si>
  <si>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</si>
  <si>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</si>
  <si>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</si>
  <si>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</si>
  <si>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</si>
  <si>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</si>
  <si>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</si>
  <si>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</si>
  <si>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</si>
  <si>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</si>
  <si>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</si>
  <si>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</si>
  <si>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</si>
  <si>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</si>
  <si>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</si>
  <si>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</si>
  <si>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</si>
  <si>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</si>
  <si>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</si>
  <si>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</si>
  <si>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</si>
  <si>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</si>
  <si>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</si>
  <si>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</si>
  <si>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</si>
  <si>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</si>
  <si>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</si>
  <si>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</si>
  <si>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</si>
  <si>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</si>
  <si>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</si>
  <si>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</si>
  <si>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</si>
  <si>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</si>
  <si>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</si>
  <si>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</si>
  <si>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</si>
  <si>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</si>
  <si>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</si>
  <si>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</si>
  <si>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</si>
  <si>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</si>
  <si>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</si>
  <si>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</si>
  <si>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</si>
  <si>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</si>
  <si>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</si>
  <si>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</si>
  <si>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</si>
  <si>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</si>
  <si>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</si>
  <si>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</si>
  <si>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</si>
  <si>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</si>
  <si>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</si>
  <si>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</si>
  <si>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</si>
  <si>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</si>
  <si>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</si>
  <si>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</si>
  <si>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</si>
  <si>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</si>
  <si>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</si>
  <si>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</si>
  <si>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</si>
  <si>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</si>
  <si>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</si>
  <si>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</si>
  <si>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</si>
  <si>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</si>
  <si>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</si>
  <si>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</si>
  <si>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</si>
  <si>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利息：取LPR</t>
  </si>
  <si>
    <t>2021-1</t>
    <phoneticPr fontId="5" type="noConversion"/>
  </si>
  <si>
    <t>2021-2</t>
    <phoneticPr fontId="147" type="noConversion"/>
  </si>
  <si>
    <t>陈颖</t>
  </si>
  <si>
    <t>叶凌</t>
  </si>
  <si>
    <t>联系电话</t>
  </si>
  <si>
    <t>评估人</t>
  </si>
  <si>
    <t xml:space="preserve"> </t>
  </si>
  <si>
    <t>编号</t>
    <phoneticPr fontId="5" type="noConversion"/>
  </si>
  <si>
    <t>单元住宅类型</t>
    <phoneticPr fontId="5" type="noConversion"/>
  </si>
  <si>
    <t>钢混</t>
  </si>
  <si>
    <t>平层</t>
  </si>
  <si>
    <t>评估日期</t>
  </si>
  <si>
    <t>贷款机构</t>
  </si>
  <si>
    <t>姓名</t>
  </si>
  <si>
    <t>身份证号</t>
  </si>
  <si>
    <t>所在区县</t>
  </si>
  <si>
    <t>开发商(产权人)</t>
  </si>
  <si>
    <t>面积M2</t>
  </si>
  <si>
    <t>评估总额</t>
  </si>
  <si>
    <t>评估总额(万元)</t>
  </si>
  <si>
    <t>风险率</t>
  </si>
  <si>
    <t>最高抵押额</t>
  </si>
  <si>
    <t>收费</t>
  </si>
  <si>
    <t>工程进度</t>
  </si>
  <si>
    <t>结论</t>
  </si>
  <si>
    <t>复式、平层√、跃层、错层</t>
  </si>
  <si>
    <t>北京住房公积金管理中心住房公积金贷款中心</t>
  </si>
  <si>
    <t>可抵押商品住宅</t>
  </si>
  <si>
    <t>李晓岩</t>
  </si>
  <si>
    <t>三</t>
  </si>
  <si>
    <t>新增</t>
  </si>
  <si>
    <t>二手房</t>
  </si>
  <si>
    <t>中介</t>
  </si>
  <si>
    <t>不含任何税费</t>
  </si>
  <si>
    <t>北京市</t>
  </si>
  <si>
    <t>元</t>
  </si>
  <si>
    <t>楼面单价</t>
  </si>
  <si>
    <t>已包含在土地取得成本中</t>
  </si>
  <si>
    <t>已包含在土地购买价格中</t>
  </si>
  <si>
    <t>住宅</t>
    <phoneticPr fontId="21" type="noConversion"/>
  </si>
  <si>
    <t>60-70（含）</t>
  </si>
  <si>
    <t>楼层</t>
    <phoneticPr fontId="21" type="noConversion"/>
  </si>
  <si>
    <t>板楼</t>
    <phoneticPr fontId="21" type="noConversion"/>
  </si>
  <si>
    <t>塔楼</t>
    <phoneticPr fontId="21" type="noConversion"/>
  </si>
  <si>
    <t>西南</t>
  </si>
  <si>
    <t>西南</t>
    <phoneticPr fontId="21" type="noConversion"/>
  </si>
  <si>
    <t>北</t>
    <phoneticPr fontId="21" type="noConversion"/>
  </si>
  <si>
    <t>东北</t>
    <phoneticPr fontId="21" type="noConversion"/>
  </si>
  <si>
    <t>钢混</t>
    <phoneticPr fontId="21" type="noConversion"/>
  </si>
  <si>
    <t>建成年代</t>
    <phoneticPr fontId="21" type="noConversion"/>
  </si>
  <si>
    <t>七通</t>
  </si>
  <si>
    <t>七通</t>
    <phoneticPr fontId="21" type="noConversion"/>
  </si>
  <si>
    <t>平层</t>
    <phoneticPr fontId="21" type="noConversion"/>
  </si>
  <si>
    <t>普通装修</t>
  </si>
  <si>
    <t>西北</t>
    <phoneticPr fontId="21"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</si>
  <si>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</si>
  <si>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成本法</t>
  </si>
  <si>
    <t>比较法-住宅</t>
  </si>
  <si>
    <t>估价对象1（结果表）</t>
  </si>
  <si>
    <t>记录时间</t>
    <phoneticPr fontId="5" type="noConversion"/>
  </si>
  <si>
    <t>康正代办</t>
    <phoneticPr fontId="5" type="noConversion"/>
  </si>
  <si>
    <t>更改日期</t>
    <phoneticPr fontId="5" type="noConversion"/>
  </si>
  <si>
    <t>评估通知单</t>
    <phoneticPr fontId="5" type="noConversion"/>
  </si>
  <si>
    <t>仅限于抵押物</t>
    <phoneticPr fontId="5" type="noConversion"/>
  </si>
  <si>
    <t>居住区名</t>
    <phoneticPr fontId="5" type="noConversion"/>
  </si>
  <si>
    <t>组团名</t>
    <phoneticPr fontId="5" type="noConversion"/>
  </si>
  <si>
    <t>楼号</t>
    <phoneticPr fontId="5" type="noConversion"/>
  </si>
  <si>
    <t>单元</t>
    <phoneticPr fontId="5" type="noConversion"/>
  </si>
  <si>
    <t>门牌号</t>
    <phoneticPr fontId="5" type="noConversion"/>
  </si>
  <si>
    <t>第几层</t>
    <phoneticPr fontId="5" type="noConversion"/>
  </si>
  <si>
    <t>楼户型</t>
    <phoneticPr fontId="5" type="noConversion"/>
  </si>
  <si>
    <t>套内建</t>
    <phoneticPr fontId="5" type="noConversion"/>
  </si>
  <si>
    <t>成交总价</t>
    <phoneticPr fontId="5" type="noConversion"/>
  </si>
  <si>
    <t>建面成交单价</t>
    <phoneticPr fontId="5" type="noConversion"/>
  </si>
  <si>
    <t>建面评估单价(元/M2)</t>
    <phoneticPr fontId="5" type="noConversion"/>
  </si>
  <si>
    <r>
      <t>年</t>
    </r>
    <r>
      <rPr>
        <sz val="12"/>
        <color indexed="8"/>
        <rFont val="Times New Roman"/>
        <family val="1"/>
      </rPr>
      <t/>
    </r>
    <phoneticPr fontId="5" type="noConversion"/>
  </si>
  <si>
    <t>月</t>
    <phoneticPr fontId="5" type="noConversion"/>
  </si>
  <si>
    <t>日</t>
    <phoneticPr fontId="5" type="noConversion"/>
  </si>
  <si>
    <t>资金管理中心</t>
    <phoneticPr fontId="5" type="noConversion"/>
  </si>
  <si>
    <t>申请人编号</t>
    <phoneticPr fontId="5" type="noConversion"/>
  </si>
  <si>
    <t>备注</t>
    <phoneticPr fontId="5" type="noConversion"/>
  </si>
  <si>
    <t>复核人</t>
    <phoneticPr fontId="5" type="noConversion"/>
  </si>
  <si>
    <t>交付时间</t>
    <phoneticPr fontId="5" type="noConversion"/>
  </si>
  <si>
    <t>评估月份</t>
    <phoneticPr fontId="5" type="noConversion"/>
  </si>
  <si>
    <t>房屋剩余年限</t>
    <phoneticPr fontId="5" type="noConversion"/>
  </si>
  <si>
    <t>房屋所有权证</t>
    <phoneticPr fontId="5" type="noConversion"/>
  </si>
  <si>
    <t>周次</t>
    <phoneticPr fontId="5" type="noConversion"/>
  </si>
  <si>
    <t>制作人</t>
    <phoneticPr fontId="5" type="noConversion"/>
  </si>
  <si>
    <t>变更内容</t>
    <phoneticPr fontId="5" type="noConversion"/>
  </si>
  <si>
    <t>年</t>
    <phoneticPr fontId="5" type="noConversion"/>
  </si>
  <si>
    <t>更改内容</t>
    <phoneticPr fontId="5" type="noConversion"/>
  </si>
  <si>
    <t>抵押注记</t>
    <phoneticPr fontId="5" type="noConversion"/>
  </si>
  <si>
    <t>合同类型</t>
    <phoneticPr fontId="5" type="noConversion"/>
  </si>
  <si>
    <t>合同特定编号</t>
    <phoneticPr fontId="5" type="noConversion"/>
  </si>
  <si>
    <t>合同编号</t>
    <phoneticPr fontId="5" type="noConversion"/>
  </si>
  <si>
    <t>出卖人</t>
    <phoneticPr fontId="5" type="noConversion"/>
  </si>
  <si>
    <t>注册地址</t>
    <phoneticPr fontId="5" type="noConversion"/>
  </si>
  <si>
    <t>营业执照注册号</t>
    <phoneticPr fontId="5" type="noConversion"/>
  </si>
  <si>
    <t>法定代表人</t>
    <phoneticPr fontId="5" type="noConversion"/>
  </si>
  <si>
    <t>邮政编码</t>
    <phoneticPr fontId="5" type="noConversion"/>
  </si>
  <si>
    <t>联系电话</t>
    <phoneticPr fontId="5" type="noConversion"/>
  </si>
  <si>
    <t>层高（米）</t>
    <phoneticPr fontId="5" type="noConversion"/>
  </si>
  <si>
    <t>交易日期</t>
    <phoneticPr fontId="5" type="noConversion"/>
  </si>
  <si>
    <t>缺失备注</t>
    <phoneticPr fontId="5" type="noConversion"/>
  </si>
  <si>
    <t>补充人</t>
    <phoneticPr fontId="5" type="noConversion"/>
  </si>
  <si>
    <t>出具日期</t>
    <phoneticPr fontId="5" type="noConversion"/>
  </si>
  <si>
    <t>释放清单出具日期</t>
    <phoneticPr fontId="5" type="noConversion"/>
  </si>
  <si>
    <t>销售方式</t>
    <phoneticPr fontId="5" type="noConversion"/>
  </si>
  <si>
    <t>交易情况</t>
    <phoneticPr fontId="5" type="noConversion"/>
  </si>
  <si>
    <t>交易方式</t>
    <phoneticPr fontId="5" type="noConversion"/>
  </si>
  <si>
    <t>价格内涵</t>
    <phoneticPr fontId="5" type="noConversion"/>
  </si>
  <si>
    <t>评估套内单价</t>
    <phoneticPr fontId="5" type="noConversion"/>
  </si>
  <si>
    <t>套内单价</t>
    <phoneticPr fontId="5" type="noConversion"/>
  </si>
  <si>
    <t>2号楼</t>
  </si>
  <si>
    <t>三室一厅一卫一厨</t>
  </si>
  <si>
    <t>灯市口</t>
    <phoneticPr fontId="21" type="noConversion"/>
  </si>
  <si>
    <t>居委会管理</t>
  </si>
  <si>
    <t>居委会管理</t>
    <phoneticPr fontId="21" type="noConversion"/>
  </si>
  <si>
    <t>板楼</t>
  </si>
  <si>
    <t>普通装修</t>
    <phoneticPr fontId="21" type="noConversion"/>
  </si>
  <si>
    <t>简单装修</t>
    <phoneticPr fontId="21" type="noConversion"/>
  </si>
  <si>
    <t>2009-21-P-00328-U</t>
    <phoneticPr fontId="5" type="noConversion"/>
  </si>
  <si>
    <t>马涛</t>
    <phoneticPr fontId="5" type="noConversion"/>
  </si>
  <si>
    <t>110101196404224057</t>
    <phoneticPr fontId="5" type="noConversion"/>
  </si>
  <si>
    <t>13601019257</t>
    <phoneticPr fontId="5" type="noConversion"/>
  </si>
  <si>
    <r>
      <t>双榆树北里</t>
    </r>
    <r>
      <rPr>
        <sz val="10"/>
        <rFont val="Times New Roman"/>
        <family val="1"/>
      </rPr>
      <t/>
    </r>
    <phoneticPr fontId="5" type="noConversion"/>
  </si>
  <si>
    <t>16号楼</t>
  </si>
  <si>
    <t>3门</t>
    <phoneticPr fontId="5" type="noConversion"/>
  </si>
  <si>
    <t>202号</t>
    <phoneticPr fontId="5" type="noConversion"/>
  </si>
  <si>
    <t>陈鸣明</t>
    <phoneticPr fontId="5" type="noConversion"/>
  </si>
  <si>
    <t>二室一厅一卫一厨</t>
    <phoneticPr fontId="5" type="noConversion"/>
  </si>
  <si>
    <t>复式、平层√、跃层、错层</t>
    <phoneticPr fontId="5" type="noConversion"/>
  </si>
  <si>
    <t>北京住房公积金管理中心中央国家机关分中心</t>
    <phoneticPr fontId="5" type="noConversion"/>
  </si>
  <si>
    <t>杜盛兴</t>
    <phoneticPr fontId="5" type="noConversion"/>
  </si>
  <si>
    <t>现房</t>
    <phoneticPr fontId="5" type="noConversion"/>
  </si>
  <si>
    <t>刘朝阳</t>
    <phoneticPr fontId="5" type="noConversion"/>
  </si>
  <si>
    <t>三</t>
    <phoneticPr fontId="5" type="noConversion"/>
  </si>
  <si>
    <t>京房权证海私成字第263162号</t>
    <phoneticPr fontId="5" type="noConversion"/>
  </si>
  <si>
    <t>一</t>
    <phoneticPr fontId="5" type="noConversion"/>
  </si>
  <si>
    <t>韩静</t>
    <phoneticPr fontId="5" type="noConversion"/>
  </si>
  <si>
    <t>新增</t>
    <phoneticPr fontId="5" type="noConversion"/>
  </si>
  <si>
    <t>协议</t>
    <phoneticPr fontId="5" type="noConversion"/>
  </si>
  <si>
    <t>82565694</t>
    <phoneticPr fontId="5" type="noConversion"/>
  </si>
  <si>
    <t>二手房</t>
    <phoneticPr fontId="5" type="noConversion"/>
  </si>
  <si>
    <t>正常</t>
    <phoneticPr fontId="5" type="noConversion"/>
  </si>
  <si>
    <t>双方</t>
    <phoneticPr fontId="5" type="noConversion"/>
  </si>
  <si>
    <t>不含税费</t>
    <phoneticPr fontId="5" type="noConversion"/>
  </si>
  <si>
    <t>韩静</t>
  </si>
  <si>
    <t>北京住房公积金管理中心中央国家机关分中心</t>
  </si>
  <si>
    <t>2009-22-P-05474-FU</t>
    <phoneticPr fontId="5" type="noConversion"/>
  </si>
  <si>
    <t>杨亮</t>
    <phoneticPr fontId="5" type="noConversion"/>
  </si>
  <si>
    <t>12010619800120752X</t>
    <phoneticPr fontId="5" type="noConversion"/>
  </si>
  <si>
    <r>
      <t>双榆树东里</t>
    </r>
    <r>
      <rPr>
        <sz val="10"/>
        <rFont val="Times New Roman"/>
        <family val="1"/>
      </rPr>
      <t/>
    </r>
    <phoneticPr fontId="5" type="noConversion"/>
  </si>
  <si>
    <t>22号楼</t>
    <phoneticPr fontId="5" type="noConversion"/>
  </si>
  <si>
    <t>11-9号</t>
    <phoneticPr fontId="5" type="noConversion"/>
  </si>
  <si>
    <t>钱栋</t>
    <phoneticPr fontId="5" type="noConversion"/>
  </si>
  <si>
    <t>十一</t>
    <phoneticPr fontId="5" type="noConversion"/>
  </si>
  <si>
    <t>北京住房公积金管理中心住房公积金贷款中心</t>
    <phoneticPr fontId="5" type="noConversion"/>
  </si>
  <si>
    <t>邹晓鸣</t>
    <phoneticPr fontId="5" type="noConversion"/>
  </si>
  <si>
    <t>李晓岩</t>
    <phoneticPr fontId="5" type="noConversion"/>
  </si>
  <si>
    <t>2009-07237-B-721</t>
    <phoneticPr fontId="5" type="noConversion"/>
  </si>
  <si>
    <t>戴钧</t>
    <phoneticPr fontId="5" type="noConversion"/>
  </si>
  <si>
    <t>钱栋</t>
  </si>
  <si>
    <t>现售</t>
    <phoneticPr fontId="5" type="noConversion"/>
  </si>
  <si>
    <t>中介</t>
    <phoneticPr fontId="5" type="noConversion"/>
  </si>
  <si>
    <t>戴钧</t>
  </si>
  <si>
    <t>2009-22-P-06191-U</t>
    <phoneticPr fontId="5" type="noConversion"/>
  </si>
  <si>
    <t>赵灵军</t>
    <phoneticPr fontId="5" type="noConversion"/>
  </si>
  <si>
    <t>220104198003142636</t>
    <phoneticPr fontId="5" type="noConversion"/>
  </si>
  <si>
    <t>13488732143</t>
    <phoneticPr fontId="5" type="noConversion"/>
  </si>
  <si>
    <t>双榆树北里</t>
    <phoneticPr fontId="17" type="noConversion"/>
  </si>
  <si>
    <t>21号楼</t>
    <phoneticPr fontId="5" type="noConversion"/>
  </si>
  <si>
    <t>3门501号</t>
    <phoneticPr fontId="5" type="noConversion"/>
  </si>
  <si>
    <t>孙敬花</t>
    <phoneticPr fontId="5" type="noConversion"/>
  </si>
  <si>
    <t>五</t>
    <phoneticPr fontId="5" type="noConversion"/>
  </si>
  <si>
    <t>京房权证海私成字第024231号</t>
    <phoneticPr fontId="5" type="noConversion"/>
  </si>
  <si>
    <t>张旭婷</t>
    <phoneticPr fontId="5" type="noConversion"/>
  </si>
  <si>
    <t>买卖合同</t>
    <phoneticPr fontId="5" type="noConversion"/>
  </si>
  <si>
    <t>C</t>
    <phoneticPr fontId="5" type="noConversion"/>
  </si>
  <si>
    <t>87379</t>
    <phoneticPr fontId="5" type="noConversion"/>
  </si>
  <si>
    <t>不含任何税费</t>
    <phoneticPr fontId="5" type="noConversion"/>
  </si>
  <si>
    <t>张旭婷</t>
  </si>
  <si>
    <t>2009-22-P-06374-U</t>
    <phoneticPr fontId="5" type="noConversion"/>
  </si>
  <si>
    <t>高戬</t>
    <phoneticPr fontId="5" type="noConversion"/>
  </si>
  <si>
    <t>110108198301076032</t>
    <phoneticPr fontId="5" type="noConversion"/>
  </si>
  <si>
    <t>双榆树东里</t>
    <phoneticPr fontId="5" type="noConversion"/>
  </si>
  <si>
    <t>10号楼</t>
    <phoneticPr fontId="5" type="noConversion"/>
  </si>
  <si>
    <t>704号</t>
    <phoneticPr fontId="5" type="noConversion"/>
  </si>
  <si>
    <t>李小奇</t>
    <phoneticPr fontId="5" type="noConversion"/>
  </si>
  <si>
    <t>43.60</t>
    <phoneticPr fontId="5" type="noConversion"/>
  </si>
  <si>
    <t>一室一厅一卫一厨</t>
    <phoneticPr fontId="5" type="noConversion"/>
  </si>
  <si>
    <t>京房权证海私成字第242447号</t>
    <phoneticPr fontId="17" type="noConversion"/>
  </si>
  <si>
    <t>孙岳</t>
    <phoneticPr fontId="5" type="noConversion"/>
  </si>
  <si>
    <t>孙岳</t>
  </si>
  <si>
    <t>2009-22-P-07728-U</t>
    <phoneticPr fontId="5" type="noConversion"/>
  </si>
  <si>
    <t>雷华</t>
    <phoneticPr fontId="5" type="noConversion"/>
  </si>
  <si>
    <t>510131197710315421</t>
    <phoneticPr fontId="5" type="noConversion"/>
  </si>
  <si>
    <t>13501174856</t>
    <phoneticPr fontId="5" type="noConversion"/>
  </si>
  <si>
    <t>双榆树东里小区</t>
    <phoneticPr fontId="5" type="noConversion"/>
  </si>
  <si>
    <t>1号楼</t>
    <phoneticPr fontId="5" type="noConversion"/>
  </si>
  <si>
    <t>4门</t>
    <phoneticPr fontId="5" type="noConversion"/>
  </si>
  <si>
    <t>502号</t>
    <phoneticPr fontId="5" type="noConversion"/>
  </si>
  <si>
    <t>刘全义</t>
    <phoneticPr fontId="5" type="noConversion"/>
  </si>
  <si>
    <t>53.1</t>
    <phoneticPr fontId="5" type="noConversion"/>
  </si>
  <si>
    <t>二室一厅一卫一厨</t>
  </si>
  <si>
    <t>六</t>
    <phoneticPr fontId="5" type="noConversion"/>
  </si>
  <si>
    <t>京房权证海私成字第070864号</t>
    <phoneticPr fontId="17" type="noConversion"/>
  </si>
  <si>
    <t>2009-22-P-07796-U</t>
    <phoneticPr fontId="5" type="noConversion"/>
  </si>
  <si>
    <t>张红五</t>
    <phoneticPr fontId="5" type="noConversion"/>
  </si>
  <si>
    <t>110102195704052375</t>
    <phoneticPr fontId="5" type="noConversion"/>
  </si>
  <si>
    <t>海淀区</t>
  </si>
  <si>
    <t>双榆树南里二区</t>
    <phoneticPr fontId="5" type="noConversion"/>
  </si>
  <si>
    <t>4号楼</t>
  </si>
  <si>
    <t>2门</t>
    <phoneticPr fontId="5" type="noConversion"/>
  </si>
  <si>
    <t>603号</t>
    <phoneticPr fontId="5" type="noConversion"/>
  </si>
  <si>
    <t>李裕国</t>
    <phoneticPr fontId="5" type="noConversion"/>
  </si>
  <si>
    <t>现房</t>
  </si>
  <si>
    <t>七</t>
    <phoneticPr fontId="5" type="noConversion"/>
  </si>
  <si>
    <t>买卖合同</t>
  </si>
  <si>
    <t>2009-22-P-11315-U</t>
    <phoneticPr fontId="5" type="noConversion"/>
  </si>
  <si>
    <t>杨爱生</t>
    <phoneticPr fontId="5" type="noConversion"/>
  </si>
  <si>
    <t>130626198004270035</t>
    <phoneticPr fontId="5" type="noConversion"/>
  </si>
  <si>
    <t>13621256630</t>
    <phoneticPr fontId="5" type="noConversion"/>
  </si>
  <si>
    <t>5号楼</t>
    <phoneticPr fontId="5" type="noConversion"/>
  </si>
  <si>
    <t>1门</t>
    <phoneticPr fontId="5" type="noConversion"/>
  </si>
  <si>
    <t>郭亦戈</t>
    <phoneticPr fontId="5" type="noConversion"/>
  </si>
  <si>
    <t>53.0</t>
    <phoneticPr fontId="5" type="noConversion"/>
  </si>
  <si>
    <t>2</t>
    <phoneticPr fontId="5" type="noConversion"/>
  </si>
  <si>
    <t>八</t>
    <phoneticPr fontId="5" type="noConversion"/>
  </si>
  <si>
    <t>二</t>
    <phoneticPr fontId="5" type="noConversion"/>
  </si>
  <si>
    <t>2009-22-P-11746-U</t>
    <phoneticPr fontId="5" type="noConversion"/>
  </si>
  <si>
    <t>马健</t>
    <phoneticPr fontId="5" type="noConversion"/>
  </si>
  <si>
    <t>220802198102241811</t>
    <phoneticPr fontId="5" type="noConversion"/>
  </si>
  <si>
    <t>双榆树西里</t>
  </si>
  <si>
    <t>2号楼</t>
    <phoneticPr fontId="5" type="noConversion"/>
  </si>
  <si>
    <t>605号</t>
    <phoneticPr fontId="5" type="noConversion"/>
  </si>
  <si>
    <t>李颖峰</t>
    <phoneticPr fontId="5" type="noConversion"/>
  </si>
  <si>
    <t>邹晓鸣</t>
  </si>
  <si>
    <t>四</t>
    <phoneticPr fontId="5" type="noConversion"/>
  </si>
  <si>
    <t>现售</t>
  </si>
  <si>
    <t>成交价低</t>
  </si>
  <si>
    <t>不含税费</t>
  </si>
  <si>
    <t>2009-22-P-11975-U</t>
    <phoneticPr fontId="5" type="noConversion"/>
  </si>
  <si>
    <t>张德操</t>
    <phoneticPr fontId="5" type="noConversion"/>
  </si>
  <si>
    <t>370882197710211210</t>
    <phoneticPr fontId="5" type="noConversion"/>
  </si>
  <si>
    <t>13693159686</t>
    <phoneticPr fontId="5" type="noConversion"/>
  </si>
  <si>
    <t>4-8号</t>
    <phoneticPr fontId="5" type="noConversion"/>
  </si>
  <si>
    <t>谢明瑜</t>
    <phoneticPr fontId="5" type="noConversion"/>
  </si>
  <si>
    <t>65.06</t>
    <phoneticPr fontId="5" type="noConversion"/>
  </si>
  <si>
    <t>13241813975</t>
    <phoneticPr fontId="5" type="noConversion"/>
  </si>
  <si>
    <t>2009-22-P-13118-U</t>
    <phoneticPr fontId="5" type="noConversion"/>
  </si>
  <si>
    <t>吕国华、邹斌</t>
    <phoneticPr fontId="5" type="noConversion"/>
  </si>
  <si>
    <t>37140219790205232X、371002198010231018</t>
    <phoneticPr fontId="5" type="noConversion"/>
  </si>
  <si>
    <t>13439986502</t>
    <phoneticPr fontId="5" type="noConversion"/>
  </si>
  <si>
    <t>双榆树北里</t>
    <phoneticPr fontId="5" type="noConversion"/>
  </si>
  <si>
    <t>甲1号楼</t>
    <phoneticPr fontId="5" type="noConversion"/>
  </si>
  <si>
    <t>107号</t>
    <phoneticPr fontId="5" type="noConversion"/>
  </si>
  <si>
    <t>刘忠棋</t>
    <phoneticPr fontId="5" type="noConversion"/>
  </si>
  <si>
    <t>邢轲</t>
    <phoneticPr fontId="5" type="noConversion"/>
  </si>
  <si>
    <t>九</t>
    <phoneticPr fontId="5" type="noConversion"/>
  </si>
  <si>
    <t>170054</t>
    <phoneticPr fontId="5" type="noConversion"/>
  </si>
  <si>
    <t>2009-2-CP-00010-FU</t>
    <phoneticPr fontId="5" type="noConversion"/>
  </si>
  <si>
    <t>何海燕、李倩</t>
    <phoneticPr fontId="5" type="noConversion"/>
  </si>
  <si>
    <t>43242519770601001X、420102197806272426</t>
    <phoneticPr fontId="5" type="noConversion"/>
  </si>
  <si>
    <t>13701278500</t>
    <phoneticPr fontId="5" type="noConversion"/>
  </si>
  <si>
    <t>双榆树西里</t>
    <phoneticPr fontId="5" type="noConversion"/>
  </si>
  <si>
    <t>3号楼</t>
    <phoneticPr fontId="5" type="noConversion"/>
  </si>
  <si>
    <t>1405号</t>
    <phoneticPr fontId="5" type="noConversion"/>
  </si>
  <si>
    <t>58.6</t>
    <phoneticPr fontId="5" type="noConversion"/>
  </si>
  <si>
    <t>刘梅</t>
    <phoneticPr fontId="5" type="noConversion"/>
  </si>
  <si>
    <t>买卖协议</t>
    <phoneticPr fontId="5" type="noConversion"/>
  </si>
  <si>
    <t>王进峰</t>
    <phoneticPr fontId="5" type="noConversion"/>
  </si>
  <si>
    <t>刘梅</t>
  </si>
  <si>
    <t>2009-2-CP-00175-FU</t>
    <phoneticPr fontId="5" type="noConversion"/>
  </si>
  <si>
    <t>顾芳</t>
    <phoneticPr fontId="5" type="noConversion"/>
  </si>
  <si>
    <t>110223198010120565</t>
    <phoneticPr fontId="5" type="noConversion"/>
  </si>
  <si>
    <t>13521715486</t>
    <phoneticPr fontId="5" type="noConversion"/>
  </si>
  <si>
    <t>12号楼</t>
    <phoneticPr fontId="5" type="noConversion"/>
  </si>
  <si>
    <t>402号</t>
    <phoneticPr fontId="5" type="noConversion"/>
  </si>
  <si>
    <t>吕周勇</t>
    <phoneticPr fontId="5" type="noConversion"/>
  </si>
  <si>
    <t>53.7</t>
    <phoneticPr fontId="5" type="noConversion"/>
  </si>
  <si>
    <t xml:space="preserve"> 实际成交价81.5万元，成交单价15177元/平方米。</t>
    <phoneticPr fontId="5" type="noConversion"/>
  </si>
  <si>
    <t>郑燕</t>
    <phoneticPr fontId="5" type="noConversion"/>
  </si>
  <si>
    <t>郑燕</t>
  </si>
  <si>
    <t>2009-2-CP-00936-FU</t>
    <phoneticPr fontId="5" type="noConversion"/>
  </si>
  <si>
    <t>李杨</t>
    <phoneticPr fontId="5" type="noConversion"/>
  </si>
  <si>
    <t>610402198110317493</t>
    <phoneticPr fontId="5" type="noConversion"/>
  </si>
  <si>
    <t>13552420133</t>
    <phoneticPr fontId="5" type="noConversion"/>
  </si>
  <si>
    <t>1106号</t>
    <phoneticPr fontId="5" type="noConversion"/>
  </si>
  <si>
    <t>二室一卫一厨</t>
    <phoneticPr fontId="5" type="noConversion"/>
  </si>
  <si>
    <t>雷晓平</t>
    <phoneticPr fontId="5" type="noConversion"/>
  </si>
  <si>
    <t>2009-2-CP-00983-FU</t>
    <phoneticPr fontId="5" type="noConversion"/>
  </si>
  <si>
    <t>孟令俐</t>
    <phoneticPr fontId="5" type="noConversion"/>
  </si>
  <si>
    <t>131081198311111045</t>
    <phoneticPr fontId="5" type="noConversion"/>
  </si>
  <si>
    <t>13488799039</t>
    <phoneticPr fontId="5" type="noConversion"/>
  </si>
  <si>
    <t>双榆树白塔庵汉荣家园</t>
    <phoneticPr fontId="5" type="noConversion"/>
  </si>
  <si>
    <t>807号</t>
    <phoneticPr fontId="5" type="noConversion"/>
  </si>
  <si>
    <t>郎莹</t>
    <phoneticPr fontId="5" type="noConversion"/>
  </si>
  <si>
    <t>一室二厅一卫一厨</t>
    <phoneticPr fontId="5" type="noConversion"/>
  </si>
  <si>
    <t>刘影</t>
    <phoneticPr fontId="5" type="noConversion"/>
  </si>
  <si>
    <t>刘影</t>
  </si>
  <si>
    <t>2009-2-CP-01318-FU</t>
    <phoneticPr fontId="5" type="noConversion"/>
  </si>
  <si>
    <t>张兰</t>
    <phoneticPr fontId="5" type="noConversion"/>
  </si>
  <si>
    <t>510102196809187427</t>
    <phoneticPr fontId="5" type="noConversion"/>
  </si>
  <si>
    <t>13717861178</t>
    <phoneticPr fontId="5" type="noConversion"/>
  </si>
  <si>
    <t>4层1门</t>
    <phoneticPr fontId="5" type="noConversion"/>
  </si>
  <si>
    <t>403号</t>
    <phoneticPr fontId="5" type="noConversion"/>
  </si>
  <si>
    <t>石川希峰</t>
    <phoneticPr fontId="5" type="noConversion"/>
  </si>
  <si>
    <t>合同</t>
    <phoneticPr fontId="5" type="noConversion"/>
  </si>
  <si>
    <t>2009-2-CP-01929-FU</t>
    <phoneticPr fontId="5" type="noConversion"/>
  </si>
  <si>
    <t>吴喜荣、李燕</t>
    <phoneticPr fontId="5" type="noConversion"/>
  </si>
  <si>
    <t>430223197204229112、110108197409157622</t>
    <phoneticPr fontId="5" type="noConversion"/>
  </si>
  <si>
    <t>1314638027</t>
    <phoneticPr fontId="5" type="noConversion"/>
  </si>
  <si>
    <t>双榆树榆苑公寓</t>
    <phoneticPr fontId="5" type="noConversion"/>
  </si>
  <si>
    <t>709号</t>
    <phoneticPr fontId="5" type="noConversion"/>
  </si>
  <si>
    <t>王宝娣</t>
    <phoneticPr fontId="5" type="noConversion"/>
  </si>
  <si>
    <t>2009-2-CP-02841-FU</t>
    <phoneticPr fontId="5" type="noConversion"/>
  </si>
  <si>
    <t>王云</t>
    <phoneticPr fontId="5" type="noConversion"/>
  </si>
  <si>
    <t>110221196403297327</t>
    <phoneticPr fontId="5" type="noConversion"/>
  </si>
  <si>
    <t>13801322720</t>
    <phoneticPr fontId="5" type="noConversion"/>
  </si>
  <si>
    <t>809号</t>
    <phoneticPr fontId="5" type="noConversion"/>
  </si>
  <si>
    <t>于泓</t>
    <phoneticPr fontId="5" type="noConversion"/>
  </si>
  <si>
    <t>2009-2-CP-02842-FU</t>
    <phoneticPr fontId="5" type="noConversion"/>
  </si>
  <si>
    <t>骆桂丽、张涛</t>
    <phoneticPr fontId="5" type="noConversion"/>
  </si>
  <si>
    <t>110102196203121146、110102196701283316</t>
    <phoneticPr fontId="5" type="noConversion"/>
  </si>
  <si>
    <t>13号楼</t>
    <phoneticPr fontId="5" type="noConversion"/>
  </si>
  <si>
    <t>一层102号</t>
    <phoneticPr fontId="5" type="noConversion"/>
  </si>
  <si>
    <t>孙玉凤</t>
    <phoneticPr fontId="5" type="noConversion"/>
  </si>
  <si>
    <t>二室一卫一厨（原户型：一室一厅一卫一厨）</t>
    <phoneticPr fontId="5" type="noConversion"/>
  </si>
  <si>
    <t>孙玉凤</t>
  </si>
  <si>
    <t>2009-2-CP-03043-FU</t>
    <phoneticPr fontId="5" type="noConversion"/>
  </si>
  <si>
    <t>陈洪涛</t>
    <phoneticPr fontId="5" type="noConversion"/>
  </si>
  <si>
    <t>120106196911270596</t>
    <phoneticPr fontId="5" type="noConversion"/>
  </si>
  <si>
    <t>24号楼</t>
    <phoneticPr fontId="5" type="noConversion"/>
  </si>
  <si>
    <t>6号</t>
    <phoneticPr fontId="5" type="noConversion"/>
  </si>
  <si>
    <t>张京粮</t>
    <phoneticPr fontId="5" type="noConversion"/>
  </si>
  <si>
    <t>魏伯欣</t>
  </si>
  <si>
    <t>2009-2-CP-03513-FU</t>
    <phoneticPr fontId="5" type="noConversion"/>
  </si>
  <si>
    <t>谷晓涛、张荆梅</t>
    <phoneticPr fontId="5" type="noConversion"/>
  </si>
  <si>
    <t>120104690202633、11011119721020862X</t>
    <phoneticPr fontId="5" type="noConversion"/>
  </si>
  <si>
    <t>13910403528</t>
    <phoneticPr fontId="5" type="noConversion"/>
  </si>
  <si>
    <t>双榆树北路6号</t>
    <phoneticPr fontId="5" type="noConversion"/>
  </si>
  <si>
    <t>303号</t>
    <phoneticPr fontId="5" type="noConversion"/>
  </si>
  <si>
    <t>李盼生</t>
    <phoneticPr fontId="5" type="noConversion"/>
  </si>
  <si>
    <t>一</t>
  </si>
  <si>
    <t>2009-2-CP-04184-FU</t>
    <phoneticPr fontId="5" type="noConversion"/>
  </si>
  <si>
    <t>韦团、周超</t>
    <phoneticPr fontId="5" type="noConversion"/>
  </si>
  <si>
    <t>110107197312270630、420303197804031722</t>
    <phoneticPr fontId="5" type="noConversion"/>
  </si>
  <si>
    <t>13810824526</t>
    <phoneticPr fontId="5" type="noConversion"/>
  </si>
  <si>
    <t>1509号</t>
    <phoneticPr fontId="5" type="noConversion"/>
  </si>
  <si>
    <t>王炳龄</t>
    <phoneticPr fontId="5" type="noConversion"/>
  </si>
  <si>
    <t>15</t>
    <phoneticPr fontId="5" type="noConversion"/>
  </si>
  <si>
    <t>三室二厅二卫一厨</t>
    <phoneticPr fontId="5" type="noConversion"/>
  </si>
  <si>
    <t>赵盼</t>
    <phoneticPr fontId="5" type="noConversion"/>
  </si>
  <si>
    <t>赵盼</t>
  </si>
  <si>
    <t>2009-2-CP-04637-FU</t>
    <phoneticPr fontId="5" type="noConversion"/>
  </si>
  <si>
    <t>戎永华、魏春娟</t>
    <phoneticPr fontId="5" type="noConversion"/>
  </si>
  <si>
    <t>130123198108013619、130123198101281821</t>
    <phoneticPr fontId="5" type="noConversion"/>
  </si>
  <si>
    <t>13581963647</t>
    <phoneticPr fontId="5" type="noConversion"/>
  </si>
  <si>
    <t>4号</t>
    <phoneticPr fontId="5" type="noConversion"/>
  </si>
  <si>
    <t>张希儒</t>
    <phoneticPr fontId="5" type="noConversion"/>
  </si>
  <si>
    <t>2009-2-CP-05477-FU</t>
    <phoneticPr fontId="5" type="noConversion"/>
  </si>
  <si>
    <t>唐学军</t>
    <phoneticPr fontId="5" type="noConversion"/>
  </si>
  <si>
    <t>110106196808031819</t>
    <phoneticPr fontId="5" type="noConversion"/>
  </si>
  <si>
    <t>13801220757</t>
    <phoneticPr fontId="5" type="noConversion"/>
  </si>
  <si>
    <t>双榆树小区东里</t>
    <phoneticPr fontId="5" type="noConversion"/>
  </si>
  <si>
    <t>7门</t>
    <phoneticPr fontId="5" type="noConversion"/>
  </si>
  <si>
    <t>501号</t>
    <phoneticPr fontId="5" type="noConversion"/>
  </si>
  <si>
    <t>周波</t>
    <phoneticPr fontId="5" type="noConversion"/>
  </si>
  <si>
    <t>三室一厅一卫一厨</t>
    <phoneticPr fontId="5" type="noConversion"/>
  </si>
  <si>
    <t>张颖</t>
    <phoneticPr fontId="5" type="noConversion"/>
  </si>
  <si>
    <t>张颖</t>
  </si>
  <si>
    <t>2009-2-CP-05913-FU</t>
    <phoneticPr fontId="5" type="noConversion"/>
  </si>
  <si>
    <t>盛莉</t>
    <phoneticPr fontId="5" type="noConversion"/>
  </si>
  <si>
    <t>130224197408260029</t>
    <phoneticPr fontId="5" type="noConversion"/>
  </si>
  <si>
    <t>13681197159</t>
    <phoneticPr fontId="5" type="noConversion"/>
  </si>
  <si>
    <t>5门</t>
    <phoneticPr fontId="5" type="noConversion"/>
  </si>
  <si>
    <t>701号</t>
    <phoneticPr fontId="5" type="noConversion"/>
  </si>
  <si>
    <t>孙月英</t>
    <phoneticPr fontId="5" type="noConversion"/>
  </si>
  <si>
    <t>2009-2-CP-05993-U</t>
    <phoneticPr fontId="5" type="noConversion"/>
  </si>
  <si>
    <t>张必民</t>
    <phoneticPr fontId="5" type="noConversion"/>
  </si>
  <si>
    <t>512301197108142710</t>
    <phoneticPr fontId="5" type="noConversion"/>
  </si>
  <si>
    <t>13321131672</t>
    <phoneticPr fontId="5" type="noConversion"/>
  </si>
  <si>
    <t>6号楼</t>
    <phoneticPr fontId="5" type="noConversion"/>
  </si>
  <si>
    <t>5层2门</t>
    <phoneticPr fontId="5" type="noConversion"/>
  </si>
  <si>
    <t>503号</t>
    <phoneticPr fontId="5" type="noConversion"/>
  </si>
  <si>
    <t>91302009050339</t>
    <phoneticPr fontId="5" type="noConversion"/>
  </si>
  <si>
    <t>X京房权证海字第083305号</t>
    <phoneticPr fontId="5" type="noConversion"/>
  </si>
  <si>
    <t>翟晓斌</t>
    <phoneticPr fontId="5" type="noConversion"/>
  </si>
  <si>
    <t>2009-2-CP-05997-FU</t>
    <phoneticPr fontId="5" type="noConversion"/>
  </si>
  <si>
    <t>于玉贵、余运波</t>
    <phoneticPr fontId="5" type="noConversion"/>
  </si>
  <si>
    <t>430724197108180025、432425197109290033</t>
    <phoneticPr fontId="5" type="noConversion"/>
  </si>
  <si>
    <t>13811235313</t>
    <phoneticPr fontId="5" type="noConversion"/>
  </si>
  <si>
    <t>刘保贞</t>
    <phoneticPr fontId="5" type="noConversion"/>
  </si>
  <si>
    <t>71.8</t>
    <phoneticPr fontId="5" type="noConversion"/>
  </si>
  <si>
    <t>2009-2-CP-06697-FU</t>
    <phoneticPr fontId="5" type="noConversion"/>
  </si>
  <si>
    <t>顾秀云</t>
    <phoneticPr fontId="5" type="noConversion"/>
  </si>
  <si>
    <t>110223720412354</t>
    <phoneticPr fontId="5" type="noConversion"/>
  </si>
  <si>
    <t>13269263330</t>
    <phoneticPr fontId="5" type="noConversion"/>
  </si>
  <si>
    <t>双榆树北路</t>
    <phoneticPr fontId="17" type="noConversion"/>
  </si>
  <si>
    <t>甲3号楼</t>
    <phoneticPr fontId="5" type="noConversion"/>
  </si>
  <si>
    <t>4门12号</t>
    <phoneticPr fontId="5" type="noConversion"/>
  </si>
  <si>
    <t>张学铭</t>
    <phoneticPr fontId="5" type="noConversion"/>
  </si>
  <si>
    <t>王明君</t>
    <phoneticPr fontId="5" type="noConversion"/>
  </si>
  <si>
    <t>王明君</t>
  </si>
  <si>
    <t>2009-2-CP-06947-U</t>
    <phoneticPr fontId="5" type="noConversion"/>
  </si>
  <si>
    <t>李克行</t>
    <phoneticPr fontId="5" type="noConversion"/>
  </si>
  <si>
    <t>130102197707070678</t>
    <phoneticPr fontId="5" type="noConversion"/>
  </si>
  <si>
    <t>13661047725</t>
    <phoneticPr fontId="5" type="noConversion"/>
  </si>
  <si>
    <t>双榆树南里二区</t>
    <phoneticPr fontId="17" type="noConversion"/>
  </si>
  <si>
    <t xml:space="preserve">1号楼 </t>
    <phoneticPr fontId="5" type="noConversion"/>
  </si>
  <si>
    <t>5门603号</t>
    <phoneticPr fontId="5" type="noConversion"/>
  </si>
  <si>
    <t>方刚</t>
    <phoneticPr fontId="5" type="noConversion"/>
  </si>
  <si>
    <t>2009-2-CP-07387-FU</t>
    <phoneticPr fontId="5" type="noConversion"/>
  </si>
  <si>
    <t>刘仲华</t>
    <phoneticPr fontId="5" type="noConversion"/>
  </si>
  <si>
    <t>620102197311225350</t>
    <phoneticPr fontId="5" type="noConversion"/>
  </si>
  <si>
    <t>13121153376</t>
    <phoneticPr fontId="5" type="noConversion"/>
  </si>
  <si>
    <t>双榆树东里</t>
    <phoneticPr fontId="17" type="noConversion"/>
  </si>
  <si>
    <t>17号楼</t>
    <phoneticPr fontId="5" type="noConversion"/>
  </si>
  <si>
    <t>1层</t>
    <phoneticPr fontId="5" type="noConversion"/>
  </si>
  <si>
    <t>4门101号</t>
    <phoneticPr fontId="5" type="noConversion"/>
  </si>
  <si>
    <t>91302009060740</t>
    <phoneticPr fontId="5" type="noConversion"/>
  </si>
  <si>
    <t>X京房权证海字第089931号</t>
    <phoneticPr fontId="5" type="noConversion"/>
  </si>
  <si>
    <t>张德福</t>
    <phoneticPr fontId="5" type="noConversion"/>
  </si>
  <si>
    <t>2009-2-CP-07604-FU</t>
    <phoneticPr fontId="5" type="noConversion"/>
  </si>
  <si>
    <t>赵梅、金涛</t>
    <phoneticPr fontId="5" type="noConversion"/>
  </si>
  <si>
    <t>370104196806260728、110106196201253335</t>
    <phoneticPr fontId="5" type="noConversion"/>
  </si>
  <si>
    <t>13910920432</t>
    <phoneticPr fontId="5" type="noConversion"/>
  </si>
  <si>
    <t>北三环西路双榆树</t>
    <phoneticPr fontId="5" type="noConversion"/>
  </si>
  <si>
    <t>12层</t>
    <phoneticPr fontId="5" type="noConversion"/>
  </si>
  <si>
    <t>1206号</t>
    <phoneticPr fontId="5" type="noConversion"/>
  </si>
  <si>
    <t>91302009061518</t>
    <phoneticPr fontId="5" type="noConversion"/>
  </si>
  <si>
    <t>105287</t>
    <phoneticPr fontId="5" type="noConversion"/>
  </si>
  <si>
    <t>孔庆芳</t>
    <phoneticPr fontId="5" type="noConversion"/>
  </si>
  <si>
    <t>2009-2-CP-07725-FU</t>
    <phoneticPr fontId="5" type="noConversion"/>
  </si>
  <si>
    <t>佟帅</t>
    <phoneticPr fontId="5" type="noConversion"/>
  </si>
  <si>
    <t>230107197101050416</t>
    <phoneticPr fontId="5" type="noConversion"/>
  </si>
  <si>
    <t>双榆树青年公寓</t>
    <phoneticPr fontId="5" type="noConversion"/>
  </si>
  <si>
    <t>12号</t>
    <phoneticPr fontId="5" type="noConversion"/>
  </si>
  <si>
    <t>胡春华</t>
    <phoneticPr fontId="5" type="noConversion"/>
  </si>
  <si>
    <t>41.7</t>
    <phoneticPr fontId="5" type="noConversion"/>
  </si>
  <si>
    <t>可抵押商品住宅</t>
    <phoneticPr fontId="5" type="noConversion"/>
  </si>
  <si>
    <t/>
  </si>
  <si>
    <t>2009-2-CP-07747-FU</t>
    <phoneticPr fontId="5" type="noConversion"/>
  </si>
  <si>
    <t>周述娜、张昊</t>
    <phoneticPr fontId="5" type="noConversion"/>
  </si>
  <si>
    <t>110102197212091123、11010819720116601X</t>
    <phoneticPr fontId="5" type="noConversion"/>
  </si>
  <si>
    <t>13701210951</t>
    <phoneticPr fontId="5" type="noConversion"/>
  </si>
  <si>
    <t>双榆树北路</t>
    <phoneticPr fontId="5" type="noConversion"/>
  </si>
  <si>
    <t>14号</t>
    <phoneticPr fontId="5" type="noConversion"/>
  </si>
  <si>
    <t>李宝国</t>
    <phoneticPr fontId="5" type="noConversion"/>
  </si>
  <si>
    <t>55.7</t>
    <phoneticPr fontId="5" type="noConversion"/>
  </si>
  <si>
    <t>2009-2-CP-08078-FU</t>
  </si>
  <si>
    <t>潘沫</t>
  </si>
  <si>
    <t>422424197906270651</t>
    <phoneticPr fontId="5" type="noConversion"/>
  </si>
  <si>
    <t>13718694232</t>
    <phoneticPr fontId="5" type="noConversion"/>
  </si>
  <si>
    <t>9号楼</t>
    <phoneticPr fontId="5" type="noConversion"/>
  </si>
  <si>
    <t>2108号</t>
    <phoneticPr fontId="5" type="noConversion"/>
  </si>
  <si>
    <t>朱劼锋</t>
    <phoneticPr fontId="5" type="noConversion"/>
  </si>
  <si>
    <t>21</t>
    <phoneticPr fontId="5" type="noConversion"/>
  </si>
  <si>
    <t>朱劼锋</t>
  </si>
  <si>
    <t>2009-2-CP-08186-FU</t>
    <phoneticPr fontId="5" type="noConversion"/>
  </si>
  <si>
    <t>赵娜</t>
    <phoneticPr fontId="5" type="noConversion"/>
  </si>
  <si>
    <t>210821197201161561</t>
    <phoneticPr fontId="5" type="noConversion"/>
  </si>
  <si>
    <t>4号楼</t>
    <phoneticPr fontId="5" type="noConversion"/>
  </si>
  <si>
    <t>3门303号</t>
    <phoneticPr fontId="5" type="noConversion"/>
  </si>
  <si>
    <t>王宙芳</t>
    <phoneticPr fontId="5" type="noConversion"/>
  </si>
  <si>
    <t>2009-2-CP-09582-FU</t>
    <phoneticPr fontId="5" type="noConversion"/>
  </si>
  <si>
    <t>刘定强</t>
    <phoneticPr fontId="5" type="noConversion"/>
  </si>
  <si>
    <t>510228197406196170</t>
    <phoneticPr fontId="5" type="noConversion"/>
  </si>
  <si>
    <t>13910011890</t>
    <phoneticPr fontId="5" type="noConversion"/>
  </si>
  <si>
    <t>3层</t>
    <phoneticPr fontId="5" type="noConversion"/>
  </si>
  <si>
    <t>5门302号</t>
    <phoneticPr fontId="5" type="noConversion"/>
  </si>
  <si>
    <t>91302009071423</t>
    <phoneticPr fontId="5" type="noConversion"/>
  </si>
  <si>
    <t>王葆华</t>
    <phoneticPr fontId="5" type="noConversion"/>
  </si>
  <si>
    <t>2009-2-CP-09599-FU</t>
    <phoneticPr fontId="5" type="noConversion"/>
  </si>
  <si>
    <t>王芳</t>
    <phoneticPr fontId="5" type="noConversion"/>
  </si>
  <si>
    <t>370612198103128022</t>
    <phoneticPr fontId="5" type="noConversion"/>
  </si>
  <si>
    <t>15801555797</t>
    <phoneticPr fontId="5" type="noConversion"/>
  </si>
  <si>
    <t>2门403号</t>
    <phoneticPr fontId="5" type="noConversion"/>
  </si>
  <si>
    <t>赵敏</t>
    <phoneticPr fontId="5" type="noConversion"/>
  </si>
  <si>
    <t>2009-2-CP-10278-FU</t>
  </si>
  <si>
    <t>李磊、武佳丽</t>
  </si>
  <si>
    <t>150404198111090050、150103198310111026</t>
    <phoneticPr fontId="5" type="noConversion"/>
  </si>
  <si>
    <t>13811797400</t>
    <phoneticPr fontId="5" type="noConversion"/>
  </si>
  <si>
    <t>27号楼</t>
    <phoneticPr fontId="5" type="noConversion"/>
  </si>
  <si>
    <t>4层0503号</t>
    <phoneticPr fontId="5" type="noConversion"/>
  </si>
  <si>
    <t>茹爱莉</t>
    <phoneticPr fontId="5" type="noConversion"/>
  </si>
  <si>
    <t>2009-2-CP-10293-FU</t>
    <phoneticPr fontId="5" type="noConversion"/>
  </si>
  <si>
    <t>王丽媛</t>
  </si>
  <si>
    <t>310110197002203622</t>
    <phoneticPr fontId="5" type="noConversion"/>
  </si>
  <si>
    <t>13693237982</t>
    <phoneticPr fontId="5" type="noConversion"/>
  </si>
  <si>
    <t>507号</t>
    <phoneticPr fontId="5" type="noConversion"/>
  </si>
  <si>
    <t>高学忠</t>
    <phoneticPr fontId="5" type="noConversion"/>
  </si>
  <si>
    <t>2009-2-CP-10365-FU</t>
  </si>
  <si>
    <t>李继武</t>
  </si>
  <si>
    <t>320106197212072437</t>
    <phoneticPr fontId="5" type="noConversion"/>
  </si>
  <si>
    <t>13701160131</t>
    <phoneticPr fontId="5" type="noConversion"/>
  </si>
  <si>
    <t>1门123号</t>
    <phoneticPr fontId="5" type="noConversion"/>
  </si>
  <si>
    <t>王方虎</t>
    <phoneticPr fontId="5" type="noConversion"/>
  </si>
  <si>
    <t>三室一卫一厨</t>
    <phoneticPr fontId="5" type="noConversion"/>
  </si>
  <si>
    <t>2009-2-CP-11278-FU</t>
    <phoneticPr fontId="5" type="noConversion"/>
  </si>
  <si>
    <t>苗振强、刘助娴</t>
    <phoneticPr fontId="5" type="noConversion"/>
  </si>
  <si>
    <t>110110195102051535、110110195505051548</t>
    <phoneticPr fontId="5" type="noConversion"/>
  </si>
  <si>
    <t>13901112506</t>
    <phoneticPr fontId="5" type="noConversion"/>
  </si>
  <si>
    <t>1112号</t>
    <phoneticPr fontId="5" type="noConversion"/>
  </si>
  <si>
    <t>杨欢</t>
    <phoneticPr fontId="5" type="noConversion"/>
  </si>
  <si>
    <t>61.13</t>
    <phoneticPr fontId="5" type="noConversion"/>
  </si>
  <si>
    <t>含装修</t>
    <phoneticPr fontId="5" type="noConversion"/>
  </si>
  <si>
    <t>2009-2-CP-11281-FU</t>
    <phoneticPr fontId="5" type="noConversion"/>
  </si>
  <si>
    <t>杨曙锋、王箫</t>
    <phoneticPr fontId="5" type="noConversion"/>
  </si>
  <si>
    <t>432827197408200418、612523197806260020</t>
    <phoneticPr fontId="5" type="noConversion"/>
  </si>
  <si>
    <t>13522086519</t>
    <phoneticPr fontId="5" type="noConversion"/>
  </si>
  <si>
    <t>6层5门</t>
    <phoneticPr fontId="5" type="noConversion"/>
  </si>
  <si>
    <t>2009-2-CP-11631-FU</t>
    <phoneticPr fontId="5" type="noConversion"/>
  </si>
  <si>
    <t>蔡斌、胡晓华</t>
    <phoneticPr fontId="5" type="noConversion"/>
  </si>
  <si>
    <t>420111197601057016、11010819780720544X</t>
    <phoneticPr fontId="5" type="noConversion"/>
  </si>
  <si>
    <t>15201423496</t>
    <phoneticPr fontId="5" type="noConversion"/>
  </si>
  <si>
    <t>62.1</t>
    <phoneticPr fontId="5" type="noConversion"/>
  </si>
  <si>
    <t>1150000</t>
    <phoneticPr fontId="5" type="noConversion"/>
  </si>
  <si>
    <t>2009</t>
    <phoneticPr fontId="5" type="noConversion"/>
  </si>
  <si>
    <t>913020090582</t>
    <phoneticPr fontId="5" type="noConversion"/>
  </si>
  <si>
    <t>33</t>
    <phoneticPr fontId="5" type="noConversion"/>
  </si>
  <si>
    <t>164372</t>
    <phoneticPr fontId="5" type="noConversion"/>
  </si>
  <si>
    <t>韩乃平</t>
    <phoneticPr fontId="5" type="noConversion"/>
  </si>
  <si>
    <t>2009-2-CP-11907-FU</t>
    <phoneticPr fontId="5" type="noConversion"/>
  </si>
  <si>
    <t>年昭华</t>
    <phoneticPr fontId="5" type="noConversion"/>
  </si>
  <si>
    <t>230108198502010811</t>
    <phoneticPr fontId="5" type="noConversion"/>
  </si>
  <si>
    <t>双榆树榆苑公寓</t>
  </si>
  <si>
    <t>602号</t>
    <phoneticPr fontId="5" type="noConversion"/>
  </si>
  <si>
    <t>缭涛</t>
    <phoneticPr fontId="5" type="noConversion"/>
  </si>
  <si>
    <t>魏伯欣</t>
    <phoneticPr fontId="5" type="noConversion"/>
  </si>
  <si>
    <t>2009-2-CP-12042-FU</t>
    <phoneticPr fontId="5" type="noConversion"/>
  </si>
  <si>
    <t>孙雪峰</t>
    <phoneticPr fontId="5" type="noConversion"/>
  </si>
  <si>
    <t>220211197307240379</t>
    <phoneticPr fontId="5" type="noConversion"/>
  </si>
  <si>
    <t>甲2号楼</t>
    <phoneticPr fontId="5" type="noConversion"/>
  </si>
  <si>
    <t>6门</t>
    <phoneticPr fontId="5" type="noConversion"/>
  </si>
  <si>
    <t>401号</t>
    <phoneticPr fontId="5" type="noConversion"/>
  </si>
  <si>
    <t>张逢</t>
    <phoneticPr fontId="5" type="noConversion"/>
  </si>
  <si>
    <t>吴铭</t>
    <phoneticPr fontId="5" type="noConversion"/>
  </si>
  <si>
    <t>避税价</t>
    <phoneticPr fontId="5" type="noConversion"/>
  </si>
  <si>
    <t>双方</t>
  </si>
  <si>
    <t>吴铭</t>
  </si>
  <si>
    <t>2009-2-CP-13170-FU</t>
    <phoneticPr fontId="5" type="noConversion"/>
  </si>
  <si>
    <t>孙鹏</t>
    <phoneticPr fontId="5" type="noConversion"/>
  </si>
  <si>
    <t>130604198309031213</t>
    <phoneticPr fontId="5" type="noConversion"/>
  </si>
  <si>
    <t>15810909008</t>
    <phoneticPr fontId="5" type="noConversion"/>
  </si>
  <si>
    <t>5层4门502号</t>
    <phoneticPr fontId="5" type="noConversion"/>
  </si>
  <si>
    <t>司卫东、韩雪梅</t>
    <phoneticPr fontId="5" type="noConversion"/>
  </si>
  <si>
    <t>2009-2-CP-13262-FU</t>
    <phoneticPr fontId="5" type="noConversion"/>
  </si>
  <si>
    <t>梁久斌</t>
    <phoneticPr fontId="5" type="noConversion"/>
  </si>
  <si>
    <t>433130197307158717</t>
    <phoneticPr fontId="5" type="noConversion"/>
  </si>
  <si>
    <t>双榆树北里</t>
  </si>
  <si>
    <t>14号楼</t>
    <phoneticPr fontId="5" type="noConversion"/>
  </si>
  <si>
    <t>4门</t>
  </si>
  <si>
    <t>601号</t>
    <phoneticPr fontId="5" type="noConversion"/>
  </si>
  <si>
    <t>1290000</t>
    <phoneticPr fontId="5" type="noConversion"/>
  </si>
  <si>
    <t>杜盛兴</t>
  </si>
  <si>
    <t>王美荣</t>
    <phoneticPr fontId="5" type="noConversion"/>
  </si>
  <si>
    <t>2009-2-CP-13550-FU</t>
  </si>
  <si>
    <t>韩钰</t>
  </si>
  <si>
    <t>370502198106293228</t>
    <phoneticPr fontId="5" type="noConversion"/>
  </si>
  <si>
    <t>13811186749</t>
    <phoneticPr fontId="5" type="noConversion"/>
  </si>
  <si>
    <t>2门602号</t>
    <phoneticPr fontId="5" type="noConversion"/>
  </si>
  <si>
    <t>刘朝华</t>
    <phoneticPr fontId="5" type="noConversion"/>
  </si>
  <si>
    <t>2009-2-CP-13727-FU</t>
    <phoneticPr fontId="5" type="noConversion"/>
  </si>
  <si>
    <t>姚常霞、黄世宪</t>
    <phoneticPr fontId="5" type="noConversion"/>
  </si>
  <si>
    <t>110108197509078622、370121197203137430</t>
    <phoneticPr fontId="5" type="noConversion"/>
  </si>
  <si>
    <t>13522339641</t>
    <phoneticPr fontId="5" type="noConversion"/>
  </si>
  <si>
    <t>16号楼</t>
    <phoneticPr fontId="5" type="noConversion"/>
  </si>
  <si>
    <t>王孝平</t>
    <phoneticPr fontId="5" type="noConversion"/>
  </si>
  <si>
    <t>2009-22-P-00586-U</t>
    <phoneticPr fontId="5" type="noConversion"/>
  </si>
  <si>
    <t>秦阳</t>
    <phoneticPr fontId="5" type="noConversion"/>
  </si>
  <si>
    <t>11010819771124142X</t>
    <phoneticPr fontId="5" type="noConversion"/>
  </si>
  <si>
    <t>13651224578</t>
    <phoneticPr fontId="5" type="noConversion"/>
  </si>
  <si>
    <t>知春里</t>
    <phoneticPr fontId="5" type="noConversion"/>
  </si>
  <si>
    <t>26号楼</t>
    <phoneticPr fontId="5" type="noConversion"/>
  </si>
  <si>
    <t>何彬</t>
    <phoneticPr fontId="5" type="noConversion"/>
  </si>
  <si>
    <t>海更成字第007786号</t>
    <phoneticPr fontId="5" type="noConversion"/>
  </si>
  <si>
    <t>2009-22-P-01385-U</t>
    <phoneticPr fontId="5" type="noConversion"/>
  </si>
  <si>
    <t>张玲</t>
    <phoneticPr fontId="5" type="noConversion"/>
  </si>
  <si>
    <t>110108197209191447</t>
    <phoneticPr fontId="5" type="noConversion"/>
  </si>
  <si>
    <t>13161190195</t>
    <phoneticPr fontId="5" type="noConversion"/>
  </si>
  <si>
    <t>19号楼</t>
    <phoneticPr fontId="5" type="noConversion"/>
  </si>
  <si>
    <t>3单元</t>
    <phoneticPr fontId="5" type="noConversion"/>
  </si>
  <si>
    <t>刘玉芳</t>
    <phoneticPr fontId="5" type="noConversion"/>
  </si>
  <si>
    <t>京房权证海私成字第023444号</t>
    <phoneticPr fontId="5" type="noConversion"/>
  </si>
  <si>
    <t>2009-22-P-02021-U</t>
    <phoneticPr fontId="5" type="noConversion"/>
  </si>
  <si>
    <t>王金琛、赵琳</t>
    <phoneticPr fontId="5" type="noConversion"/>
  </si>
  <si>
    <t>110108197504223755、110108197504235721</t>
    <phoneticPr fontId="5" type="noConversion"/>
  </si>
  <si>
    <t>13681475038</t>
    <phoneticPr fontId="5" type="noConversion"/>
  </si>
  <si>
    <t>607号</t>
    <phoneticPr fontId="5" type="noConversion"/>
  </si>
  <si>
    <t>简永茂</t>
    <phoneticPr fontId="5" type="noConversion"/>
  </si>
  <si>
    <t>京房权证海私成字第023295号</t>
    <phoneticPr fontId="5" type="noConversion"/>
  </si>
  <si>
    <t>2009-22-P-13048-U</t>
    <phoneticPr fontId="5" type="noConversion"/>
  </si>
  <si>
    <t>高庆峰</t>
    <phoneticPr fontId="5" type="noConversion"/>
  </si>
  <si>
    <t>370881197907241118</t>
    <phoneticPr fontId="5" type="noConversion"/>
  </si>
  <si>
    <t>知春里</t>
  </si>
  <si>
    <t>910号</t>
    <phoneticPr fontId="5" type="noConversion"/>
  </si>
  <si>
    <t>邢轲</t>
  </si>
  <si>
    <t>2009-2-CP-04065-FU</t>
    <phoneticPr fontId="5" type="noConversion"/>
  </si>
  <si>
    <t>陈松、刘云坡</t>
    <phoneticPr fontId="5" type="noConversion"/>
  </si>
  <si>
    <t>11010519780625753X、110222198206102725</t>
    <phoneticPr fontId="5" type="noConversion"/>
  </si>
  <si>
    <t>13621093583</t>
    <phoneticPr fontId="5" type="noConversion"/>
  </si>
  <si>
    <t>1703号</t>
    <phoneticPr fontId="5" type="noConversion"/>
  </si>
  <si>
    <t>李颖</t>
    <phoneticPr fontId="5" type="noConversion"/>
  </si>
  <si>
    <t>2009-2-CP-04721-FU</t>
    <phoneticPr fontId="5" type="noConversion"/>
  </si>
  <si>
    <t>张云、王巍</t>
    <phoneticPr fontId="5" type="noConversion"/>
  </si>
  <si>
    <t>11011119770405822X、110108197711023756</t>
    <phoneticPr fontId="5" type="noConversion"/>
  </si>
  <si>
    <t>13810558461</t>
    <phoneticPr fontId="5" type="noConversion"/>
  </si>
  <si>
    <t>20号楼</t>
    <phoneticPr fontId="5" type="noConversion"/>
  </si>
  <si>
    <t>2单元</t>
    <phoneticPr fontId="5" type="noConversion"/>
  </si>
  <si>
    <t>301号</t>
    <phoneticPr fontId="5" type="noConversion"/>
  </si>
  <si>
    <t>赵延龄</t>
    <phoneticPr fontId="5" type="noConversion"/>
  </si>
  <si>
    <t>2009-2-CP-08127-FU</t>
    <phoneticPr fontId="5" type="noConversion"/>
  </si>
  <si>
    <t>赵刚、孙若莹</t>
    <phoneticPr fontId="5" type="noConversion"/>
  </si>
  <si>
    <t>210106196507253358、210102196308016629</t>
    <phoneticPr fontId="5" type="noConversion"/>
  </si>
  <si>
    <t>13718677515</t>
    <phoneticPr fontId="5" type="noConversion"/>
  </si>
  <si>
    <t>1单元</t>
    <phoneticPr fontId="5" type="noConversion"/>
  </si>
  <si>
    <t>赵连陞</t>
    <phoneticPr fontId="5" type="noConversion"/>
  </si>
  <si>
    <t>2009-2-CP-10264-FU</t>
    <phoneticPr fontId="5" type="noConversion"/>
  </si>
  <si>
    <t>顾晨</t>
    <phoneticPr fontId="5" type="noConversion"/>
  </si>
  <si>
    <t>110102197612251923</t>
    <phoneticPr fontId="5" type="noConversion"/>
  </si>
  <si>
    <t>18号楼</t>
    <phoneticPr fontId="5" type="noConversion"/>
  </si>
  <si>
    <t>2门六层</t>
    <phoneticPr fontId="5" type="noConversion"/>
  </si>
  <si>
    <t>张燕茹</t>
    <phoneticPr fontId="5" type="noConversion"/>
  </si>
  <si>
    <t>73.2</t>
    <phoneticPr fontId="5" type="noConversion"/>
  </si>
  <si>
    <t>2009-2-CP-10539-FU</t>
    <phoneticPr fontId="5" type="noConversion"/>
  </si>
  <si>
    <t>黄立无</t>
    <phoneticPr fontId="5" type="noConversion"/>
  </si>
  <si>
    <t>110102196610152740</t>
    <phoneticPr fontId="5" type="noConversion"/>
  </si>
  <si>
    <t>13718965259</t>
    <phoneticPr fontId="5" type="noConversion"/>
  </si>
  <si>
    <t>6门五层</t>
    <phoneticPr fontId="5" type="noConversion"/>
  </si>
  <si>
    <t>王燕生</t>
    <phoneticPr fontId="5" type="noConversion"/>
  </si>
  <si>
    <t>2009-2-CP-11087-FU</t>
    <phoneticPr fontId="5" type="noConversion"/>
  </si>
  <si>
    <t>伍小洁</t>
    <phoneticPr fontId="5" type="noConversion"/>
  </si>
  <si>
    <t>450521197706191123</t>
    <phoneticPr fontId="5" type="noConversion"/>
  </si>
  <si>
    <t>13366209469</t>
    <phoneticPr fontId="5" type="noConversion"/>
  </si>
  <si>
    <t>1802号</t>
    <phoneticPr fontId="5" type="noConversion"/>
  </si>
  <si>
    <t>梁士俊</t>
    <phoneticPr fontId="5" type="noConversion"/>
  </si>
  <si>
    <t>61.6</t>
    <phoneticPr fontId="5" type="noConversion"/>
  </si>
  <si>
    <t>18</t>
    <phoneticPr fontId="5" type="noConversion"/>
  </si>
  <si>
    <t>2009-2-CP-12091-FU</t>
  </si>
  <si>
    <t>胡其登</t>
  </si>
  <si>
    <t>11010819630623239X</t>
    <phoneticPr fontId="5" type="noConversion"/>
  </si>
  <si>
    <t>13601370336</t>
    <phoneticPr fontId="5" type="noConversion"/>
  </si>
  <si>
    <t>604号</t>
    <phoneticPr fontId="5" type="noConversion"/>
  </si>
  <si>
    <t>袁福利</t>
    <phoneticPr fontId="5" type="noConversion"/>
  </si>
  <si>
    <t>八</t>
  </si>
  <si>
    <t>2009-2-CP-12841-FU</t>
    <phoneticPr fontId="5" type="noConversion"/>
  </si>
  <si>
    <t>邬润辉</t>
    <phoneticPr fontId="5" type="noConversion"/>
  </si>
  <si>
    <t>360622197403174545</t>
    <phoneticPr fontId="5" type="noConversion"/>
  </si>
  <si>
    <t>13522078693</t>
    <phoneticPr fontId="5" type="noConversion"/>
  </si>
  <si>
    <t>华运宙</t>
    <phoneticPr fontId="5" type="noConversion"/>
  </si>
  <si>
    <t>2009-2-CP-13557-FU</t>
  </si>
  <si>
    <t>赵越</t>
  </si>
  <si>
    <t>110108197311286821</t>
    <phoneticPr fontId="5" type="noConversion"/>
  </si>
  <si>
    <t>13701159305</t>
    <phoneticPr fontId="5" type="noConversion"/>
  </si>
  <si>
    <t>1门501号</t>
    <phoneticPr fontId="5" type="noConversion"/>
  </si>
  <si>
    <t>赵爱晶</t>
    <phoneticPr fontId="5" type="noConversion"/>
  </si>
  <si>
    <t>2009-22-P-01389-U</t>
    <phoneticPr fontId="5" type="noConversion"/>
  </si>
  <si>
    <t>李珂</t>
    <phoneticPr fontId="5" type="noConversion"/>
  </si>
  <si>
    <t>110106196804202123</t>
    <phoneticPr fontId="5" type="noConversion"/>
  </si>
  <si>
    <t>13810078757</t>
    <phoneticPr fontId="5" type="noConversion"/>
  </si>
  <si>
    <t>知春东里</t>
    <phoneticPr fontId="5" type="noConversion"/>
  </si>
  <si>
    <t>7号楼</t>
    <phoneticPr fontId="5" type="noConversion"/>
  </si>
  <si>
    <t>张旭东</t>
    <phoneticPr fontId="5" type="noConversion"/>
  </si>
  <si>
    <t>京房权证海私移字第036070号</t>
    <phoneticPr fontId="5" type="noConversion"/>
  </si>
  <si>
    <t>2009-2-CP-01270-FU</t>
    <phoneticPr fontId="5" type="noConversion"/>
  </si>
  <si>
    <t>于全利</t>
    <phoneticPr fontId="5" type="noConversion"/>
  </si>
  <si>
    <t>110104197504252534</t>
    <phoneticPr fontId="5" type="noConversion"/>
  </si>
  <si>
    <t>13681254461</t>
    <phoneticPr fontId="5" type="noConversion"/>
  </si>
  <si>
    <t>5单元</t>
    <phoneticPr fontId="5" type="noConversion"/>
  </si>
  <si>
    <t>乔长边</t>
    <phoneticPr fontId="5" type="noConversion"/>
  </si>
  <si>
    <t>京房权证海私成字第023998号</t>
    <phoneticPr fontId="5" type="noConversion"/>
  </si>
  <si>
    <t>2009-2-CP-01444-U</t>
    <phoneticPr fontId="5" type="noConversion"/>
  </si>
  <si>
    <t>袁人培</t>
    <phoneticPr fontId="5" type="noConversion"/>
  </si>
  <si>
    <t>11010219790311331X</t>
    <phoneticPr fontId="5" type="noConversion"/>
  </si>
  <si>
    <t>13681552387</t>
    <phoneticPr fontId="5" type="noConversion"/>
  </si>
  <si>
    <t>506号</t>
    <phoneticPr fontId="5" type="noConversion"/>
  </si>
  <si>
    <t>闫岭</t>
    <phoneticPr fontId="5" type="noConversion"/>
  </si>
  <si>
    <t>91302009021397</t>
    <phoneticPr fontId="5" type="noConversion"/>
  </si>
  <si>
    <t>闫岭</t>
  </si>
  <si>
    <t>2009-2-CP-02589-FU</t>
    <phoneticPr fontId="5" type="noConversion"/>
  </si>
  <si>
    <t>荣红莲</t>
    <phoneticPr fontId="5" type="noConversion"/>
  </si>
  <si>
    <t>360402197706090027</t>
    <phoneticPr fontId="5" type="noConversion"/>
  </si>
  <si>
    <t>13522751319</t>
    <phoneticPr fontId="5" type="noConversion"/>
  </si>
  <si>
    <t>6层2单元</t>
    <phoneticPr fontId="5" type="noConversion"/>
  </si>
  <si>
    <t>58.9</t>
    <phoneticPr fontId="5" type="noConversion"/>
  </si>
  <si>
    <t>91302009032316</t>
    <phoneticPr fontId="5" type="noConversion"/>
  </si>
  <si>
    <t>X京房权证海字第075703号</t>
    <phoneticPr fontId="17" type="noConversion"/>
  </si>
  <si>
    <t>62347</t>
    <phoneticPr fontId="5" type="noConversion"/>
  </si>
  <si>
    <t>李国山</t>
    <phoneticPr fontId="5" type="noConversion"/>
  </si>
  <si>
    <t>2009-2-CP-03840-FU</t>
    <phoneticPr fontId="5" type="noConversion"/>
  </si>
  <si>
    <t>张娜</t>
    <phoneticPr fontId="5" type="noConversion"/>
  </si>
  <si>
    <t>211422198001010048</t>
    <phoneticPr fontId="5" type="noConversion"/>
  </si>
  <si>
    <t>13366981988</t>
    <phoneticPr fontId="5" type="noConversion"/>
  </si>
  <si>
    <t>2层1单元</t>
    <phoneticPr fontId="5" type="noConversion"/>
  </si>
  <si>
    <t>201号</t>
    <phoneticPr fontId="5" type="noConversion"/>
  </si>
  <si>
    <t>嵇昆梅</t>
    <phoneticPr fontId="5" type="noConversion"/>
  </si>
  <si>
    <t>2009-2-CP-08116-FU</t>
  </si>
  <si>
    <t>赵军</t>
  </si>
  <si>
    <t>230827197205070415</t>
  </si>
  <si>
    <t>13511006833</t>
  </si>
  <si>
    <t>7号楼</t>
  </si>
  <si>
    <t>6层1单元</t>
    <phoneticPr fontId="5" type="noConversion"/>
  </si>
  <si>
    <t>603号</t>
  </si>
  <si>
    <t>李兆金</t>
  </si>
  <si>
    <t>6</t>
  </si>
  <si>
    <t>一室一厅一卫一厨</t>
  </si>
  <si>
    <t>91302009062625</t>
    <phoneticPr fontId="5" type="noConversion"/>
  </si>
  <si>
    <t>六</t>
  </si>
  <si>
    <t>四</t>
  </si>
  <si>
    <t>2009-2-CP-09308-FU</t>
    <phoneticPr fontId="5" type="noConversion"/>
  </si>
  <si>
    <t>葛文强</t>
    <phoneticPr fontId="5" type="noConversion"/>
  </si>
  <si>
    <t>110108196707120057</t>
    <phoneticPr fontId="5" type="noConversion"/>
  </si>
  <si>
    <t>13801336410</t>
    <phoneticPr fontId="5" type="noConversion"/>
  </si>
  <si>
    <t>2层2单元</t>
    <phoneticPr fontId="5" type="noConversion"/>
  </si>
  <si>
    <t>91302009070954</t>
    <phoneticPr fontId="5" type="noConversion"/>
  </si>
  <si>
    <t>单建秀</t>
    <phoneticPr fontId="5" type="noConversion"/>
  </si>
  <si>
    <t>2009-2-CP-11555-FU</t>
    <phoneticPr fontId="5" type="noConversion"/>
  </si>
  <si>
    <t>王子昙</t>
    <phoneticPr fontId="5" type="noConversion"/>
  </si>
  <si>
    <t>110108198208016828</t>
    <phoneticPr fontId="5" type="noConversion"/>
  </si>
  <si>
    <t>知春东里</t>
  </si>
  <si>
    <t>8号楼</t>
    <phoneticPr fontId="5" type="noConversion"/>
  </si>
  <si>
    <t>刘麟</t>
    <phoneticPr fontId="5" type="noConversion"/>
  </si>
  <si>
    <t>2009-2-CP-12559-FU</t>
    <phoneticPr fontId="5" type="noConversion"/>
  </si>
  <si>
    <t>曹宝力</t>
  </si>
  <si>
    <t>110102197703081931</t>
  </si>
  <si>
    <t>5层4单元</t>
    <phoneticPr fontId="5" type="noConversion"/>
  </si>
  <si>
    <t>502号</t>
  </si>
  <si>
    <t>5</t>
  </si>
  <si>
    <t>91302009090704</t>
    <phoneticPr fontId="5" type="noConversion"/>
  </si>
  <si>
    <t>九</t>
  </si>
  <si>
    <t>贾香珍</t>
  </si>
  <si>
    <t>2009-2-CP-13140-FU</t>
    <phoneticPr fontId="5" type="noConversion"/>
  </si>
  <si>
    <t>仇建斌</t>
    <phoneticPr fontId="5" type="noConversion"/>
  </si>
  <si>
    <t>130102197406272110</t>
    <phoneticPr fontId="5" type="noConversion"/>
  </si>
  <si>
    <t>13911177401</t>
    <phoneticPr fontId="5" type="noConversion"/>
  </si>
  <si>
    <t>103号</t>
    <phoneticPr fontId="5" type="noConversion"/>
  </si>
  <si>
    <t>陈晓丽</t>
    <phoneticPr fontId="5" type="noConversion"/>
  </si>
  <si>
    <r>
      <t>3/10</t>
    </r>
    <r>
      <rPr>
        <sz val="11"/>
        <rFont val="宋体"/>
        <family val="3"/>
        <charset val="134"/>
      </rPr>
      <t>（低层）</t>
    </r>
    <phoneticPr fontId="21" type="noConversion"/>
  </si>
  <si>
    <t>无租约</t>
  </si>
  <si>
    <t>海淀区双榆树榆苑公寓2号楼</t>
    <phoneticPr fontId="5" type="noConversion"/>
  </si>
  <si>
    <t>简单装修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</si>
</sst>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0"/>
    <numFmt numFmtId="197" formatCode="[DBNum1][$-804]General"/>
    <numFmt numFmtId="198" formatCode="0000"/>
  </numFmts>
  <fonts count="258">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2"/>
      <color indexed="8"/>
      <name val="Times New Roman"/>
      <family val="1"/>
    </font>
    <font>
      <sz val="10"/>
      <name val="Times New Roman"/>
      <family val="1"/>
    </font>
    <font>
      <b/>
      <sz val="9"/>
      <color indexed="81"/>
      <name val="Times New Roman"/>
      <family val="1"/>
    </font>
  </fonts>
  <fills count="2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theme="6" tint="-0.249977111117893"/>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2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xf numFmtId="0" fontId="31" fillId="0" borderId="0"/>
    <xf numFmtId="9"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alignment vertical="center"/>
    </xf>
    <xf numFmtId="0" fontId="195" fillId="0" borderId="0"/>
  </cellStyleXfs>
  <cellXfs count="3756">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6" fontId="152" fillId="14" borderId="0" xfId="7" applyNumberFormat="1" applyFont="1" applyFill="1" applyBorder="1" applyAlignment="1">
      <alignment horizontal="left" vertical="center"/>
    </xf>
    <xf numFmtId="186"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2" borderId="131" xfId="7" applyNumberFormat="1" applyFont="1" applyFill="1" applyBorder="1" applyAlignment="1">
      <alignment horizontal="left" vertical="center" wrapText="1"/>
    </xf>
    <xf numFmtId="186"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6" fontId="103" fillId="12" borderId="134" xfId="7" applyNumberFormat="1" applyFont="1" applyFill="1" applyBorder="1" applyAlignment="1">
      <alignment horizontal="left" vertical="center" wrapText="1"/>
    </xf>
    <xf numFmtId="186"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2" borderId="140" xfId="7" applyNumberFormat="1" applyFont="1" applyFill="1" applyBorder="1" applyAlignment="1">
      <alignment horizontal="left" vertical="center" wrapText="1"/>
    </xf>
    <xf numFmtId="186" fontId="103" fillId="12" borderId="144" xfId="7" applyNumberFormat="1" applyFont="1" applyFill="1" applyBorder="1" applyAlignment="1">
      <alignment horizontal="left" vertical="center" wrapText="1"/>
    </xf>
    <xf numFmtId="186" fontId="102" fillId="14"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1"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2" fontId="43" fillId="19" borderId="0" xfId="0" applyNumberFormat="1" applyFont="1" applyFill="1" applyBorder="1" applyAlignment="1" applyProtection="1">
      <alignment horizontal="left" vertical="center" shrinkToFit="1"/>
    </xf>
    <xf numFmtId="182"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2" borderId="133" xfId="7" applyFont="1" applyFill="1" applyBorder="1" applyAlignment="1" applyProtection="1">
      <alignment horizontal="left" vertical="center" wrapText="1"/>
    </xf>
    <xf numFmtId="0" fontId="137" fillId="21" borderId="1" xfId="14" applyFont="1" applyFill="1" applyBorder="1" applyAlignment="1">
      <alignment horizontal="center"/>
    </xf>
    <xf numFmtId="0" fontId="17" fillId="0" borderId="0" xfId="14" applyFont="1" applyAlignment="1"/>
    <xf numFmtId="0" fontId="17" fillId="0" borderId="1" xfId="14" applyFont="1" applyBorder="1" applyAlignment="1">
      <alignment horizontal="center"/>
    </xf>
    <xf numFmtId="0" fontId="1" fillId="0" borderId="0" xfId="14">
      <alignment vertical="center"/>
    </xf>
    <xf numFmtId="0" fontId="136" fillId="0" borderId="46"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36" fillId="0" borderId="83" xfId="0" applyNumberFormat="1" applyFont="1" applyFill="1" applyBorder="1" applyAlignment="1" applyProtection="1">
      <alignment horizontal="left" vertical="center"/>
      <protection locked="0"/>
    </xf>
    <xf numFmtId="49" fontId="17" fillId="21" borderId="1" xfId="14" applyNumberFormat="1" applyFont="1" applyFill="1" applyBorder="1" applyAlignment="1" applyProtection="1">
      <alignment horizontal="left"/>
      <protection locked="0"/>
    </xf>
    <xf numFmtId="0" fontId="17" fillId="21" borderId="1" xfId="14" applyFont="1" applyFill="1" applyBorder="1" applyAlignment="1" applyProtection="1">
      <alignment horizontal="center"/>
      <protection locked="0"/>
    </xf>
    <xf numFmtId="49" fontId="17" fillId="21" borderId="1" xfId="14" applyNumberFormat="1" applyFont="1" applyFill="1" applyBorder="1" applyAlignment="1" applyProtection="1">
      <alignment horizontal="center"/>
      <protection locked="0"/>
    </xf>
    <xf numFmtId="0" fontId="17" fillId="21" borderId="1" xfId="14" applyFont="1" applyFill="1" applyBorder="1" applyAlignment="1" applyProtection="1">
      <protection locked="0"/>
    </xf>
    <xf numFmtId="0" fontId="17" fillId="21" borderId="1" xfId="14" applyFont="1" applyFill="1" applyBorder="1" applyAlignment="1" applyProtection="1">
      <alignment horizontal="left"/>
      <protection locked="0"/>
    </xf>
    <xf numFmtId="0" fontId="17" fillId="21" borderId="1" xfId="14" applyFont="1" applyFill="1" applyBorder="1" applyAlignment="1" applyProtection="1">
      <alignment horizontal="right"/>
      <protection locked="0"/>
    </xf>
    <xf numFmtId="182" fontId="17" fillId="21" borderId="1" xfId="14" applyNumberFormat="1" applyFont="1" applyFill="1" applyBorder="1" applyAlignment="1" applyProtection="1">
      <alignment horizontal="left"/>
      <protection locked="0"/>
    </xf>
    <xf numFmtId="182" fontId="17" fillId="21" borderId="1" xfId="14" applyNumberFormat="1" applyFont="1" applyFill="1" applyBorder="1" applyAlignment="1" applyProtection="1">
      <alignment horizontal="right"/>
      <protection locked="0"/>
    </xf>
    <xf numFmtId="0" fontId="225" fillId="21" borderId="1" xfId="14" applyFont="1" applyFill="1" applyBorder="1" applyAlignment="1" applyProtection="1">
      <alignment horizontal="left"/>
      <protection locked="0"/>
    </xf>
    <xf numFmtId="0" fontId="225" fillId="21" borderId="1" xfId="14" applyFont="1" applyFill="1" applyBorder="1" applyAlignment="1" applyProtection="1">
      <protection locked="0"/>
    </xf>
    <xf numFmtId="31" fontId="17" fillId="21" borderId="1" xfId="14" applyNumberFormat="1" applyFont="1" applyFill="1" applyBorder="1" applyAlignment="1" applyProtection="1">
      <protection locked="0"/>
    </xf>
    <xf numFmtId="0" fontId="231" fillId="21" borderId="1" xfId="14" applyFont="1" applyFill="1" applyBorder="1" applyAlignment="1" applyProtection="1">
      <alignment horizontal="center"/>
      <protection locked="0"/>
    </xf>
    <xf numFmtId="0" fontId="231" fillId="21" borderId="2" xfId="14" applyFont="1" applyFill="1" applyBorder="1" applyAlignment="1" applyProtection="1">
      <alignment horizontal="center"/>
      <protection locked="0"/>
    </xf>
    <xf numFmtId="0" fontId="137" fillId="21" borderId="1" xfId="14" applyFont="1" applyFill="1" applyBorder="1" applyAlignment="1" applyProtection="1">
      <alignment horizontal="center"/>
      <protection locked="0"/>
    </xf>
    <xf numFmtId="0" fontId="17" fillId="22" borderId="1" xfId="14" applyFont="1" applyFill="1" applyBorder="1" applyAlignment="1" applyProtection="1">
      <protection locked="0"/>
    </xf>
    <xf numFmtId="49" fontId="17" fillId="22" borderId="1" xfId="14" applyNumberFormat="1" applyFont="1" applyFill="1" applyBorder="1" applyAlignment="1" applyProtection="1">
      <protection locked="0"/>
    </xf>
    <xf numFmtId="196" fontId="17" fillId="22" borderId="1" xfId="14" applyNumberFormat="1" applyFont="1" applyFill="1" applyBorder="1" applyAlignment="1" applyProtection="1">
      <protection locked="0"/>
    </xf>
    <xf numFmtId="179" fontId="17" fillId="22" borderId="1" xfId="14" applyNumberFormat="1" applyFont="1" applyFill="1" applyBorder="1" applyAlignment="1" applyProtection="1">
      <protection locked="0"/>
    </xf>
    <xf numFmtId="31" fontId="17" fillId="22" borderId="1" xfId="14" applyNumberFormat="1" applyFont="1" applyFill="1" applyBorder="1" applyAlignment="1" applyProtection="1">
      <protection locked="0"/>
    </xf>
    <xf numFmtId="184" fontId="137" fillId="21" borderId="1" xfId="14" applyNumberFormat="1" applyFont="1" applyFill="1" applyBorder="1" applyAlignment="1" applyProtection="1">
      <alignment horizontal="center"/>
      <protection locked="0"/>
    </xf>
    <xf numFmtId="184" fontId="231" fillId="21" borderId="1" xfId="14" applyNumberFormat="1" applyFont="1" applyFill="1" applyBorder="1" applyAlignment="1" applyProtection="1">
      <alignment horizontal="center"/>
      <protection locked="0"/>
    </xf>
    <xf numFmtId="0" fontId="137" fillId="23" borderId="1" xfId="14" applyFont="1" applyFill="1" applyBorder="1" applyAlignment="1" applyProtection="1">
      <alignment horizontal="center"/>
      <protection locked="0"/>
    </xf>
    <xf numFmtId="0" fontId="17" fillId="0" borderId="1" xfId="14" applyFont="1" applyBorder="1" applyAlignment="1" applyProtection="1">
      <protection locked="0"/>
    </xf>
    <xf numFmtId="49" fontId="137" fillId="21" borderId="1" xfId="14" applyNumberFormat="1" applyFont="1" applyFill="1" applyBorder="1" applyAlignment="1" applyProtection="1">
      <alignment horizontal="center"/>
      <protection locked="0"/>
    </xf>
    <xf numFmtId="182" fontId="137" fillId="21" borderId="1" xfId="14" applyNumberFormat="1" applyFont="1" applyFill="1" applyBorder="1" applyAlignment="1" applyProtection="1">
      <alignment horizontal="center"/>
      <protection locked="0"/>
    </xf>
    <xf numFmtId="31" fontId="137" fillId="21" borderId="1" xfId="14" applyNumberFormat="1" applyFont="1" applyFill="1" applyBorder="1" applyAlignment="1" applyProtection="1">
      <alignment horizontal="center"/>
      <protection locked="0"/>
    </xf>
    <xf numFmtId="0" fontId="137" fillId="22" borderId="1" xfId="14" applyFont="1" applyFill="1" applyBorder="1" applyAlignment="1" applyProtection="1">
      <alignment horizontal="center"/>
      <protection locked="0"/>
    </xf>
    <xf numFmtId="46" fontId="137" fillId="22" borderId="1" xfId="14" applyNumberFormat="1" applyFont="1" applyFill="1" applyBorder="1" applyAlignment="1" applyProtection="1">
      <alignment horizontal="center"/>
      <protection locked="0"/>
    </xf>
    <xf numFmtId="49" fontId="137" fillId="22" borderId="1" xfId="14" applyNumberFormat="1" applyFont="1" applyFill="1" applyBorder="1" applyAlignment="1" applyProtection="1">
      <alignment horizontal="center"/>
      <protection locked="0"/>
    </xf>
    <xf numFmtId="196" fontId="137" fillId="22" borderId="1" xfId="14" applyNumberFormat="1" applyFont="1" applyFill="1" applyBorder="1" applyAlignment="1" applyProtection="1">
      <alignment horizontal="center"/>
      <protection locked="0"/>
    </xf>
    <xf numFmtId="179" fontId="137" fillId="22" borderId="1" xfId="14" applyNumberFormat="1" applyFont="1" applyFill="1" applyBorder="1" applyAlignment="1" applyProtection="1">
      <alignment horizontal="center"/>
      <protection locked="0"/>
    </xf>
    <xf numFmtId="31" fontId="137" fillId="22" borderId="1" xfId="14" applyNumberFormat="1" applyFont="1" applyFill="1" applyBorder="1" applyAlignment="1" applyProtection="1">
      <alignment horizontal="center"/>
      <protection locked="0"/>
    </xf>
    <xf numFmtId="0" fontId="137" fillId="0" borderId="1" xfId="14" applyFont="1" applyBorder="1" applyAlignment="1" applyProtection="1">
      <alignment horizontal="center"/>
      <protection locked="0"/>
    </xf>
    <xf numFmtId="0" fontId="17" fillId="17" borderId="1" xfId="14" applyFont="1" applyFill="1" applyBorder="1" applyAlignment="1">
      <alignment horizontal="center"/>
    </xf>
    <xf numFmtId="0" fontId="17" fillId="17" borderId="1" xfId="14" applyFont="1" applyFill="1" applyBorder="1" applyAlignment="1"/>
    <xf numFmtId="2" fontId="17" fillId="17" borderId="1" xfId="14" applyNumberFormat="1" applyFont="1" applyFill="1" applyBorder="1" applyAlignment="1">
      <alignment horizontal="right"/>
    </xf>
    <xf numFmtId="182" fontId="17" fillId="17" borderId="1" xfId="14" applyNumberFormat="1" applyFont="1" applyFill="1" applyBorder="1" applyAlignment="1"/>
    <xf numFmtId="9" fontId="17" fillId="17" borderId="1" xfId="14" applyNumberFormat="1" applyFont="1" applyFill="1" applyBorder="1" applyAlignment="1"/>
    <xf numFmtId="182" fontId="17" fillId="17" borderId="1" xfId="14" applyNumberFormat="1" applyFont="1" applyFill="1" applyBorder="1" applyAlignment="1">
      <alignment horizontal="right"/>
    </xf>
    <xf numFmtId="31" fontId="17" fillId="17" borderId="1" xfId="14" applyNumberFormat="1" applyFont="1" applyFill="1" applyBorder="1" applyAlignment="1"/>
    <xf numFmtId="49" fontId="17" fillId="17" borderId="1" xfId="14" applyNumberFormat="1" applyFont="1" applyFill="1" applyBorder="1" applyAlignment="1"/>
    <xf numFmtId="196" fontId="17" fillId="17" borderId="1" xfId="14" applyNumberFormat="1" applyFont="1" applyFill="1" applyBorder="1" applyAlignment="1"/>
    <xf numFmtId="179" fontId="17" fillId="17" borderId="1" xfId="14" applyNumberFormat="1" applyFont="1" applyFill="1" applyBorder="1" applyAlignment="1"/>
    <xf numFmtId="0" fontId="17" fillId="17" borderId="1" xfId="14" applyFont="1" applyFill="1" applyBorder="1" applyAlignment="1">
      <alignment horizontal="left"/>
    </xf>
    <xf numFmtId="184" fontId="17" fillId="17" borderId="1" xfId="14" applyNumberFormat="1" applyFont="1" applyFill="1" applyBorder="1" applyAlignment="1"/>
    <xf numFmtId="0" fontId="17" fillId="17" borderId="1" xfId="14" applyFont="1" applyFill="1" applyBorder="1" applyAlignment="1" applyProtection="1">
      <protection locked="0"/>
    </xf>
    <xf numFmtId="0" fontId="256" fillId="17" borderId="0" xfId="14" applyFont="1" applyFill="1" applyAlignment="1"/>
    <xf numFmtId="0" fontId="17" fillId="17" borderId="0" xfId="14" applyFont="1" applyFill="1" applyAlignment="1"/>
    <xf numFmtId="0" fontId="17" fillId="8" borderId="1" xfId="14" applyFont="1" applyFill="1" applyBorder="1" applyAlignment="1">
      <alignment horizontal="center"/>
    </xf>
    <xf numFmtId="0" fontId="17" fillId="0" borderId="1" xfId="14" applyFont="1" applyBorder="1" applyAlignment="1"/>
    <xf numFmtId="49" fontId="17" fillId="0" borderId="1" xfId="14" applyNumberFormat="1" applyFont="1" applyBorder="1" applyAlignment="1"/>
    <xf numFmtId="44" fontId="17" fillId="0" borderId="1" xfId="18" applyFont="1" applyFill="1" applyBorder="1" applyAlignment="1">
      <alignment horizontal="left"/>
    </xf>
    <xf numFmtId="1" fontId="17" fillId="0" borderId="1" xfId="14" applyNumberFormat="1" applyFont="1" applyBorder="1" applyAlignment="1">
      <alignment horizontal="center"/>
    </xf>
    <xf numFmtId="2" fontId="17" fillId="0" borderId="1" xfId="14" applyNumberFormat="1" applyFont="1" applyBorder="1" applyAlignment="1">
      <alignment horizontal="right"/>
    </xf>
    <xf numFmtId="182" fontId="17" fillId="0" borderId="1" xfId="14" applyNumberFormat="1" applyFont="1" applyBorder="1" applyAlignment="1"/>
    <xf numFmtId="9" fontId="17" fillId="0" borderId="1" xfId="14" applyNumberFormat="1" applyFont="1" applyBorder="1" applyAlignment="1"/>
    <xf numFmtId="182" fontId="17" fillId="0" borderId="1" xfId="14" applyNumberFormat="1" applyFont="1" applyBorder="1" applyAlignment="1">
      <alignment horizontal="right"/>
    </xf>
    <xf numFmtId="31" fontId="17" fillId="0" borderId="1" xfId="14" applyNumberFormat="1" applyFont="1" applyBorder="1" applyAlignment="1"/>
    <xf numFmtId="49" fontId="17" fillId="0" borderId="1" xfId="14" applyNumberFormat="1" applyFont="1" applyBorder="1" applyAlignment="1" applyProtection="1">
      <protection locked="0"/>
    </xf>
    <xf numFmtId="196" fontId="17" fillId="0" borderId="1" xfId="14" applyNumberFormat="1" applyFont="1" applyBorder="1" applyAlignment="1" applyProtection="1">
      <protection locked="0"/>
    </xf>
    <xf numFmtId="179" fontId="17" fillId="0" borderId="1" xfId="14" applyNumberFormat="1" applyFont="1" applyBorder="1" applyAlignment="1" applyProtection="1">
      <protection locked="0"/>
    </xf>
    <xf numFmtId="31" fontId="17" fillId="0" borderId="1" xfId="14" applyNumberFormat="1" applyFont="1" applyBorder="1" applyAlignment="1" applyProtection="1">
      <protection locked="0"/>
    </xf>
    <xf numFmtId="184" fontId="17" fillId="0" borderId="1" xfId="14" applyNumberFormat="1" applyFont="1" applyBorder="1" applyAlignment="1" applyProtection="1">
      <protection locked="0"/>
    </xf>
    <xf numFmtId="0" fontId="256" fillId="0" borderId="0" xfId="14" applyFont="1" applyAlignment="1"/>
    <xf numFmtId="0" fontId="17" fillId="0" borderId="0" xfId="14" applyFont="1" applyAlignment="1" applyProtection="1">
      <protection locked="0"/>
    </xf>
    <xf numFmtId="0" fontId="17" fillId="0" borderId="1" xfId="14" applyFont="1" applyBorder="1" applyAlignment="1">
      <alignment horizontal="right"/>
    </xf>
    <xf numFmtId="196" fontId="17" fillId="0" borderId="1" xfId="14" applyNumberFormat="1" applyFont="1" applyBorder="1" applyAlignment="1">
      <alignment horizontal="left"/>
    </xf>
    <xf numFmtId="197" fontId="17" fillId="0" borderId="1" xfId="14" applyNumberFormat="1" applyFont="1" applyBorder="1" applyAlignment="1">
      <alignment horizontal="left"/>
    </xf>
    <xf numFmtId="184" fontId="17" fillId="0" borderId="1" xfId="14" applyNumberFormat="1" applyFont="1" applyBorder="1" applyAlignment="1"/>
    <xf numFmtId="31" fontId="17" fillId="0" borderId="1" xfId="14" applyNumberFormat="1" applyFont="1" applyBorder="1" applyAlignment="1" applyProtection="1">
      <alignment horizontal="right"/>
      <protection locked="0"/>
    </xf>
    <xf numFmtId="49" fontId="17" fillId="0" borderId="1" xfId="14" applyNumberFormat="1" applyFont="1" applyBorder="1" applyAlignment="1">
      <alignment horizontal="left"/>
    </xf>
    <xf numFmtId="197" fontId="17" fillId="0" borderId="1" xfId="14" applyNumberFormat="1" applyFont="1" applyBorder="1" applyAlignment="1">
      <alignment horizontal="center"/>
    </xf>
    <xf numFmtId="58" fontId="17" fillId="0" borderId="1" xfId="14" applyNumberFormat="1" applyFont="1" applyBorder="1" applyAlignment="1"/>
    <xf numFmtId="196" fontId="17" fillId="0" borderId="1" xfId="14" applyNumberFormat="1" applyFont="1" applyBorder="1" applyAlignment="1"/>
    <xf numFmtId="179" fontId="17" fillId="0" borderId="1" xfId="14" applyNumberFormat="1" applyFont="1" applyBorder="1" applyAlignment="1"/>
    <xf numFmtId="0" fontId="17" fillId="0" borderId="1" xfId="14" applyFont="1" applyBorder="1" applyAlignment="1">
      <alignment horizontal="left"/>
    </xf>
    <xf numFmtId="49" fontId="17" fillId="0" borderId="1" xfId="14" applyNumberFormat="1" applyFont="1" applyBorder="1" applyAlignment="1">
      <alignment horizontal="right"/>
    </xf>
    <xf numFmtId="184" fontId="17" fillId="0" borderId="1" xfId="14" applyNumberFormat="1" applyFont="1" applyBorder="1" applyAlignment="1">
      <alignment horizontal="right"/>
    </xf>
    <xf numFmtId="0" fontId="17" fillId="0" borderId="1" xfId="14" applyFont="1" applyBorder="1" applyAlignment="1" applyProtection="1">
      <alignment horizontal="left"/>
      <protection locked="0"/>
    </xf>
    <xf numFmtId="196" fontId="17" fillId="0" borderId="1" xfId="14" applyNumberFormat="1" applyFont="1" applyBorder="1" applyAlignment="1" applyProtection="1">
      <alignment horizontal="left"/>
      <protection locked="0"/>
    </xf>
    <xf numFmtId="196" fontId="17" fillId="0" borderId="1" xfId="14" applyNumberFormat="1" applyFont="1" applyBorder="1" applyAlignment="1" applyProtection="1">
      <alignment horizontal="right"/>
      <protection locked="0"/>
    </xf>
    <xf numFmtId="186" fontId="17" fillId="0" borderId="1" xfId="14" applyNumberFormat="1" applyFont="1" applyBorder="1" applyAlignment="1">
      <alignment horizontal="right"/>
    </xf>
    <xf numFmtId="49" fontId="17" fillId="0" borderId="1" xfId="14" applyNumberFormat="1" applyFont="1" applyBorder="1" applyAlignment="1">
      <alignment horizontal="center"/>
    </xf>
    <xf numFmtId="0" fontId="17" fillId="0" borderId="1" xfId="14" applyFont="1" applyBorder="1" applyAlignment="1" applyProtection="1">
      <alignment horizontal="center"/>
      <protection locked="0"/>
    </xf>
    <xf numFmtId="177" fontId="17" fillId="0" borderId="1" xfId="14" applyNumberFormat="1" applyFont="1" applyBorder="1" applyAlignment="1"/>
    <xf numFmtId="0" fontId="17" fillId="0" borderId="1" xfId="14" applyFont="1" applyBorder="1" applyAlignment="1">
      <alignment wrapText="1"/>
    </xf>
    <xf numFmtId="0" fontId="17" fillId="0" borderId="1" xfId="19" applyFont="1" applyBorder="1"/>
    <xf numFmtId="49" fontId="17" fillId="0" borderId="1" xfId="19" applyNumberFormat="1" applyFont="1" applyBorder="1"/>
    <xf numFmtId="0" fontId="17" fillId="0" borderId="1" xfId="19" applyFont="1" applyBorder="1" applyAlignment="1">
      <alignment horizontal="left"/>
    </xf>
    <xf numFmtId="176" fontId="17" fillId="0" borderId="1" xfId="19" applyNumberFormat="1" applyFont="1" applyBorder="1"/>
    <xf numFmtId="49" fontId="17" fillId="0" borderId="1" xfId="19" applyNumberFormat="1" applyFont="1" applyBorder="1" applyAlignment="1">
      <alignment horizontal="right"/>
    </xf>
    <xf numFmtId="186" fontId="17" fillId="0" borderId="1" xfId="19" applyNumberFormat="1" applyFont="1" applyBorder="1"/>
    <xf numFmtId="9" fontId="17" fillId="0" borderId="1" xfId="19" applyNumberFormat="1" applyFont="1" applyBorder="1"/>
    <xf numFmtId="0" fontId="17" fillId="0" borderId="1" xfId="19" applyFont="1" applyBorder="1" applyProtection="1">
      <protection locked="0"/>
    </xf>
    <xf numFmtId="0" fontId="17" fillId="0" borderId="1" xfId="19" applyFont="1" applyBorder="1" applyAlignment="1">
      <alignment horizontal="center"/>
    </xf>
    <xf numFmtId="31" fontId="17" fillId="0" borderId="1" xfId="19" applyNumberFormat="1" applyFont="1" applyBorder="1" applyAlignment="1">
      <alignment horizontal="right"/>
    </xf>
    <xf numFmtId="31" fontId="17" fillId="0" borderId="1" xfId="19" applyNumberFormat="1" applyFont="1" applyBorder="1"/>
    <xf numFmtId="184" fontId="17" fillId="0" borderId="1" xfId="19" applyNumberFormat="1" applyFont="1" applyBorder="1" applyProtection="1">
      <protection locked="0"/>
    </xf>
    <xf numFmtId="0" fontId="17" fillId="0" borderId="0" xfId="19" applyFont="1"/>
    <xf numFmtId="189" fontId="17" fillId="0" borderId="1" xfId="14" applyNumberFormat="1" applyFont="1" applyBorder="1" applyAlignment="1">
      <alignment horizontal="right"/>
    </xf>
    <xf numFmtId="176" fontId="17" fillId="0" borderId="1" xfId="14" applyNumberFormat="1" applyFont="1" applyBorder="1" applyAlignment="1">
      <alignment horizontal="right"/>
    </xf>
    <xf numFmtId="178" fontId="17" fillId="0" borderId="1" xfId="14" applyNumberFormat="1" applyFont="1" applyBorder="1" applyAlignment="1"/>
    <xf numFmtId="0" fontId="1" fillId="0" borderId="0" xfId="14" applyAlignment="1"/>
    <xf numFmtId="186" fontId="17" fillId="0" borderId="1" xfId="14" applyNumberFormat="1" applyFont="1" applyBorder="1" applyAlignment="1">
      <alignment horizontal="center"/>
    </xf>
    <xf numFmtId="176" fontId="17" fillId="0" borderId="1" xfId="14" applyNumberFormat="1" applyFont="1" applyBorder="1" applyAlignment="1"/>
    <xf numFmtId="186" fontId="17" fillId="0" borderId="1" xfId="14" applyNumberFormat="1" applyFont="1" applyBorder="1" applyAlignment="1"/>
    <xf numFmtId="0" fontId="17" fillId="0" borderId="1" xfId="14" applyFont="1" applyBorder="1" applyAlignment="1" applyProtection="1">
      <alignment horizontal="right"/>
      <protection locked="0"/>
    </xf>
    <xf numFmtId="31" fontId="17" fillId="0" borderId="1" xfId="14" applyNumberFormat="1" applyFont="1" applyBorder="1" applyAlignment="1">
      <alignment horizontal="right"/>
    </xf>
    <xf numFmtId="49" fontId="17" fillId="0" borderId="0" xfId="14" applyNumberFormat="1" applyFont="1" applyAlignment="1" applyProtection="1">
      <alignment horizontal="center"/>
      <protection locked="0"/>
    </xf>
    <xf numFmtId="198" fontId="17" fillId="0" borderId="1" xfId="14" applyNumberFormat="1" applyFont="1" applyBorder="1" applyAlignment="1"/>
    <xf numFmtId="14" fontId="17" fillId="0" borderId="1" xfId="14" applyNumberFormat="1" applyFont="1" applyBorder="1" applyAlignment="1"/>
    <xf numFmtId="0" fontId="17" fillId="15" borderId="1" xfId="14" applyFont="1" applyFill="1" applyBorder="1" applyAlignment="1">
      <alignment horizontal="left"/>
    </xf>
    <xf numFmtId="0" fontId="17" fillId="15" borderId="1" xfId="14" applyFont="1" applyFill="1" applyBorder="1" applyAlignment="1"/>
    <xf numFmtId="49" fontId="17" fillId="15" borderId="1" xfId="14" applyNumberFormat="1" applyFont="1" applyFill="1" applyBorder="1" applyAlignment="1"/>
    <xf numFmtId="49" fontId="17" fillId="15" borderId="1" xfId="14" applyNumberFormat="1" applyFont="1" applyFill="1" applyBorder="1" applyAlignment="1">
      <alignment horizontal="left"/>
    </xf>
    <xf numFmtId="49" fontId="17" fillId="15" borderId="1" xfId="14" applyNumberFormat="1" applyFont="1" applyFill="1" applyBorder="1" applyAlignment="1">
      <alignment horizontal="right"/>
    </xf>
    <xf numFmtId="2" fontId="17" fillId="15" borderId="1" xfId="14" applyNumberFormat="1" applyFont="1" applyFill="1" applyBorder="1" applyAlignment="1">
      <alignment horizontal="right"/>
    </xf>
    <xf numFmtId="182" fontId="17" fillId="15" borderId="1" xfId="14" applyNumberFormat="1" applyFont="1" applyFill="1" applyBorder="1" applyAlignment="1"/>
    <xf numFmtId="9" fontId="17" fillId="15" borderId="1" xfId="14" applyNumberFormat="1" applyFont="1" applyFill="1" applyBorder="1" applyAlignment="1"/>
    <xf numFmtId="182" fontId="17" fillId="15" borderId="1" xfId="14" applyNumberFormat="1" applyFont="1" applyFill="1" applyBorder="1" applyAlignment="1">
      <alignment horizontal="right"/>
    </xf>
    <xf numFmtId="0" fontId="17" fillId="15" borderId="1" xfId="14" applyFont="1" applyFill="1" applyBorder="1" applyAlignment="1" applyProtection="1">
      <protection locked="0"/>
    </xf>
    <xf numFmtId="31" fontId="17" fillId="15" borderId="1" xfId="14" applyNumberFormat="1" applyFont="1" applyFill="1" applyBorder="1" applyAlignment="1"/>
    <xf numFmtId="0" fontId="256" fillId="15" borderId="0" xfId="14" applyFont="1" applyFill="1" applyAlignment="1"/>
    <xf numFmtId="0" fontId="17" fillId="15" borderId="0" xfId="14" applyFont="1" applyFill="1" applyAlignment="1" applyProtection="1">
      <protection locked="0"/>
    </xf>
    <xf numFmtId="0" fontId="17" fillId="15" borderId="0" xfId="14" applyFont="1" applyFill="1" applyAlignment="1"/>
    <xf numFmtId="197" fontId="17" fillId="15" borderId="1" xfId="14" applyNumberFormat="1" applyFont="1" applyFill="1" applyBorder="1" applyAlignment="1">
      <alignment horizontal="center"/>
    </xf>
    <xf numFmtId="49" fontId="17" fillId="15" borderId="1" xfId="14" applyNumberFormat="1" applyFont="1" applyFill="1" applyBorder="1" applyAlignment="1">
      <alignment horizontal="center"/>
    </xf>
    <xf numFmtId="49" fontId="17" fillId="15" borderId="0" xfId="14" applyNumberFormat="1" applyFont="1" applyFill="1" applyAlignment="1"/>
    <xf numFmtId="184" fontId="17" fillId="15" borderId="1" xfId="14" applyNumberFormat="1" applyFont="1" applyFill="1" applyBorder="1" applyAlignment="1"/>
    <xf numFmtId="198" fontId="17" fillId="15" borderId="1" xfId="14" applyNumberFormat="1" applyFont="1" applyFill="1" applyBorder="1" applyAlignment="1"/>
    <xf numFmtId="0" fontId="17" fillId="24" borderId="1" xfId="14" applyFont="1" applyFill="1" applyBorder="1" applyAlignment="1">
      <alignment horizontal="left"/>
    </xf>
    <xf numFmtId="0" fontId="17" fillId="24" borderId="1" xfId="14" applyFont="1" applyFill="1" applyBorder="1" applyAlignment="1"/>
    <xf numFmtId="49" fontId="17" fillId="24" borderId="1" xfId="14" applyNumberFormat="1" applyFont="1" applyFill="1" applyBorder="1" applyAlignment="1"/>
    <xf numFmtId="49" fontId="17" fillId="24" borderId="1" xfId="14" applyNumberFormat="1" applyFont="1" applyFill="1" applyBorder="1" applyAlignment="1">
      <alignment horizontal="left"/>
    </xf>
    <xf numFmtId="49" fontId="17" fillId="24" borderId="1" xfId="14" applyNumberFormat="1" applyFont="1" applyFill="1" applyBorder="1" applyAlignment="1">
      <alignment horizontal="right"/>
    </xf>
    <xf numFmtId="186" fontId="17" fillId="24" borderId="1" xfId="14" applyNumberFormat="1" applyFont="1" applyFill="1" applyBorder="1" applyAlignment="1">
      <alignment horizontal="right"/>
    </xf>
    <xf numFmtId="2" fontId="17" fillId="24" borderId="1" xfId="14" applyNumberFormat="1" applyFont="1" applyFill="1" applyBorder="1" applyAlignment="1">
      <alignment horizontal="right"/>
    </xf>
    <xf numFmtId="182" fontId="17" fillId="24" borderId="1" xfId="14" applyNumberFormat="1" applyFont="1" applyFill="1" applyBorder="1" applyAlignment="1"/>
    <xf numFmtId="9" fontId="17" fillId="24" borderId="1" xfId="14" applyNumberFormat="1" applyFont="1" applyFill="1" applyBorder="1" applyAlignment="1"/>
    <xf numFmtId="182" fontId="17" fillId="24" borderId="1" xfId="14" applyNumberFormat="1" applyFont="1" applyFill="1" applyBorder="1" applyAlignment="1">
      <alignment horizontal="right"/>
    </xf>
    <xf numFmtId="0" fontId="17" fillId="24" borderId="1" xfId="14" applyFont="1" applyFill="1" applyBorder="1" applyAlignment="1" applyProtection="1">
      <protection locked="0"/>
    </xf>
    <xf numFmtId="0" fontId="17" fillId="24" borderId="1" xfId="14" applyFont="1" applyFill="1" applyBorder="1" applyAlignment="1">
      <alignment horizontal="center"/>
    </xf>
    <xf numFmtId="31" fontId="17" fillId="24" borderId="1" xfId="14" applyNumberFormat="1" applyFont="1" applyFill="1" applyBorder="1" applyAlignment="1"/>
    <xf numFmtId="197" fontId="17" fillId="24" borderId="1" xfId="14" applyNumberFormat="1" applyFont="1" applyFill="1" applyBorder="1" applyAlignment="1">
      <alignment horizontal="left"/>
    </xf>
    <xf numFmtId="49" fontId="17" fillId="24" borderId="1" xfId="14" applyNumberFormat="1" applyFont="1" applyFill="1" applyBorder="1" applyAlignment="1" applyProtection="1">
      <protection locked="0"/>
    </xf>
    <xf numFmtId="196" fontId="17" fillId="24" borderId="1" xfId="14" applyNumberFormat="1" applyFont="1" applyFill="1" applyBorder="1" applyAlignment="1" applyProtection="1">
      <protection locked="0"/>
    </xf>
    <xf numFmtId="179" fontId="17" fillId="24" borderId="1" xfId="14" applyNumberFormat="1" applyFont="1" applyFill="1" applyBorder="1" applyAlignment="1" applyProtection="1">
      <protection locked="0"/>
    </xf>
    <xf numFmtId="31" fontId="17" fillId="24" borderId="1" xfId="14" applyNumberFormat="1" applyFont="1" applyFill="1" applyBorder="1" applyAlignment="1" applyProtection="1">
      <protection locked="0"/>
    </xf>
    <xf numFmtId="31" fontId="17" fillId="24" borderId="1" xfId="14" applyNumberFormat="1" applyFont="1" applyFill="1" applyBorder="1" applyAlignment="1" applyProtection="1">
      <alignment horizontal="right"/>
      <protection locked="0"/>
    </xf>
    <xf numFmtId="184" fontId="17" fillId="24" borderId="1" xfId="14" applyNumberFormat="1" applyFont="1" applyFill="1" applyBorder="1" applyAlignment="1" applyProtection="1">
      <protection locked="0"/>
    </xf>
    <xf numFmtId="0" fontId="256" fillId="24" borderId="0" xfId="14" applyFont="1" applyFill="1" applyAlignment="1"/>
    <xf numFmtId="0" fontId="17" fillId="24" borderId="0" xfId="14" applyFont="1" applyFill="1" applyAlignment="1" applyProtection="1">
      <protection locked="0"/>
    </xf>
    <xf numFmtId="0" fontId="17" fillId="24" borderId="0" xfId="14" applyFont="1" applyFill="1" applyAlignment="1"/>
    <xf numFmtId="1" fontId="17" fillId="24" borderId="1" xfId="14" applyNumberFormat="1" applyFont="1" applyFill="1" applyBorder="1" applyAlignment="1">
      <alignment horizontal="center"/>
    </xf>
    <xf numFmtId="197" fontId="17" fillId="24" borderId="1" xfId="14" applyNumberFormat="1" applyFont="1" applyFill="1" applyBorder="1" applyAlignment="1">
      <alignment horizontal="center"/>
    </xf>
    <xf numFmtId="196" fontId="17" fillId="24" borderId="1" xfId="14" applyNumberFormat="1" applyFont="1" applyFill="1" applyBorder="1" applyAlignment="1"/>
    <xf numFmtId="179" fontId="17" fillId="24" borderId="1" xfId="14" applyNumberFormat="1" applyFont="1" applyFill="1" applyBorder="1" applyAlignment="1"/>
    <xf numFmtId="0" fontId="1" fillId="24" borderId="0" xfId="14" applyFill="1" applyAlignment="1"/>
    <xf numFmtId="2" fontId="40" fillId="0" borderId="3" xfId="0" applyNumberFormat="1" applyFont="1" applyFill="1" applyBorder="1" applyAlignment="1" applyProtection="1">
      <alignment horizontal="left" vertical="center" wrapText="1"/>
      <protection locked="0"/>
    </xf>
    <xf numFmtId="2" fontId="40" fillId="0" borderId="7" xfId="0" applyNumberFormat="1" applyFont="1" applyFill="1" applyBorder="1" applyAlignment="1" applyProtection="1">
      <alignment horizontal="left" vertical="center" wrapText="1"/>
      <protection locked="0"/>
    </xf>
    <xf numFmtId="0" fontId="17" fillId="8" borderId="1" xfId="14" applyFont="1" applyFill="1" applyBorder="1" applyAlignment="1">
      <alignment horizontal="left"/>
    </xf>
    <xf numFmtId="0" fontId="17" fillId="8" borderId="1" xfId="14" applyFont="1" applyFill="1" applyBorder="1" applyAlignment="1"/>
    <xf numFmtId="49" fontId="17" fillId="8" borderId="1" xfId="14" applyNumberFormat="1" applyFont="1" applyFill="1" applyBorder="1" applyAlignment="1"/>
    <xf numFmtId="49" fontId="17" fillId="8" borderId="1" xfId="14" applyNumberFormat="1" applyFont="1" applyFill="1" applyBorder="1" applyAlignment="1">
      <alignment horizontal="left"/>
    </xf>
    <xf numFmtId="49" fontId="17" fillId="8" borderId="1" xfId="14" applyNumberFormat="1" applyFont="1" applyFill="1" applyBorder="1" applyAlignment="1">
      <alignment horizontal="right"/>
    </xf>
    <xf numFmtId="186" fontId="17" fillId="8" borderId="1" xfId="14" applyNumberFormat="1" applyFont="1" applyFill="1" applyBorder="1" applyAlignment="1">
      <alignment horizontal="right"/>
    </xf>
    <xf numFmtId="2" fontId="17" fillId="8" borderId="1" xfId="14" applyNumberFormat="1" applyFont="1" applyFill="1" applyBorder="1" applyAlignment="1">
      <alignment horizontal="right"/>
    </xf>
    <xf numFmtId="182" fontId="17" fillId="8" borderId="1" xfId="14" applyNumberFormat="1" applyFont="1" applyFill="1" applyBorder="1" applyAlignment="1"/>
    <xf numFmtId="9" fontId="17" fillId="8" borderId="1" xfId="14" applyNumberFormat="1" applyFont="1" applyFill="1" applyBorder="1" applyAlignment="1"/>
    <xf numFmtId="182" fontId="17" fillId="8" borderId="1" xfId="14" applyNumberFormat="1" applyFont="1" applyFill="1" applyBorder="1" applyAlignment="1">
      <alignment horizontal="right"/>
    </xf>
    <xf numFmtId="0" fontId="17" fillId="8" borderId="1" xfId="14" applyFont="1" applyFill="1" applyBorder="1" applyAlignment="1" applyProtection="1">
      <protection locked="0"/>
    </xf>
    <xf numFmtId="31" fontId="17" fillId="8" borderId="1" xfId="14" applyNumberFormat="1" applyFont="1" applyFill="1" applyBorder="1" applyAlignment="1"/>
    <xf numFmtId="197" fontId="17" fillId="8" borderId="1" xfId="14" applyNumberFormat="1" applyFont="1" applyFill="1" applyBorder="1" applyAlignment="1">
      <alignment horizontal="left"/>
    </xf>
    <xf numFmtId="49" fontId="17" fillId="8" borderId="1" xfId="14" applyNumberFormat="1" applyFont="1" applyFill="1" applyBorder="1" applyAlignment="1" applyProtection="1">
      <protection locked="0"/>
    </xf>
    <xf numFmtId="196" fontId="17" fillId="8" borderId="1" xfId="14" applyNumberFormat="1" applyFont="1" applyFill="1" applyBorder="1" applyAlignment="1" applyProtection="1">
      <protection locked="0"/>
    </xf>
    <xf numFmtId="179" fontId="17" fillId="8" borderId="1" xfId="14" applyNumberFormat="1" applyFont="1" applyFill="1" applyBorder="1" applyAlignment="1" applyProtection="1">
      <protection locked="0"/>
    </xf>
    <xf numFmtId="31" fontId="17" fillId="8" borderId="1" xfId="14" applyNumberFormat="1" applyFont="1" applyFill="1" applyBorder="1" applyAlignment="1" applyProtection="1">
      <protection locked="0"/>
    </xf>
    <xf numFmtId="31" fontId="17" fillId="8" borderId="1" xfId="14" applyNumberFormat="1" applyFont="1" applyFill="1" applyBorder="1" applyAlignment="1" applyProtection="1">
      <alignment horizontal="right"/>
      <protection locked="0"/>
    </xf>
    <xf numFmtId="184" fontId="17" fillId="8" borderId="1" xfId="14" applyNumberFormat="1" applyFont="1" applyFill="1" applyBorder="1" applyAlignment="1" applyProtection="1">
      <protection locked="0"/>
    </xf>
    <xf numFmtId="0" fontId="256" fillId="8" borderId="0" xfId="14" applyFont="1" applyFill="1" applyAlignment="1"/>
    <xf numFmtId="0" fontId="17" fillId="8" borderId="0" xfId="14" applyFont="1" applyFill="1" applyAlignment="1" applyProtection="1">
      <protection locked="0"/>
    </xf>
    <xf numFmtId="0" fontId="17" fillId="8" borderId="0" xfId="14" applyFont="1" applyFill="1" applyAlignment="1"/>
    <xf numFmtId="44" fontId="17" fillId="24" borderId="1" xfId="18" applyFont="1" applyFill="1" applyBorder="1" applyAlignment="1">
      <alignment horizontal="left"/>
    </xf>
    <xf numFmtId="197" fontId="17" fillId="17" borderId="1" xfId="14" applyNumberFormat="1" applyFont="1" applyFill="1" applyBorder="1" applyAlignment="1">
      <alignment horizontal="center"/>
    </xf>
    <xf numFmtId="0" fontId="17" fillId="17" borderId="0" xfId="14" applyFont="1" applyFill="1" applyAlignment="1" applyProtection="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8" fillId="8" borderId="2" xfId="0" applyFont="1" applyFill="1" applyBorder="1" applyAlignment="1" applyProtection="1">
      <alignment horizontal="left" vertical="center"/>
    </xf>
    <xf numFmtId="0" fontId="198"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2" fontId="246"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7"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223" fillId="0" borderId="3" xfId="0"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223"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44" fontId="178" fillId="0" borderId="7" xfId="0" applyNumberFormat="1" applyFont="1" applyFill="1" applyBorder="1" applyAlignment="1" applyProtection="1">
      <alignment horizontal="left" vertical="center" wrapText="1"/>
      <protection locked="0"/>
    </xf>
    <xf numFmtId="0" fontId="223"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8" fillId="0" borderId="7"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178" fillId="0" borderId="27" xfId="0" applyFont="1" applyFill="1" applyBorder="1" applyAlignment="1" applyProtection="1">
      <alignment horizontal="left" vertical="center" wrapText="1"/>
      <protection locked="0"/>
    </xf>
    <xf numFmtId="0" fontId="178" fillId="0" borderId="3"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cellXfs>
  <cellStyles count="20">
    <cellStyle name="百分比 2" xfId="16" xr:uid="{00000000-0005-0000-0000-000000000000}"/>
    <cellStyle name="常规" xfId="0" builtinId="0"/>
    <cellStyle name="常规 10" xfId="14" xr:uid="{00000000-0005-0000-0000-000002000000}"/>
    <cellStyle name="常规 16" xfId="8" xr:uid="{00000000-0005-0000-0000-000003000000}"/>
    <cellStyle name="常规 2" xfId="1" xr:uid="{00000000-0005-0000-0000-000004000000}"/>
    <cellStyle name="常规 2 2" xfId="6" xr:uid="{00000000-0005-0000-0000-000005000000}"/>
    <cellStyle name="常规 2 3" xfId="15" xr:uid="{00000000-0005-0000-0000-000006000000}"/>
    <cellStyle name="常规 3" xfId="2" xr:uid="{00000000-0005-0000-0000-000007000000}"/>
    <cellStyle name="常规 3 2" xfId="3" xr:uid="{00000000-0005-0000-0000-000008000000}"/>
    <cellStyle name="常规 4" xfId="4" xr:uid="{00000000-0005-0000-0000-000009000000}"/>
    <cellStyle name="常规 5" xfId="5" xr:uid="{00000000-0005-0000-0000-00000A000000}"/>
    <cellStyle name="常规 6" xfId="9" xr:uid="{00000000-0005-0000-0000-00000B000000}"/>
    <cellStyle name="常规 6 2" xfId="7" xr:uid="{00000000-0005-0000-0000-00000C000000}"/>
    <cellStyle name="常规 6 2 2" xfId="11" xr:uid="{00000000-0005-0000-0000-00000D000000}"/>
    <cellStyle name="常规 7" xfId="10" xr:uid="{00000000-0005-0000-0000-00000E000000}"/>
    <cellStyle name="常规 8" xfId="12" xr:uid="{00000000-0005-0000-0000-00000F000000}"/>
    <cellStyle name="常规 9" xfId="13" xr:uid="{00000000-0005-0000-0000-000010000000}"/>
    <cellStyle name="常规_Sheet1" xfId="19" xr:uid="{00000000-0005-0000-0000-000011000000}"/>
    <cellStyle name="货币 2" xfId="17" xr:uid="{00000000-0005-0000-0000-000012000000}"/>
    <cellStyle name="货币 3" xfId="18" xr:uid="{00000000-0005-0000-0000-000013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8">
          <cell r="E18">
            <v>1367696</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陈颖（注册号:0）、叶凌（注册号:1119970111)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估价对象为北京市房地产，为XX所有。根据《》[]，估价对象建筑面积为146.78平方米。根据《》[]，估价对象（分摊）出让国有建设用地使用权面积为平方米。估价对象用途为。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2009年9月9日</v>
      </c>
    </row>
    <row r="10" spans="1:2">
      <c r="A10" s="1210" t="s">
        <v>1103</v>
      </c>
      <c r="B10" s="1197" t="str">
        <f>'预评函-1'!A13</f>
        <v>本次估价的“房地产价值”是指在正常市场情况下，在价值时点2009年9月9日，估价对象规划用途为，假定未设立法定优先受偿款下的房地产市场价值。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146.78</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J14" sqref="J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44664</v>
      </c>
      <c r="C2" s="2891" t="s">
        <v>1530</v>
      </c>
      <c r="D2" s="2592">
        <v>40065</v>
      </c>
      <c r="E2" s="824"/>
      <c r="F2" s="824"/>
      <c r="G2" s="1192"/>
      <c r="H2" s="2903"/>
    </row>
    <row r="3" spans="1:17" ht="13.5" thickBot="1">
      <c r="A3" s="2593" t="s">
        <v>1531</v>
      </c>
      <c r="B3" s="2594" t="s">
        <v>2894</v>
      </c>
      <c r="C3" s="2595">
        <f ca="1">SUMIF(注册房地产估价师,B3,估价师及机构信息!B3:B16)</f>
        <v>0</v>
      </c>
      <c r="D3" s="2594" t="s">
        <v>2895</v>
      </c>
      <c r="E3" s="2596">
        <f ca="1">SUMIF(注册房地产估价师,D3,估价师及机构信息!B3:B16)</f>
        <v>1119970111</v>
      </c>
      <c r="F3" s="825"/>
      <c r="G3" s="1193"/>
      <c r="H3" s="2903"/>
    </row>
    <row r="4" spans="1:17" ht="13.5" customHeight="1" thickTop="1">
      <c r="A4" s="1427" t="s">
        <v>1532</v>
      </c>
      <c r="B4" s="1428" t="s">
        <v>2719</v>
      </c>
      <c r="C4" s="2892" t="s">
        <v>1533</v>
      </c>
      <c r="D4" s="1429"/>
      <c r="E4" s="824"/>
      <c r="F4" s="824"/>
      <c r="G4" s="1192"/>
    </row>
    <row r="5" spans="1:17">
      <c r="A5" s="1430" t="s">
        <v>1534</v>
      </c>
      <c r="B5" s="1431" t="s">
        <v>2720</v>
      </c>
      <c r="C5" s="2893" t="s">
        <v>1535</v>
      </c>
      <c r="D5" s="1433"/>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2926</v>
      </c>
      <c r="C6" s="2598" t="s">
        <v>2721</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c r="C7" s="1525" t="str">
        <f>IF(B7="自然人","姓名","名称")</f>
        <v>名称</v>
      </c>
      <c r="D7" s="1438" t="s">
        <v>2720</v>
      </c>
      <c r="E7" s="825"/>
      <c r="F7" s="825"/>
      <c r="G7" s="1193"/>
    </row>
    <row r="8" spans="1:17" ht="13.5" thickTop="1">
      <c r="A8" s="3406" t="s">
        <v>1540</v>
      </c>
      <c r="B8" s="1439" t="s">
        <v>1541</v>
      </c>
      <c r="C8" s="3419"/>
      <c r="D8" s="3420"/>
      <c r="E8" s="2601" t="s">
        <v>1542</v>
      </c>
      <c r="F8" s="2602" t="s">
        <v>1543</v>
      </c>
      <c r="G8" s="2603" t="str">
        <f>C6</f>
        <v>XX</v>
      </c>
    </row>
    <row r="9" spans="1:17">
      <c r="A9" s="3406"/>
      <c r="B9" s="259" t="s">
        <v>1544</v>
      </c>
      <c r="C9" s="1431"/>
      <c r="D9" s="1440"/>
      <c r="E9" s="2897" t="s">
        <v>1545</v>
      </c>
      <c r="F9" s="2604" t="s">
        <v>399</v>
      </c>
      <c r="G9" s="2605"/>
    </row>
    <row r="10" spans="1:17" ht="13.5" thickBot="1">
      <c r="A10" s="3406"/>
      <c r="B10" s="259" t="s">
        <v>1546</v>
      </c>
      <c r="C10" s="3421"/>
      <c r="D10" s="3422"/>
      <c r="E10" s="2898" t="s">
        <v>1547</v>
      </c>
      <c r="F10" s="2606"/>
      <c r="G10" s="2607"/>
    </row>
    <row r="11" spans="1:17" ht="13.5" thickBot="1">
      <c r="A11" s="3406"/>
      <c r="B11" s="1442" t="s">
        <v>1548</v>
      </c>
      <c r="C11" s="3423"/>
      <c r="D11" s="3424"/>
      <c r="E11" s="811"/>
      <c r="F11" s="811"/>
      <c r="G11" s="830"/>
    </row>
    <row r="12" spans="1:17" ht="13.5" thickBot="1">
      <c r="A12" s="3410" t="s">
        <v>2828</v>
      </c>
      <c r="B12" s="2899" t="s">
        <v>1549</v>
      </c>
      <c r="C12" s="808">
        <f>'比较法-住宅'!C33</f>
        <v>146.78</v>
      </c>
      <c r="D12" s="1443" t="s">
        <v>1550</v>
      </c>
      <c r="E12" s="1444"/>
      <c r="F12" s="1445"/>
      <c r="G12" s="830"/>
    </row>
    <row r="13" spans="1:17" ht="21" customHeight="1" thickBot="1">
      <c r="A13" s="3411"/>
      <c r="B13" s="2900" t="s">
        <v>1551</v>
      </c>
      <c r="C13" s="809"/>
      <c r="D13" s="1446" t="s">
        <v>1552</v>
      </c>
      <c r="E13" s="1447"/>
      <c r="F13" s="811"/>
      <c r="G13" s="830"/>
      <c r="I13" s="3429"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2829</v>
      </c>
      <c r="C14" s="2609"/>
      <c r="D14" s="811"/>
      <c r="E14" s="811"/>
      <c r="F14" s="811"/>
      <c r="G14" s="830"/>
      <c r="I14" s="3429"/>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c r="D15" s="825"/>
      <c r="E15" s="825"/>
      <c r="F15" s="825"/>
      <c r="G15" s="1193"/>
      <c r="I15" s="3429"/>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425" t="s">
        <v>1559</v>
      </c>
      <c r="C17" s="3426"/>
      <c r="D17" s="3427" t="s">
        <v>1560</v>
      </c>
      <c r="E17" s="3428"/>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438" t="s">
        <v>2827</v>
      </c>
      <c r="B24" s="3438"/>
      <c r="C24" s="3438"/>
      <c r="D24" s="3438"/>
      <c r="E24" s="3438"/>
      <c r="F24" s="3438"/>
      <c r="G24" s="3438"/>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413" t="s">
        <v>1573</v>
      </c>
      <c r="D28" s="3414"/>
      <c r="E28" s="801"/>
      <c r="F28" s="803" t="s">
        <v>1573</v>
      </c>
      <c r="G28" s="801"/>
      <c r="K28" s="2904"/>
    </row>
    <row r="29" spans="1:66">
      <c r="A29" s="804" t="s">
        <v>1574</v>
      </c>
      <c r="B29" s="798"/>
      <c r="C29" s="3415" t="s">
        <v>1575</v>
      </c>
      <c r="D29" s="3416"/>
      <c r="E29" s="798"/>
      <c r="F29" s="804" t="s">
        <v>1575</v>
      </c>
      <c r="G29" s="798"/>
      <c r="K29" s="2904"/>
    </row>
    <row r="30" spans="1:66">
      <c r="A30" s="804" t="s">
        <v>1576</v>
      </c>
      <c r="B30" s="798"/>
      <c r="C30" s="3415" t="s">
        <v>1576</v>
      </c>
      <c r="D30" s="3416"/>
      <c r="E30" s="798"/>
      <c r="F30" s="804" t="s">
        <v>1577</v>
      </c>
      <c r="G30" s="798"/>
      <c r="K30" s="2904"/>
    </row>
    <row r="31" spans="1:66">
      <c r="A31" s="804" t="s">
        <v>1578</v>
      </c>
      <c r="B31" s="798"/>
      <c r="C31" s="3435" t="s">
        <v>1579</v>
      </c>
      <c r="D31" s="811"/>
      <c r="E31" s="2627" t="str">
        <f>E32&amp;" "&amp;E33&amp;" "&amp;E34&amp;" "&amp;E35</f>
        <v xml:space="preserve">   </v>
      </c>
      <c r="F31" s="804" t="s">
        <v>1580</v>
      </c>
      <c r="G31" s="798"/>
    </row>
    <row r="32" spans="1:66">
      <c r="A32" s="804" t="s">
        <v>1581</v>
      </c>
      <c r="B32" s="798"/>
      <c r="C32" s="3436"/>
      <c r="D32" s="259" t="s">
        <v>1582</v>
      </c>
      <c r="E32" s="798"/>
      <c r="F32" s="804" t="s">
        <v>1583</v>
      </c>
      <c r="G32" s="798"/>
    </row>
    <row r="33" spans="1:7" ht="24.75" thickBot="1">
      <c r="A33" s="805" t="s">
        <v>1584</v>
      </c>
      <c r="B33" s="802"/>
      <c r="C33" s="3436"/>
      <c r="D33" s="259" t="s">
        <v>1585</v>
      </c>
      <c r="E33" s="798"/>
      <c r="F33" s="804" t="s">
        <v>1586</v>
      </c>
      <c r="G33" s="798"/>
    </row>
    <row r="34" spans="1:7">
      <c r="A34" s="803" t="s">
        <v>1587</v>
      </c>
      <c r="B34" s="801"/>
      <c r="C34" s="3436"/>
      <c r="D34" s="259" t="s">
        <v>1588</v>
      </c>
      <c r="E34" s="798"/>
      <c r="F34" s="804" t="s">
        <v>1589</v>
      </c>
      <c r="G34" s="798"/>
    </row>
    <row r="35" spans="1:7" ht="13.5" thickBot="1">
      <c r="A35" s="804" t="s">
        <v>1590</v>
      </c>
      <c r="B35" s="798"/>
      <c r="C35" s="3437"/>
      <c r="D35" s="259" t="s">
        <v>1591</v>
      </c>
      <c r="E35" s="798"/>
      <c r="F35" s="805" t="s">
        <v>1592</v>
      </c>
      <c r="G35" s="2628"/>
    </row>
    <row r="36" spans="1:7">
      <c r="A36" s="804" t="s">
        <v>1549</v>
      </c>
      <c r="B36" s="798"/>
      <c r="C36" s="3415" t="s">
        <v>1593</v>
      </c>
      <c r="D36" s="3416"/>
      <c r="E36" s="798"/>
      <c r="F36" s="2629" t="s">
        <v>1594</v>
      </c>
      <c r="G36" s="801"/>
    </row>
    <row r="37" spans="1:7" ht="13.5" thickBot="1">
      <c r="A37" s="804" t="s">
        <v>1595</v>
      </c>
      <c r="B37" s="798"/>
      <c r="C37" s="3417" t="s">
        <v>1596</v>
      </c>
      <c r="D37" s="3418"/>
      <c r="E37" s="802"/>
      <c r="F37" s="1463" t="s">
        <v>1597</v>
      </c>
      <c r="G37" s="798"/>
    </row>
    <row r="38" spans="1:7" ht="13.5" thickBot="1">
      <c r="A38" s="804" t="s">
        <v>1598</v>
      </c>
      <c r="B38" s="798"/>
      <c r="C38" s="3407" t="s">
        <v>1599</v>
      </c>
      <c r="D38" s="1443" t="s">
        <v>1583</v>
      </c>
      <c r="E38" s="801"/>
      <c r="F38" s="805" t="s">
        <v>1600</v>
      </c>
      <c r="G38" s="802"/>
    </row>
    <row r="39" spans="1:7">
      <c r="A39" s="804" t="s">
        <v>1601</v>
      </c>
      <c r="B39" s="798"/>
      <c r="C39" s="3408"/>
      <c r="D39" s="259" t="s">
        <v>1590</v>
      </c>
      <c r="E39" s="798"/>
      <c r="F39" s="803" t="s">
        <v>1602</v>
      </c>
      <c r="G39" s="801"/>
    </row>
    <row r="40" spans="1:7">
      <c r="A40" s="804" t="s">
        <v>1603</v>
      </c>
      <c r="B40" s="798"/>
      <c r="C40" s="3408" t="s">
        <v>1604</v>
      </c>
      <c r="D40" s="259" t="s">
        <v>1549</v>
      </c>
      <c r="E40" s="798"/>
      <c r="F40" s="804" t="s">
        <v>1605</v>
      </c>
      <c r="G40" s="798"/>
    </row>
    <row r="41" spans="1:7" ht="24.75" customHeight="1" thickBot="1">
      <c r="A41" s="805" t="s">
        <v>1606</v>
      </c>
      <c r="B41" s="802"/>
      <c r="C41" s="3409"/>
      <c r="D41" s="1446" t="s">
        <v>1551</v>
      </c>
      <c r="E41" s="802"/>
      <c r="F41" s="805" t="s">
        <v>1607</v>
      </c>
      <c r="G41" s="802"/>
    </row>
    <row r="42" spans="1:7">
      <c r="A42" s="806" t="s">
        <v>1608</v>
      </c>
      <c r="B42" s="2630"/>
      <c r="C42" s="3430" t="s">
        <v>1608</v>
      </c>
      <c r="D42" s="3431"/>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432" t="s">
        <v>1611</v>
      </c>
      <c r="D49" s="3433"/>
      <c r="E49" s="820"/>
      <c r="F49" s="805" t="s">
        <v>1612</v>
      </c>
      <c r="G49" s="802"/>
    </row>
    <row r="50" spans="1:66">
      <c r="A50" s="804" t="s">
        <v>1613</v>
      </c>
      <c r="B50" s="819"/>
      <c r="C50" s="3407" t="s">
        <v>1614</v>
      </c>
      <c r="D50" s="3434"/>
      <c r="E50" s="2632"/>
      <c r="F50" s="837"/>
      <c r="G50" s="838"/>
    </row>
    <row r="51" spans="1:66" ht="13.5" thickBot="1">
      <c r="A51" s="804" t="s">
        <v>1615</v>
      </c>
      <c r="B51" s="819"/>
      <c r="C51" s="3409" t="s">
        <v>1616</v>
      </c>
      <c r="D51" s="3412"/>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9" t="s">
        <v>0</v>
      </c>
      <c r="B1" s="3439" t="s">
        <v>2</v>
      </c>
      <c r="C1" s="3439" t="s">
        <v>3</v>
      </c>
      <c r="D1" s="3440" t="s">
        <v>67</v>
      </c>
      <c r="E1" s="3440" t="s">
        <v>68</v>
      </c>
      <c r="F1" s="3440"/>
      <c r="G1" s="3440"/>
      <c r="H1" s="3440"/>
      <c r="I1" s="3440"/>
      <c r="J1" s="3440"/>
      <c r="K1" s="3440"/>
      <c r="L1" s="3440"/>
      <c r="M1" s="3440"/>
    </row>
    <row r="2" spans="1:13" ht="27" customHeight="1">
      <c r="A2" s="3439"/>
      <c r="B2" s="3439"/>
      <c r="C2" s="3439"/>
      <c r="D2" s="3440"/>
      <c r="E2" s="3440" t="s">
        <v>51</v>
      </c>
      <c r="F2" s="3440" t="s">
        <v>52</v>
      </c>
      <c r="G2" s="3440"/>
      <c r="H2" s="3440"/>
      <c r="I2" s="3440"/>
      <c r="J2" s="3440" t="s">
        <v>53</v>
      </c>
      <c r="K2" s="3440"/>
      <c r="L2" s="3440"/>
      <c r="M2" s="3440"/>
    </row>
    <row r="3" spans="1:13" ht="28.5">
      <c r="A3" s="3439"/>
      <c r="B3" s="3439"/>
      <c r="C3" s="3439"/>
      <c r="D3" s="3440"/>
      <c r="E3" s="34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0" t="s">
        <v>69</v>
      </c>
      <c r="B9" s="3440"/>
      <c r="C9" s="34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40065</v>
      </c>
      <c r="C2" s="1685"/>
      <c r="D2" s="3441"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2927</v>
      </c>
      <c r="C3" s="1685"/>
      <c r="D3" s="3442"/>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2928</v>
      </c>
      <c r="C4" s="1685"/>
      <c r="D4" s="3442"/>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146.78</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2887</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60</v>
      </c>
      <c r="C13" s="2967"/>
      <c r="D13" s="2933" t="s">
        <v>1636</v>
      </c>
      <c r="E13" s="2653">
        <f>E11*B5</f>
        <v>23484.799999999999</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0.96699999999999997</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0.04</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2840</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7.0000000000000007E-2</v>
      </c>
      <c r="C17" s="2563" t="s">
        <v>2841</v>
      </c>
      <c r="D17" s="2926" t="s">
        <v>1645</v>
      </c>
      <c r="E17" s="2657">
        <f>2220+300</f>
        <v>2520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6.5000000000000002E-2</v>
      </c>
      <c r="C18" s="1685"/>
      <c r="D18" s="2939" t="str">
        <f>IF(B26=0,"建安总额","在建建安")</f>
        <v>建安总额</v>
      </c>
      <c r="E18" s="2940">
        <f>ROUND(B5*E17*IF(B26=0,1,E20),0)</f>
        <v>369886</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0.02</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0.03</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0.01</v>
      </c>
      <c r="F25" s="2673" t="s">
        <v>2846</v>
      </c>
      <c r="I25" s="2968"/>
    </row>
    <row r="26" spans="1:41" ht="15" thickBot="1">
      <c r="A26" s="2946" t="s">
        <v>1656</v>
      </c>
      <c r="B26" s="2950">
        <f>B22-B23</f>
        <v>0</v>
      </c>
      <c r="D26" s="2930" t="s">
        <v>1659</v>
      </c>
      <c r="E26" s="2665">
        <v>0.01</v>
      </c>
      <c r="F26" s="2673" t="s">
        <v>2846</v>
      </c>
      <c r="G26" s="2969"/>
      <c r="H26" s="2969"/>
      <c r="I26" s="1685"/>
      <c r="J26" s="1685"/>
      <c r="K26" s="1685"/>
      <c r="L26" s="1685"/>
      <c r="M26" s="1685"/>
      <c r="N26" s="1685"/>
    </row>
    <row r="27" spans="1:41" ht="15.75" thickBot="1">
      <c r="A27" s="2951" t="s">
        <v>1658</v>
      </c>
      <c r="B27" s="2667">
        <v>2001</v>
      </c>
      <c r="C27" s="1685"/>
      <c r="D27" s="3157" t="s">
        <v>2891</v>
      </c>
      <c r="E27" s="2952">
        <f ca="1">IF(D27="利息：取LPR",存贷款利率!G1,存贷款利率!G1+F27)</f>
        <v>5.4000000000000006E-2</v>
      </c>
      <c r="F27" s="3158">
        <v>5.0000000000000001E-3</v>
      </c>
      <c r="G27" s="2969"/>
      <c r="H27" s="2969"/>
      <c r="K27" s="1685"/>
      <c r="N27" s="1685"/>
    </row>
    <row r="28" spans="1:41" ht="15" thickBot="1">
      <c r="A28" s="947"/>
      <c r="B28" s="947"/>
      <c r="D28" s="2933" t="s">
        <v>1661</v>
      </c>
      <c r="E28" s="2669">
        <v>0.15</v>
      </c>
      <c r="G28" s="2969"/>
      <c r="H28" s="2969"/>
      <c r="K28" s="1685"/>
      <c r="N28" s="1685"/>
    </row>
    <row r="29" spans="1:41" ht="14.25">
      <c r="A29" s="2953" t="s">
        <v>1660</v>
      </c>
      <c r="B29" s="2668" t="s">
        <v>3632</v>
      </c>
      <c r="D29" s="2935" t="s">
        <v>1662</v>
      </c>
      <c r="E29" s="2954">
        <f>E30+E31</f>
        <v>5.6000000000000001E-2</v>
      </c>
      <c r="F29" s="1310"/>
      <c r="G29" s="2969"/>
      <c r="H29" s="2969"/>
      <c r="K29" s="1685"/>
      <c r="N29" s="1685"/>
    </row>
    <row r="30" spans="1:41" ht="14.25">
      <c r="A30" s="2930" t="str">
        <f>IF(B29="租赁期内按合同租金","合同租金","市场租金")</f>
        <v>市场租金</v>
      </c>
      <c r="B30" s="2670"/>
      <c r="D30" s="2937" t="s">
        <v>1664</v>
      </c>
      <c r="E30" s="2671">
        <v>0.05</v>
      </c>
      <c r="F30" s="2956">
        <f>IF(B2&lt;DATE(2016,5,1),0,E30)</f>
        <v>0</v>
      </c>
      <c r="G30" s="2969"/>
      <c r="H30" s="2969"/>
      <c r="K30" s="1685"/>
      <c r="N30" s="1685"/>
    </row>
    <row r="31" spans="1:41" ht="14.25">
      <c r="A31" s="2930" t="s">
        <v>1663</v>
      </c>
      <c r="B31" s="2955">
        <f ca="1">存贷款利率!I1</f>
        <v>2.2499999999999999E-2</v>
      </c>
      <c r="D31" s="2937" t="s">
        <v>1666</v>
      </c>
      <c r="E31" s="2957">
        <f>E30*(E32+E33+E34)+E35</f>
        <v>6.000000000000001E-3</v>
      </c>
      <c r="F31" s="1310"/>
      <c r="G31" s="2969"/>
      <c r="H31" s="2969"/>
      <c r="K31" s="1685"/>
      <c r="N31" s="1685"/>
    </row>
    <row r="32" spans="1:41" ht="14.25">
      <c r="A32" s="2930" t="s">
        <v>1665</v>
      </c>
      <c r="B32" s="2655"/>
      <c r="D32" s="2937" t="s">
        <v>1668</v>
      </c>
      <c r="E32" s="2672">
        <v>7.0000000000000007E-2</v>
      </c>
      <c r="F32" s="2673" t="s">
        <v>2732</v>
      </c>
      <c r="G32" s="2969"/>
      <c r="H32" s="2969"/>
      <c r="K32" s="1685"/>
      <c r="L32" s="1685"/>
      <c r="M32" s="1685"/>
      <c r="N32" s="1685"/>
    </row>
    <row r="33" spans="1:14" ht="14.25">
      <c r="A33" s="2930" t="s">
        <v>1667</v>
      </c>
      <c r="B33" s="2655"/>
      <c r="D33" s="2937" t="s">
        <v>1670</v>
      </c>
      <c r="E33" s="2671">
        <v>0.03</v>
      </c>
      <c r="F33" s="1309" t="s">
        <v>1671</v>
      </c>
      <c r="G33" s="2969"/>
      <c r="H33" s="2969"/>
      <c r="K33" s="1685"/>
      <c r="L33" s="1685"/>
      <c r="M33" s="1685"/>
      <c r="N33" s="1685"/>
    </row>
    <row r="34" spans="1:14" s="2675" customFormat="1" ht="14.25">
      <c r="A34" s="2930" t="s">
        <v>1669</v>
      </c>
      <c r="B34" s="2958">
        <f>收益法!J54</f>
        <v>60</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c r="C45" s="2563" t="s">
        <v>2844</v>
      </c>
      <c r="D45" s="2683" t="s">
        <v>1695</v>
      </c>
      <c r="E45" s="2670"/>
      <c r="F45" s="1311">
        <v>12</v>
      </c>
      <c r="G45" s="2675"/>
      <c r="H45" s="2675"/>
      <c r="M45" s="1685"/>
      <c r="N45" s="1685"/>
    </row>
    <row r="46" spans="1:14" ht="14.25">
      <c r="A46" s="2930" t="s">
        <v>1694</v>
      </c>
      <c r="B46" s="2685"/>
      <c r="C46" s="2563" t="s">
        <v>2842</v>
      </c>
      <c r="D46" s="2683" t="s">
        <v>1457</v>
      </c>
      <c r="E46" s="2670"/>
      <c r="F46" s="1311">
        <v>3</v>
      </c>
      <c r="G46" s="2675"/>
      <c r="H46" s="2675"/>
      <c r="M46" s="1685"/>
      <c r="N46" s="1685"/>
    </row>
    <row r="47" spans="1:14" ht="15" thickBot="1">
      <c r="A47" s="2933" t="s">
        <v>1696</v>
      </c>
      <c r="B47" s="2686"/>
      <c r="C47" s="2563" t="s">
        <v>2843</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443" t="s">
        <v>1702</v>
      </c>
      <c r="B1" s="3444"/>
      <c r="C1" s="3444"/>
      <c r="D1" s="3444"/>
      <c r="E1" s="3444"/>
      <c r="F1" s="3444"/>
      <c r="G1" s="3444"/>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ht="13.5"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topLeftCell="A10" zoomScale="80" zoomScaleNormal="100" zoomScaleSheetLayoutView="80" workbookViewId="0">
      <selection activeCell="D15" sqref="D15"/>
    </sheetView>
  </sheetViews>
  <sheetFormatPr defaultColWidth="14.625" defaultRowHeight="13.5"/>
  <cols>
    <col min="1" max="1" width="24.375" style="2583" customWidth="1"/>
    <col min="2" max="16384" width="14.625" style="2583"/>
  </cols>
  <sheetData>
    <row r="1" spans="1:9" ht="16.5">
      <c r="A1" s="2581" t="s">
        <v>1212</v>
      </c>
      <c r="B1" s="2581">
        <f>SUM(B14:B23)</f>
        <v>146.78</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40065</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220.99199999999999</v>
      </c>
      <c r="C5" s="2581">
        <f ca="1">ROUND(B5*10000/$B$1,0)</f>
        <v>15056</v>
      </c>
      <c r="D5" s="2581" t="e">
        <f ca="1">ROUND(B5*10000/$B$2,0)</f>
        <v>#DIV/0!</v>
      </c>
      <c r="E5" s="1634"/>
      <c r="F5" s="2582"/>
      <c r="G5" s="2582"/>
    </row>
    <row r="6" spans="1:9" ht="16.5">
      <c r="A6" s="2581" t="s">
        <v>1220</v>
      </c>
      <c r="B6" s="2581">
        <f ca="1">SUM(G14:G23)</f>
        <v>220.99199999999999</v>
      </c>
      <c r="C6" s="2581">
        <f t="shared" ref="C6:C8" ca="1" si="0">ROUND(B6*10000/$B$1,0)</f>
        <v>15056</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2950</v>
      </c>
      <c r="B14" s="2917">
        <f>项目基本情况!C12</f>
        <v>146.78</v>
      </c>
      <c r="C14" s="2917">
        <f>项目基本情况!C13</f>
        <v>0</v>
      </c>
      <c r="D14" s="2917">
        <f ca="1">IF('数据-取费表'!B3="万元",IF(A14="估价对象1（结果表）",结果表!H121,'结果表 (1修多)'!H125),IF(A14="估价对象1（结果表）",结果表!H121,'结果表 (1修多)'!H125)/10000)</f>
        <v>220.99199999999999</v>
      </c>
      <c r="E14" s="2917">
        <f ca="1">ROUND(D14*10000/B14,0)</f>
        <v>15056</v>
      </c>
      <c r="F14" s="2917" t="e">
        <f ca="1">ROUND(D14*10000/C14,0)</f>
        <v>#DIV/0!</v>
      </c>
      <c r="G14" s="2917">
        <f ca="1">IF('数据-取费表'!B3="万元",IF(A14="估价对象1（结果表）",结果表!D125,'结果表 (1修多)'!D129),IF(A14="估价对象1（结果表）",结果表!D125,'结果表 (1修多)'!D129)/10000)</f>
        <v>220.99199999999999</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A4" zoomScaleNormal="100" zoomScaleSheetLayoutView="100" zoomScalePageLayoutView="80" workbookViewId="0">
      <selection activeCell="G26" sqref="G26"/>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516" t="str">
        <f>项目基本情况!B1</f>
        <v>北京市预评估</v>
      </c>
      <c r="B2" s="3516"/>
      <c r="C2" s="3516"/>
      <c r="D2" s="3516"/>
      <c r="E2" s="3516"/>
      <c r="F2" s="3516"/>
      <c r="G2" s="3516"/>
      <c r="H2" s="3516"/>
      <c r="I2" s="3516"/>
      <c r="J2" s="2844"/>
    </row>
    <row r="3" spans="1:15" ht="12.75">
      <c r="A3" s="3521" t="s">
        <v>1710</v>
      </c>
      <c r="B3" s="3522"/>
      <c r="C3" s="3522"/>
      <c r="D3" s="3522"/>
      <c r="E3" s="3522"/>
      <c r="F3" s="3522"/>
      <c r="G3" s="3522"/>
      <c r="H3" s="3522"/>
      <c r="I3" s="3522"/>
      <c r="J3" s="2845"/>
    </row>
    <row r="4" spans="1:15" ht="14.25">
      <c r="A4" s="2713" t="s">
        <v>1711</v>
      </c>
      <c r="B4" s="2713" t="s">
        <v>1712</v>
      </c>
      <c r="C4" s="2714" t="s">
        <v>2948</v>
      </c>
      <c r="D4" s="2714" t="s">
        <v>2949</v>
      </c>
      <c r="E4" s="3518" t="s">
        <v>1713</v>
      </c>
      <c r="F4" s="3506"/>
      <c r="G4" s="3506"/>
      <c r="H4" s="3506"/>
      <c r="I4" s="3507"/>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517" t="s">
        <v>1714</v>
      </c>
      <c r="B5" s="3517">
        <v>25</v>
      </c>
      <c r="C5" s="3523">
        <v>5</v>
      </c>
      <c r="D5" s="3520">
        <f>10-C5</f>
        <v>5</v>
      </c>
      <c r="E5" s="12" t="s">
        <v>1715</v>
      </c>
      <c r="F5" s="2089"/>
      <c r="G5" s="2089"/>
      <c r="H5" s="2089"/>
      <c r="I5" s="2084"/>
      <c r="J5" s="2846"/>
    </row>
    <row r="6" spans="1:15" ht="12.75">
      <c r="A6" s="3517"/>
      <c r="B6" s="3517"/>
      <c r="C6" s="3524"/>
      <c r="D6" s="3520"/>
      <c r="E6" s="12" t="s">
        <v>1716</v>
      </c>
      <c r="F6" s="2089"/>
      <c r="G6" s="2089"/>
      <c r="H6" s="2089"/>
      <c r="I6" s="2084"/>
      <c r="J6" s="2846"/>
    </row>
    <row r="7" spans="1:15" ht="12.75">
      <c r="A7" s="3517"/>
      <c r="B7" s="3517"/>
      <c r="C7" s="3525"/>
      <c r="D7" s="3520"/>
      <c r="E7" s="12" t="s">
        <v>1717</v>
      </c>
      <c r="F7" s="2089"/>
      <c r="G7" s="2089"/>
      <c r="H7" s="2089"/>
      <c r="I7" s="2084"/>
      <c r="J7" s="2846"/>
    </row>
    <row r="8" spans="1:15" ht="12.75">
      <c r="A8" s="3517" t="s">
        <v>1718</v>
      </c>
      <c r="B8" s="3517">
        <v>15</v>
      </c>
      <c r="C8" s="3523"/>
      <c r="D8" s="3520"/>
      <c r="E8" s="12" t="s">
        <v>1719</v>
      </c>
      <c r="F8" s="2089"/>
      <c r="G8" s="2089"/>
      <c r="H8" s="2089"/>
      <c r="I8" s="2084"/>
      <c r="J8" s="2846"/>
    </row>
    <row r="9" spans="1:15" ht="12.75">
      <c r="A9" s="3517"/>
      <c r="B9" s="3517"/>
      <c r="C9" s="3525"/>
      <c r="D9" s="3520"/>
      <c r="E9" s="12" t="s">
        <v>1720</v>
      </c>
      <c r="F9" s="2089"/>
      <c r="G9" s="2089"/>
      <c r="H9" s="2089"/>
      <c r="I9" s="2084"/>
      <c r="J9" s="2846"/>
    </row>
    <row r="10" spans="1:15" ht="12.75">
      <c r="A10" s="3517" t="s">
        <v>1721</v>
      </c>
      <c r="B10" s="3517">
        <v>15</v>
      </c>
      <c r="C10" s="3523"/>
      <c r="D10" s="3520"/>
      <c r="E10" s="12" t="s">
        <v>1722</v>
      </c>
      <c r="F10" s="2089"/>
      <c r="G10" s="2089"/>
      <c r="H10" s="2089"/>
      <c r="I10" s="2084"/>
      <c r="J10" s="2846"/>
    </row>
    <row r="11" spans="1:15" ht="12.75">
      <c r="A11" s="3517"/>
      <c r="B11" s="3517"/>
      <c r="C11" s="3525"/>
      <c r="D11" s="3520"/>
      <c r="E11" s="12" t="s">
        <v>1723</v>
      </c>
      <c r="F11" s="2089"/>
      <c r="G11" s="2089"/>
      <c r="H11" s="2089"/>
      <c r="I11" s="2084"/>
      <c r="J11" s="2846"/>
    </row>
    <row r="12" spans="1:15" ht="12.75">
      <c r="A12" s="3517" t="s">
        <v>1724</v>
      </c>
      <c r="B12" s="3517">
        <v>15</v>
      </c>
      <c r="C12" s="3523"/>
      <c r="D12" s="3520"/>
      <c r="E12" s="12" t="s">
        <v>1725</v>
      </c>
      <c r="F12" s="2089"/>
      <c r="G12" s="2089"/>
      <c r="H12" s="2089"/>
      <c r="I12" s="2084"/>
      <c r="J12" s="2846"/>
    </row>
    <row r="13" spans="1:15" ht="12.75">
      <c r="A13" s="3517"/>
      <c r="B13" s="3517"/>
      <c r="C13" s="3525"/>
      <c r="D13" s="3520"/>
      <c r="E13" s="12" t="s">
        <v>1726</v>
      </c>
      <c r="F13" s="2089"/>
      <c r="G13" s="2089"/>
      <c r="H13" s="2089"/>
      <c r="I13" s="2084"/>
      <c r="J13" s="2846"/>
    </row>
    <row r="14" spans="1:15" ht="12.75">
      <c r="A14" s="3517" t="s">
        <v>1727</v>
      </c>
      <c r="B14" s="3517">
        <v>30</v>
      </c>
      <c r="C14" s="3523"/>
      <c r="D14" s="3520"/>
      <c r="E14" s="12" t="s">
        <v>1728</v>
      </c>
      <c r="F14" s="2089"/>
      <c r="G14" s="2089"/>
      <c r="H14" s="2089"/>
      <c r="I14" s="2084"/>
      <c r="J14" s="2846"/>
    </row>
    <row r="15" spans="1:15" ht="12.75">
      <c r="A15" s="3517"/>
      <c r="B15" s="3517"/>
      <c r="C15" s="3524"/>
      <c r="D15" s="3520"/>
      <c r="E15" s="12" t="s">
        <v>1729</v>
      </c>
      <c r="F15" s="2089"/>
      <c r="G15" s="2089"/>
      <c r="H15" s="2089"/>
      <c r="I15" s="2084"/>
      <c r="J15" s="2846"/>
    </row>
    <row r="16" spans="1:15" ht="12.75">
      <c r="A16" s="3517"/>
      <c r="B16" s="3517"/>
      <c r="C16" s="3525"/>
      <c r="D16" s="3520"/>
      <c r="E16" s="12" t="s">
        <v>1730</v>
      </c>
      <c r="F16" s="2089"/>
      <c r="G16" s="2089"/>
      <c r="H16" s="2089"/>
      <c r="I16" s="2084"/>
      <c r="J16" s="2846"/>
    </row>
    <row r="17" spans="1:36" ht="15">
      <c r="A17" s="2715" t="s">
        <v>1731</v>
      </c>
      <c r="B17" s="2094"/>
      <c r="C17" s="2716">
        <f>SUM(C5:C16)</f>
        <v>5</v>
      </c>
      <c r="D17" s="2716">
        <f>SUM(D5:D16)</f>
        <v>5</v>
      </c>
      <c r="E17" s="2563"/>
      <c r="F17" s="2563"/>
      <c r="G17" s="2563"/>
      <c r="H17" s="2563"/>
      <c r="I17" s="2563"/>
      <c r="J17" s="2847"/>
    </row>
    <row r="18" spans="1:36" ht="30" customHeight="1" thickBot="1">
      <c r="A18" s="2717" t="s">
        <v>1732</v>
      </c>
      <c r="B18" s="2718"/>
      <c r="C18" s="2719">
        <f>ROUND(C17/SUM(C17:D17),2)</f>
        <v>0.5</v>
      </c>
      <c r="D18" s="2719">
        <f>1-C18</f>
        <v>0.5</v>
      </c>
      <c r="E18" s="3537" t="s">
        <v>2817</v>
      </c>
      <c r="F18" s="3538"/>
      <c r="G18" s="3538"/>
      <c r="H18" s="3538"/>
      <c r="I18" s="3538"/>
      <c r="J18" s="2847"/>
    </row>
    <row r="19" spans="1:36" ht="15">
      <c r="A19" s="2720" t="s">
        <v>1733</v>
      </c>
      <c r="B19" s="2721" t="s">
        <v>1734</v>
      </c>
      <c r="C19" s="2722">
        <f ca="1">SUMIF(INDIRECT("'"&amp;C4&amp;"'"&amp;"!A:A"),结果表!B19,INDIRECT("'"&amp;C4&amp;"'"&amp;"!B:B"))</f>
        <v>2311621</v>
      </c>
      <c r="D19" s="2723">
        <f ca="1">SUMIF(INDIRECT("'"&amp;D4&amp;"'"&amp;"!A:A"),结果表!B19,INDIRECT("'"&amp;D4&amp;"'"&amp;"!B:B"))</f>
        <v>2108157</v>
      </c>
      <c r="E19" s="2720" t="s">
        <v>1735</v>
      </c>
      <c r="F19" s="2721" t="s">
        <v>1734</v>
      </c>
      <c r="G19" s="2724">
        <f ca="1">ROUND(C19*$C$18+D19*$D$18,0)</f>
        <v>2209889</v>
      </c>
      <c r="H19" s="2725" t="str">
        <f>'数据-取费表'!B3</f>
        <v>元</v>
      </c>
      <c r="I19" s="2773"/>
      <c r="J19" s="2848"/>
    </row>
    <row r="20" spans="1:36" ht="15">
      <c r="A20" s="2726"/>
      <c r="B20" s="1694" t="s">
        <v>1736</v>
      </c>
      <c r="C20" s="1919">
        <f ca="1">SUMIF(INDIRECT("'"&amp;C4&amp;"'"&amp;"!A:A"),结果表!B20,INDIRECT("'"&amp;C4&amp;"'"&amp;"!B:B"))</f>
        <v>15749</v>
      </c>
      <c r="D20" s="1922">
        <f ca="1">SUMIF(INDIRECT("'"&amp;D4&amp;"'"&amp;"!A:A"),结果表!B20,INDIRECT("'"&amp;D4&amp;"'"&amp;"!B:B"))</f>
        <v>14363</v>
      </c>
      <c r="E20" s="2726"/>
      <c r="F20" s="1694" t="s">
        <v>1736</v>
      </c>
      <c r="G20" s="2093">
        <f ca="1">ROUND(C20*$C$18+D20*$D$18,0)</f>
        <v>15056</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9.6512736005904598E-2</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526" t="s">
        <v>1739</v>
      </c>
      <c r="B24" s="2721" t="s">
        <v>1734</v>
      </c>
      <c r="C24" s="2724">
        <f>D30</f>
        <v>0</v>
      </c>
      <c r="D24" s="2676"/>
      <c r="E24" s="947"/>
      <c r="F24" s="947"/>
      <c r="G24" s="947"/>
      <c r="H24" s="947"/>
      <c r="I24" s="947"/>
      <c r="J24" s="2847"/>
    </row>
    <row r="25" spans="1:36" ht="21.75" customHeight="1">
      <c r="A25" s="352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15056</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t="e">
        <f ca="1">IF(D33="自定义",F34,C32-C35)</f>
        <v>#DIV/0!</v>
      </c>
      <c r="D34" s="2750" t="e">
        <f ca="1">IF(D33="自定义",ROUND(C34/C32,3),1-D35)</f>
        <v>#DIV/0!</v>
      </c>
      <c r="E34" s="1435" t="s">
        <v>1749</v>
      </c>
      <c r="F34" s="2751">
        <v>2000</v>
      </c>
      <c r="G34" s="947"/>
      <c r="H34" s="947"/>
      <c r="I34" s="947"/>
      <c r="J34" s="2847"/>
    </row>
    <row r="35" spans="1:17" ht="15.7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75" thickBot="1">
      <c r="A36" s="3526" t="s">
        <v>1752</v>
      </c>
      <c r="B36" s="1468" t="s">
        <v>1753</v>
      </c>
      <c r="C36" s="2757">
        <v>0</v>
      </c>
      <c r="D36" s="2758"/>
      <c r="E36" s="1680"/>
      <c r="F36" s="1680"/>
      <c r="G36" s="947"/>
      <c r="H36" s="947"/>
      <c r="I36" s="947"/>
      <c r="J36" s="2847"/>
    </row>
    <row r="37" spans="1:17" ht="15.75" thickBot="1">
      <c r="A37" s="3531"/>
      <c r="B37" s="2094" t="s">
        <v>1754</v>
      </c>
      <c r="C37" s="2759">
        <v>0</v>
      </c>
      <c r="D37" s="1311"/>
      <c r="E37" s="1311"/>
      <c r="F37" s="1680"/>
      <c r="G37" s="1311"/>
      <c r="H37" s="1311"/>
      <c r="I37" s="1311"/>
      <c r="J37" s="2851"/>
    </row>
    <row r="38" spans="1:17" ht="15.75" thickBot="1">
      <c r="A38" s="3532"/>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451" t="s">
        <v>1763</v>
      </c>
      <c r="B45" s="3452"/>
      <c r="C45" s="3462"/>
      <c r="D45" s="246">
        <f ca="1">ROUND(I102*F45,0)</f>
        <v>2209920</v>
      </c>
      <c r="E45" s="1542" t="s">
        <v>1764</v>
      </c>
      <c r="F45" s="2561">
        <v>1</v>
      </c>
      <c r="G45" s="2562" t="s">
        <v>1765</v>
      </c>
      <c r="H45" s="947"/>
      <c r="I45" s="947"/>
      <c r="J45" s="2847"/>
      <c r="K45" s="3457" t="s">
        <v>2746</v>
      </c>
      <c r="L45" s="3457"/>
      <c r="M45" s="3457"/>
      <c r="N45" s="3457"/>
      <c r="O45" s="3457"/>
      <c r="P45" s="3457"/>
      <c r="Q45" s="1308"/>
    </row>
    <row r="46" spans="1:17" ht="14.25" customHeight="1">
      <c r="A46" s="3528" t="s">
        <v>1767</v>
      </c>
      <c r="B46" s="3529"/>
      <c r="C46" s="3529"/>
      <c r="D46" s="3529"/>
      <c r="E46" s="3529"/>
      <c r="F46" s="3529"/>
      <c r="G46" s="3530"/>
      <c r="H46" s="2979"/>
      <c r="I46" s="947"/>
      <c r="J46" s="2847"/>
      <c r="K46" s="2536">
        <v>1</v>
      </c>
      <c r="L46" s="3458" t="s">
        <v>2747</v>
      </c>
      <c r="M46" s="3458"/>
      <c r="N46" s="3459" t="str">
        <f>项目基本情况!B1</f>
        <v>北京市预评估</v>
      </c>
      <c r="O46" s="3459"/>
      <c r="P46" s="3459"/>
      <c r="Q46" s="1308"/>
    </row>
    <row r="47" spans="1:17" ht="12" customHeight="1">
      <c r="A47" s="38" t="s">
        <v>1769</v>
      </c>
      <c r="B47" s="39"/>
      <c r="C47" s="40"/>
      <c r="D47" s="1099" t="s">
        <v>1770</v>
      </c>
      <c r="E47" s="235" t="s">
        <v>1771</v>
      </c>
      <c r="F47" s="41" t="s">
        <v>1772</v>
      </c>
      <c r="G47" s="2564" t="s">
        <v>1773</v>
      </c>
      <c r="H47" s="2979"/>
      <c r="I47" s="947"/>
      <c r="J47" s="2847"/>
      <c r="K47" s="2536">
        <v>2</v>
      </c>
      <c r="L47" s="3458" t="s">
        <v>2748</v>
      </c>
      <c r="M47" s="3458"/>
      <c r="N47" s="3460">
        <f>'数据-取费表'!B2</f>
        <v>40065</v>
      </c>
      <c r="O47" s="3460"/>
      <c r="P47" s="3460"/>
      <c r="Q47" s="1308"/>
    </row>
    <row r="48" spans="1:17" ht="25.5">
      <c r="A48" s="3533" t="s">
        <v>1775</v>
      </c>
      <c r="B48" s="3467"/>
      <c r="C48" s="3467"/>
      <c r="D48" s="12">
        <f ca="1">IF(H48="情况1",0,IF(H48="情况2",D52,IF(H48="情况3",D53,IF(H48="情况4",D54))))</f>
        <v>123756</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458" t="s">
        <v>2749</v>
      </c>
      <c r="M48" s="3458"/>
      <c r="N48" s="3459">
        <f ca="1">I102</f>
        <v>2209920</v>
      </c>
      <c r="O48" s="3459"/>
      <c r="P48" s="3459"/>
      <c r="Q48" s="1308"/>
    </row>
    <row r="49" spans="1:17" ht="25.5" customHeight="1">
      <c r="A49" s="2091" t="s">
        <v>1779</v>
      </c>
      <c r="B49" s="3506" t="s">
        <v>1780</v>
      </c>
      <c r="C49" s="3506"/>
      <c r="D49" s="2568">
        <v>0</v>
      </c>
      <c r="E49" s="261" t="s">
        <v>1781</v>
      </c>
      <c r="F49" s="2569" t="s">
        <v>48</v>
      </c>
      <c r="G49" s="3448"/>
      <c r="H49" s="2570" t="s">
        <v>2823</v>
      </c>
      <c r="I49" s="2571"/>
      <c r="J49" s="2855"/>
      <c r="K49" s="2536">
        <v>4</v>
      </c>
      <c r="L49" s="3458" t="str">
        <f>IF(项目基本情况!F5="房地产抵押价值","房地产抵押价值","抵押担保权已注销时的房地产抵押价值")</f>
        <v>抵押担保权已注销时的房地产抵押价值</v>
      </c>
      <c r="M49" s="3458"/>
      <c r="N49" s="3459" t="str">
        <f>IF(项目基本情况!F5="房地产抵押价值",I110,I112)</f>
        <v>——</v>
      </c>
      <c r="O49" s="3459"/>
      <c r="P49" s="3459"/>
      <c r="Q49" s="1308"/>
    </row>
    <row r="50" spans="1:17" ht="25.5" customHeight="1">
      <c r="A50" s="2081"/>
      <c r="B50" s="3506" t="s">
        <v>1782</v>
      </c>
      <c r="C50" s="3506"/>
      <c r="D50" s="2572"/>
      <c r="E50" s="269"/>
      <c r="F50" s="2569"/>
      <c r="G50" s="3449"/>
      <c r="H50" s="2573" t="s">
        <v>2742</v>
      </c>
      <c r="I50" s="2571"/>
      <c r="J50" s="2855"/>
      <c r="K50" s="3458" t="s">
        <v>2750</v>
      </c>
      <c r="L50" s="3458"/>
      <c r="M50" s="3458"/>
      <c r="N50" s="3458"/>
      <c r="O50" s="3458"/>
      <c r="P50" s="3458"/>
      <c r="Q50" s="1308"/>
    </row>
    <row r="51" spans="1:17" ht="20.45" customHeight="1">
      <c r="A51" s="2574"/>
      <c r="B51" s="3506" t="s">
        <v>1784</v>
      </c>
      <c r="C51" s="3506"/>
      <c r="D51" s="1099"/>
      <c r="E51" s="264"/>
      <c r="F51" s="2569"/>
      <c r="G51" s="3450"/>
      <c r="H51" s="2573" t="s">
        <v>2743</v>
      </c>
      <c r="I51" s="2571"/>
      <c r="J51" s="2855"/>
      <c r="K51" s="2537" t="s">
        <v>2751</v>
      </c>
      <c r="L51" s="3458" t="s">
        <v>2752</v>
      </c>
      <c r="M51" s="3458"/>
      <c r="N51" s="2537" t="s">
        <v>2753</v>
      </c>
      <c r="O51" s="2537" t="s">
        <v>2754</v>
      </c>
      <c r="P51" s="2537" t="s">
        <v>2755</v>
      </c>
      <c r="Q51" s="1308"/>
    </row>
    <row r="52" spans="1:17" ht="24" customHeight="1">
      <c r="A52" s="2082" t="s">
        <v>1790</v>
      </c>
      <c r="B52" s="3506" t="s">
        <v>1791</v>
      </c>
      <c r="C52" s="3506"/>
      <c r="D52" s="1099">
        <f ca="1">ROUND(D45*'数据-取费表'!E29/(1+'数据-取费表'!F30),0)</f>
        <v>123756</v>
      </c>
      <c r="E52" s="2092" t="s">
        <v>1792</v>
      </c>
      <c r="F52" s="2575">
        <f>'数据-取费表'!E29</f>
        <v>5.6000000000000001E-2</v>
      </c>
      <c r="G52" s="2576"/>
      <c r="H52" s="947"/>
      <c r="I52" s="2980"/>
      <c r="J52" s="2855"/>
      <c r="K52" s="2536">
        <v>1</v>
      </c>
      <c r="L52" s="3447" t="s">
        <v>2756</v>
      </c>
      <c r="M52" s="3447"/>
      <c r="N52" s="2538">
        <f ca="1">D48</f>
        <v>123756</v>
      </c>
      <c r="O52" s="2536" t="str">
        <f>E48</f>
        <v>销售额×税（费）率</v>
      </c>
      <c r="P52" s="2539">
        <f>F48</f>
        <v>5.6000000000000001E-2</v>
      </c>
      <c r="Q52" s="1308"/>
    </row>
    <row r="53" spans="1:17" ht="12" customHeight="1">
      <c r="A53" s="2082" t="s">
        <v>1794</v>
      </c>
      <c r="B53" s="3518" t="s">
        <v>2835</v>
      </c>
      <c r="C53" s="3507"/>
      <c r="D53" s="1099">
        <f ca="1">ROUND(D45*'数据-取费表'!E29/(1+'数据-取费表'!F30),0)</f>
        <v>123756</v>
      </c>
      <c r="E53" s="2092" t="s">
        <v>1792</v>
      </c>
      <c r="F53" s="2575">
        <f>'数据-取费表'!E29</f>
        <v>5.6000000000000001E-2</v>
      </c>
      <c r="G53" s="2576"/>
      <c r="H53" s="947"/>
      <c r="I53" s="2980"/>
      <c r="J53" s="2855"/>
      <c r="K53" s="2536">
        <v>2</v>
      </c>
      <c r="L53" s="3447" t="s">
        <v>2757</v>
      </c>
      <c r="M53" s="3447"/>
      <c r="N53" s="2538">
        <f t="shared" ref="N53:P54" si="1">D55</f>
        <v>0</v>
      </c>
      <c r="O53" s="2536" t="str">
        <f t="shared" si="1"/>
        <v>销售额×税（费）率</v>
      </c>
      <c r="P53" s="2539" t="str">
        <f t="shared" si="1"/>
        <v>免征</v>
      </c>
      <c r="Q53" s="1308"/>
    </row>
    <row r="54" spans="1:17" ht="12" customHeight="1">
      <c r="A54" s="2082" t="s">
        <v>1796</v>
      </c>
      <c r="B54" s="3518" t="s">
        <v>2836</v>
      </c>
      <c r="C54" s="3507"/>
      <c r="D54" s="1099">
        <f ca="1">C68</f>
        <v>123756</v>
      </c>
      <c r="E54" s="264" t="s">
        <v>1797</v>
      </c>
      <c r="F54" s="2575">
        <f>'数据-取费表'!E29</f>
        <v>5.6000000000000001E-2</v>
      </c>
      <c r="G54" s="2576"/>
      <c r="H54" s="2981"/>
      <c r="I54" s="2980"/>
      <c r="J54" s="2855"/>
      <c r="K54" s="2536">
        <v>3</v>
      </c>
      <c r="L54" s="3447" t="s">
        <v>2758</v>
      </c>
      <c r="M54" s="3447"/>
      <c r="N54" s="2538">
        <f t="shared" si="1"/>
        <v>0</v>
      </c>
      <c r="O54" s="2536" t="str">
        <f t="shared" si="1"/>
        <v>增值额×税（费）率</v>
      </c>
      <c r="P54" s="2540" t="str">
        <f t="shared" si="1"/>
        <v>免征</v>
      </c>
      <c r="Q54" s="1308"/>
    </row>
    <row r="55" spans="1:17" ht="24" customHeight="1">
      <c r="A55" s="3471" t="s">
        <v>1799</v>
      </c>
      <c r="B55" s="3467"/>
      <c r="C55" s="3467"/>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447" t="str">
        <f>IF(H59="非个人房产","——","个人所得税")</f>
        <v>——</v>
      </c>
      <c r="M55" s="3447"/>
      <c r="N55" s="2541" t="str">
        <f>D59</f>
        <v>——</v>
      </c>
      <c r="O55" s="2542" t="str">
        <f>E59</f>
        <v>——</v>
      </c>
      <c r="P55" s="2543" t="str">
        <f>F59</f>
        <v>——</v>
      </c>
      <c r="Q55" s="1308"/>
    </row>
    <row r="56" spans="1:17" ht="24.75">
      <c r="A56" s="3471" t="s">
        <v>1802</v>
      </c>
      <c r="B56" s="3467"/>
      <c r="C56" s="3467"/>
      <c r="D56" s="12">
        <f>IF(H56="个人住宅",D57,D58)</f>
        <v>0</v>
      </c>
      <c r="E56" s="2092" t="s">
        <v>1803</v>
      </c>
      <c r="F56" s="2575" t="str">
        <f>IF(H56="正常",F58,"免征")</f>
        <v>免征</v>
      </c>
      <c r="G56" s="2577" t="s">
        <v>1804</v>
      </c>
      <c r="H56" s="2578" t="s">
        <v>2739</v>
      </c>
      <c r="I56" s="2982"/>
      <c r="J56" s="2855"/>
      <c r="K56" s="2536" t="str">
        <f>IF(项目基本情况!I6="上海银行",IF(K55="",4,K55+1),"")</f>
        <v/>
      </c>
      <c r="L56" s="3445" t="str">
        <f>IF(项目基本情况!I6="上海银行","其他处置费用","")</f>
        <v/>
      </c>
      <c r="M56" s="3465"/>
      <c r="N56" s="2538" t="str">
        <f>IF(项目基本情况!I6="上海银行",N69,"")</f>
        <v/>
      </c>
      <c r="O56" s="3445" t="str">
        <f>IF(项目基本情况!I6="上海银行","包含处置中涉及的律师、诉讼、拍卖、评估等费用","")</f>
        <v/>
      </c>
      <c r="P56" s="3446"/>
      <c r="Q56" s="1308"/>
    </row>
    <row r="57" spans="1:17" ht="12.75">
      <c r="A57" s="2082" t="s">
        <v>1779</v>
      </c>
      <c r="B57" s="3518" t="s">
        <v>1805</v>
      </c>
      <c r="C57" s="3507"/>
      <c r="D57" s="2568">
        <v>0</v>
      </c>
      <c r="E57" s="261" t="s">
        <v>1781</v>
      </c>
      <c r="F57" s="235"/>
      <c r="G57" s="2576"/>
      <c r="H57" s="2982"/>
      <c r="I57" s="2982"/>
      <c r="J57" s="2855"/>
      <c r="K57" s="3447">
        <f>IF(AND(K55="",K56=""),4,IF(项目基本情况!I6="上海银行",K56+1,K55+1))</f>
        <v>4</v>
      </c>
      <c r="L57" s="3447" t="s">
        <v>2759</v>
      </c>
      <c r="M57" s="2544" t="s">
        <v>2760</v>
      </c>
      <c r="N57" s="2545"/>
      <c r="O57" s="2546">
        <f ca="1">SUMIF(N52:N56,"&lt;9e307")</f>
        <v>123756</v>
      </c>
      <c r="P57" s="2547"/>
      <c r="Q57" s="1306" t="e">
        <f ca="1">O57/N49</f>
        <v>#VALUE!</v>
      </c>
    </row>
    <row r="58" spans="1:17" ht="24.75">
      <c r="A58" s="2082" t="s">
        <v>1790</v>
      </c>
      <c r="B58" s="3518" t="s">
        <v>1808</v>
      </c>
      <c r="C58" s="3506"/>
      <c r="D58" s="12">
        <f ca="1">IF(H58="转让取得",C81,C97)</f>
        <v>1313355</v>
      </c>
      <c r="E58" s="2092" t="s">
        <v>1803</v>
      </c>
      <c r="F58" s="235" t="s">
        <v>48</v>
      </c>
      <c r="G58" s="2576"/>
      <c r="H58" s="2578" t="s">
        <v>1809</v>
      </c>
      <c r="I58" s="2982"/>
      <c r="J58" s="2855"/>
      <c r="K58" s="3447"/>
      <c r="L58" s="3447"/>
      <c r="M58" s="2544" t="s">
        <v>2761</v>
      </c>
      <c r="N58" s="2548"/>
      <c r="O58" s="2549" t="str">
        <f ca="1">IF(H19="元",NUMBERSTRING(INT(O57),2)&amp;"元整",NUMBERSTRING(INT(O57*10000),2)&amp;"元整")</f>
        <v>壹拾贰万叁仟柒佰伍拾陆元整</v>
      </c>
      <c r="P58" s="2550"/>
      <c r="Q58" s="1308"/>
    </row>
    <row r="59" spans="1:17" ht="24.75" thickBot="1">
      <c r="A59" s="3534" t="s">
        <v>1811</v>
      </c>
      <c r="B59" s="3535"/>
      <c r="C59" s="3535"/>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500">
        <f>K57+1</f>
        <v>5</v>
      </c>
      <c r="L59" s="3447" t="s">
        <v>2762</v>
      </c>
      <c r="M59" s="2536" t="s">
        <v>2760</v>
      </c>
      <c r="N59" s="2551"/>
      <c r="O59" s="2552" t="e">
        <f ca="1">N49-O57</f>
        <v>#VALUE!</v>
      </c>
      <c r="P59" s="2553"/>
      <c r="Q59" s="1308"/>
    </row>
    <row r="60" spans="1:17" ht="12" customHeight="1">
      <c r="A60" s="1457"/>
      <c r="B60" s="1461"/>
      <c r="C60" s="1461"/>
      <c r="D60" s="1461"/>
      <c r="E60" s="812"/>
      <c r="F60" s="2983"/>
      <c r="G60" s="2983"/>
      <c r="H60" s="2984"/>
      <c r="I60" s="31"/>
      <c r="K60" s="3501"/>
      <c r="L60" s="3447"/>
      <c r="M60" s="2544" t="s">
        <v>2761</v>
      </c>
      <c r="N60" s="2548"/>
      <c r="O60" s="2549" t="e">
        <f ca="1">IF(H19="元",NUMBERSTRING(INT(O59),2)&amp;"元整",NUMBERSTRING(INT(O59*10000),2)&amp;"元整")</f>
        <v>#VALUE!</v>
      </c>
      <c r="P60" s="2550"/>
      <c r="Q60" s="1308"/>
    </row>
    <row r="61" spans="1:17" ht="13.5" thickBot="1">
      <c r="A61" s="3536" t="s">
        <v>1813</v>
      </c>
      <c r="B61" s="3536"/>
      <c r="C61" s="3536"/>
      <c r="D61" s="3536"/>
      <c r="E61" s="3536"/>
      <c r="F61" s="2983"/>
      <c r="G61" s="2983"/>
      <c r="H61" s="2985"/>
      <c r="I61" s="31"/>
      <c r="K61" s="2536">
        <f>K59+1</f>
        <v>6</v>
      </c>
      <c r="L61" s="3447" t="s">
        <v>2763</v>
      </c>
      <c r="M61" s="3447"/>
      <c r="N61" s="2554"/>
      <c r="O61" s="2555" t="e">
        <f ca="1">IF(H19="元",ROUND(O59/项目基本情况!C12,0),ROUND(O59*10000/项目基本情况!C12,0))</f>
        <v>#VALUE!</v>
      </c>
      <c r="P61" s="2556"/>
      <c r="Q61" s="1308"/>
    </row>
    <row r="62" spans="1:17" ht="12.75">
      <c r="A62" s="3485" t="s">
        <v>1815</v>
      </c>
      <c r="B62" s="3486"/>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2209920</v>
      </c>
      <c r="D63" s="47"/>
      <c r="E63" s="48"/>
      <c r="F63" s="2983"/>
      <c r="G63" s="2983"/>
      <c r="H63" s="2985"/>
      <c r="I63" s="31"/>
      <c r="K63" s="3466" t="s">
        <v>2764</v>
      </c>
      <c r="L63" s="2558" t="s">
        <v>2765</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2209920</v>
      </c>
      <c r="D64" s="50" t="s">
        <v>41</v>
      </c>
      <c r="E64" s="52"/>
      <c r="F64" s="2983"/>
      <c r="G64" s="2983"/>
      <c r="H64" s="2985"/>
      <c r="I64" s="31"/>
      <c r="K64" s="3466"/>
      <c r="L64" s="2558" t="s">
        <v>2766</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2767</v>
      </c>
      <c r="P64" s="2557"/>
      <c r="Q64" s="1308"/>
    </row>
    <row r="65" spans="1:36" ht="12.75">
      <c r="A65" s="49" t="s">
        <v>72</v>
      </c>
      <c r="B65" s="50" t="s">
        <v>1824</v>
      </c>
      <c r="C65" s="2788"/>
      <c r="D65" s="50"/>
      <c r="E65" s="52"/>
      <c r="F65" s="2983"/>
      <c r="G65" s="2983"/>
      <c r="H65" s="2985"/>
      <c r="I65" s="31"/>
      <c r="K65" s="3466"/>
      <c r="L65" s="2558" t="s">
        <v>2768</v>
      </c>
      <c r="M65" s="2558" t="e">
        <f>IF(N49&gt;1000,N49*0.1%,IF(AND(N49&gt;500,N49&lt;=1000),N49*0.5%,IF(AND(N49&gt;50,N49&lt;=500),N49*1%,IF(AND(N49&gt;1,N49&lt;=50),N49*1.5%))))</f>
        <v>#VALUE!</v>
      </c>
      <c r="N65" s="2559" t="e">
        <f t="shared" si="2"/>
        <v>#VALUE!</v>
      </c>
      <c r="O65" s="2557" t="s">
        <v>2767</v>
      </c>
      <c r="P65" s="2557"/>
      <c r="Q65" s="1308"/>
    </row>
    <row r="66" spans="1:36" ht="12.75">
      <c r="A66" s="53" t="s">
        <v>47</v>
      </c>
      <c r="B66" s="54" t="s">
        <v>1826</v>
      </c>
      <c r="C66" s="2789"/>
      <c r="D66" s="54" t="s">
        <v>41</v>
      </c>
      <c r="E66" s="1316" t="s">
        <v>1827</v>
      </c>
      <c r="F66" s="2983"/>
      <c r="G66" s="2983"/>
      <c r="H66" s="2985"/>
      <c r="I66" s="31"/>
      <c r="K66" s="3466"/>
      <c r="L66" s="2558" t="s">
        <v>2769</v>
      </c>
      <c r="M66" s="2558" t="e">
        <f>N49*0.5%</f>
        <v>#VALUE!</v>
      </c>
      <c r="N66" s="2559" t="e">
        <f>IF(M66&gt;0.5,0.5,ROUND(M66,0))</f>
        <v>#VALUE!</v>
      </c>
      <c r="O66" s="2557" t="s">
        <v>2770</v>
      </c>
      <c r="P66" s="2557"/>
      <c r="Q66" s="1308"/>
    </row>
    <row r="67" spans="1:36" ht="12.75">
      <c r="A67" s="53" t="s">
        <v>42</v>
      </c>
      <c r="B67" s="54" t="s">
        <v>1830</v>
      </c>
      <c r="C67" s="2790">
        <f ca="1">C63-C66</f>
        <v>2209920</v>
      </c>
      <c r="D67" s="50" t="s">
        <v>41</v>
      </c>
      <c r="E67" s="52"/>
      <c r="F67" s="2983"/>
      <c r="G67" s="2983"/>
      <c r="H67" s="2985"/>
      <c r="I67" s="31"/>
      <c r="K67" s="3466"/>
      <c r="L67" s="2558" t="s">
        <v>2771</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123756</v>
      </c>
      <c r="D68" s="2242">
        <f>'数据-取费表'!E29</f>
        <v>5.6000000000000001E-2</v>
      </c>
      <c r="E68" s="57"/>
      <c r="F68" s="2983"/>
      <c r="G68" s="2983"/>
      <c r="H68" s="2985"/>
      <c r="I68" s="31"/>
      <c r="K68" s="3466"/>
      <c r="L68" s="2558" t="s">
        <v>2772</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466"/>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487" t="s">
        <v>1835</v>
      </c>
      <c r="B70" s="3488"/>
      <c r="C70" s="3488"/>
      <c r="D70" s="3488"/>
      <c r="E70" s="3488"/>
      <c r="F70" s="3488"/>
      <c r="G70" s="3488"/>
      <c r="H70" s="3488"/>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485" t="s">
        <v>1815</v>
      </c>
      <c r="B71" s="3486"/>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2209920</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13260</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518" t="s">
        <v>1845</v>
      </c>
      <c r="F76" s="3506"/>
      <c r="G76" s="3506"/>
      <c r="H76" s="3519"/>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13260</v>
      </c>
      <c r="D78" s="2799">
        <f>'数据-取费表'!E31</f>
        <v>6.000000000000001E-3</v>
      </c>
      <c r="E78" s="3454" t="s">
        <v>1850</v>
      </c>
      <c r="F78" s="3455"/>
      <c r="G78" s="3455"/>
      <c r="H78" s="3475"/>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2196660</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165.6606334841629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1313355</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487" t="s">
        <v>1854</v>
      </c>
      <c r="B83" s="3488"/>
      <c r="C83" s="3488"/>
      <c r="D83" s="3488"/>
      <c r="E83" s="3488"/>
      <c r="F83" s="3488"/>
      <c r="G83" s="3488"/>
      <c r="H83" s="3488"/>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485" t="s">
        <v>1815</v>
      </c>
      <c r="B84" s="3486"/>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2209920</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13260</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494" t="s">
        <v>2734</v>
      </c>
      <c r="H90" s="3494"/>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454" t="s">
        <v>1862</v>
      </c>
      <c r="F91" s="3455"/>
      <c r="G91" s="3455"/>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454" t="s">
        <v>1865</v>
      </c>
      <c r="F92" s="3455"/>
      <c r="G92" s="3455"/>
      <c r="H92" s="3475"/>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13260</v>
      </c>
      <c r="D93" s="2799">
        <f>'数据-取费表'!E31</f>
        <v>6.000000000000001E-3</v>
      </c>
      <c r="E93" s="3454" t="s">
        <v>1850</v>
      </c>
      <c r="F93" s="3455"/>
      <c r="G93" s="3455"/>
      <c r="H93" s="3475"/>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454" t="s">
        <v>1867</v>
      </c>
      <c r="F94" s="3455"/>
      <c r="G94" s="3455"/>
      <c r="H94" s="3475"/>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2196660</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165.6606334841629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1313355</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472" t="s">
        <v>1869</v>
      </c>
      <c r="B99" s="3473"/>
      <c r="C99" s="3473"/>
      <c r="D99" s="3474"/>
      <c r="E99" s="1461"/>
      <c r="F99" s="3482" t="s">
        <v>1870</v>
      </c>
      <c r="G99" s="3483"/>
      <c r="H99" s="3483"/>
      <c r="I99" s="3484"/>
      <c r="J99" s="2861"/>
    </row>
    <row r="100" spans="1:36" ht="15">
      <c r="A100" s="3489" t="s">
        <v>1871</v>
      </c>
      <c r="B100" s="3490"/>
      <c r="C100" s="1307" t="str">
        <f>C4</f>
        <v>成本法</v>
      </c>
      <c r="D100" s="2809" t="str">
        <f>D4</f>
        <v>比较法-住宅</v>
      </c>
      <c r="E100" s="1461"/>
      <c r="F100" s="3491" t="s">
        <v>2778</v>
      </c>
      <c r="G100" s="3493"/>
      <c r="H100" s="3491" t="s">
        <v>2779</v>
      </c>
      <c r="I100" s="3492"/>
      <c r="J100" s="2862"/>
    </row>
    <row r="101" spans="1:36" ht="12.75">
      <c r="A101" s="3508" t="s">
        <v>2811</v>
      </c>
      <c r="B101" s="2307" t="str">
        <f>IF(H19="元","总价（元）","总价（万元）")</f>
        <v>总价（元）</v>
      </c>
      <c r="C101" s="1307">
        <f ca="1">C19</f>
        <v>2311621</v>
      </c>
      <c r="D101" s="2809">
        <f ca="1">D19</f>
        <v>2108157</v>
      </c>
      <c r="E101" s="1461"/>
      <c r="F101" s="3491" t="str">
        <f>项目基本情况!I1</f>
        <v>北京市房地产</v>
      </c>
      <c r="G101" s="3493"/>
      <c r="H101" s="3495">
        <f>项目基本情况!C12</f>
        <v>146.78</v>
      </c>
      <c r="I101" s="3492"/>
      <c r="J101" s="2862"/>
    </row>
    <row r="102" spans="1:36" ht="12.75">
      <c r="A102" s="3508"/>
      <c r="B102" s="2307" t="s">
        <v>2812</v>
      </c>
      <c r="C102" s="2810">
        <f ca="1">C20</f>
        <v>15749</v>
      </c>
      <c r="D102" s="2811">
        <f ca="1">D20</f>
        <v>14363</v>
      </c>
      <c r="E102" s="1461"/>
      <c r="F102" s="3478" t="s">
        <v>2808</v>
      </c>
      <c r="G102" s="3479"/>
      <c r="H102" s="2819" t="str">
        <f>C106</f>
        <v>总价（元）</v>
      </c>
      <c r="I102" s="2820">
        <f ca="1">H121</f>
        <v>2209920</v>
      </c>
      <c r="J102" s="2862"/>
    </row>
    <row r="103" spans="1:36" ht="12.75">
      <c r="A103" s="3508" t="s">
        <v>2813</v>
      </c>
      <c r="B103" s="2245" t="str">
        <f>B101</f>
        <v>总价（元）</v>
      </c>
      <c r="C103" s="2814">
        <f ca="1">H121</f>
        <v>2209920</v>
      </c>
      <c r="D103" s="2812"/>
      <c r="E103" s="1461"/>
      <c r="F103" s="3478"/>
      <c r="G103" s="3479"/>
      <c r="H103" s="2819" t="s">
        <v>2781</v>
      </c>
      <c r="I103" s="52">
        <f ca="1">I121</f>
        <v>15056</v>
      </c>
      <c r="J103" s="2846"/>
    </row>
    <row r="104" spans="1:36" ht="13.5" thickBot="1">
      <c r="A104" s="3509"/>
      <c r="B104" s="2816" t="s">
        <v>2812</v>
      </c>
      <c r="C104" s="2817">
        <f ca="1">I121</f>
        <v>15056</v>
      </c>
      <c r="D104" s="2818"/>
      <c r="E104" s="1461"/>
      <c r="F104" s="3478"/>
      <c r="G104" s="3479"/>
      <c r="H104" s="3510"/>
      <c r="I104" s="3511"/>
      <c r="J104" s="2863"/>
    </row>
    <row r="105" spans="1:36" ht="15">
      <c r="A105" s="3472" t="s">
        <v>1872</v>
      </c>
      <c r="B105" s="3473"/>
      <c r="C105" s="3473"/>
      <c r="D105" s="3474"/>
      <c r="E105" s="1461"/>
      <c r="F105" s="3514" t="s">
        <v>2782</v>
      </c>
      <c r="G105" s="3515"/>
      <c r="H105" s="2821" t="str">
        <f>C108</f>
        <v>总额（元）</v>
      </c>
      <c r="I105" s="2820">
        <f>SUMIF(I106:I108,"&lt;9E307")</f>
        <v>0</v>
      </c>
      <c r="J105" s="2862"/>
    </row>
    <row r="106" spans="1:36" ht="14.25">
      <c r="A106" s="3478" t="s">
        <v>2805</v>
      </c>
      <c r="B106" s="3479"/>
      <c r="C106" s="2819" t="str">
        <f>B101</f>
        <v>总价（元）</v>
      </c>
      <c r="D106" s="2820">
        <f ca="1">H121</f>
        <v>2209920</v>
      </c>
      <c r="E106" s="1461"/>
      <c r="F106" s="3480" t="s">
        <v>2783</v>
      </c>
      <c r="G106" s="3481"/>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478"/>
      <c r="B107" s="3479"/>
      <c r="C107" s="2819" t="s">
        <v>2806</v>
      </c>
      <c r="D107" s="52">
        <f ca="1">I121</f>
        <v>15056</v>
      </c>
      <c r="E107" s="1461"/>
      <c r="F107" s="3480" t="s">
        <v>2784</v>
      </c>
      <c r="G107" s="3481"/>
      <c r="H107" s="2821" t="str">
        <f>C110</f>
        <v>总额（元）</v>
      </c>
      <c r="I107" s="52">
        <f>C37</f>
        <v>0</v>
      </c>
      <c r="J107" s="2846"/>
    </row>
    <row r="108" spans="1:36" ht="12.75">
      <c r="A108" s="3549" t="s">
        <v>2782</v>
      </c>
      <c r="B108" s="3550"/>
      <c r="C108" s="2821" t="str">
        <f>IF(H19="元","总额（元）","总额（万元）")</f>
        <v>总额（元）</v>
      </c>
      <c r="D108" s="2820">
        <f>IF(D36="正常操作",I106+I107+I108,I107+I108)</f>
        <v>0</v>
      </c>
      <c r="E108" s="1461"/>
      <c r="F108" s="3480" t="s">
        <v>2809</v>
      </c>
      <c r="G108" s="3481"/>
      <c r="H108" s="2821" t="str">
        <f>C111</f>
        <v>总额（元）</v>
      </c>
      <c r="I108" s="52">
        <f>C38</f>
        <v>0</v>
      </c>
      <c r="J108" s="2846"/>
    </row>
    <row r="109" spans="1:36" ht="12.75">
      <c r="A109" s="3480" t="s">
        <v>2783</v>
      </c>
      <c r="B109" s="3481"/>
      <c r="C109" s="2821" t="str">
        <f>C108</f>
        <v>总额（元）</v>
      </c>
      <c r="D109" s="52">
        <f>IF(D36="同一抵押权人同一抵押物续贷",C36&amp;"（未扣减，详见特别提示）",C36)</f>
        <v>0</v>
      </c>
      <c r="E109" s="1461"/>
      <c r="F109" s="3478"/>
      <c r="G109" s="3479"/>
      <c r="H109" s="3512"/>
      <c r="I109" s="3513"/>
      <c r="J109" s="2864"/>
    </row>
    <row r="110" spans="1:36" ht="28.5" customHeight="1">
      <c r="A110" s="3480" t="s">
        <v>2807</v>
      </c>
      <c r="B110" s="3481"/>
      <c r="C110" s="2821" t="str">
        <f>C108</f>
        <v>总额（元）</v>
      </c>
      <c r="D110" s="52">
        <f>C37</f>
        <v>0</v>
      </c>
      <c r="E110" s="1461"/>
      <c r="F110" s="3461" t="str">
        <f>IF(项目基本情况!F5="已注销","——","3.房地产抵押价值")</f>
        <v>3.房地产抵押价值</v>
      </c>
      <c r="G110" s="3462"/>
      <c r="H110" s="2807" t="str">
        <f>C112</f>
        <v>总价（元）</v>
      </c>
      <c r="I110" s="2820">
        <f ca="1">IF(F110="——","——",I102-I105)</f>
        <v>2209920</v>
      </c>
      <c r="J110" s="2862"/>
    </row>
    <row r="111" spans="1:36" ht="12.75">
      <c r="A111" s="3480" t="s">
        <v>2786</v>
      </c>
      <c r="B111" s="3481"/>
      <c r="C111" s="2821" t="str">
        <f>C108</f>
        <v>总额（元）</v>
      </c>
      <c r="D111" s="52">
        <f>C38</f>
        <v>0</v>
      </c>
      <c r="E111" s="1461"/>
      <c r="F111" s="3463"/>
      <c r="G111" s="3464"/>
      <c r="H111" s="2819" t="s">
        <v>2781</v>
      </c>
      <c r="I111" s="2823">
        <f ca="1">D113</f>
        <v>15056</v>
      </c>
      <c r="J111" s="2865"/>
    </row>
    <row r="112" spans="1:36" ht="26.25" customHeight="1">
      <c r="A112" s="3478" t="str">
        <f>IF(项目基本情况!F5="已注销","——","3.房地产抵押价值")</f>
        <v>3.房地产抵押价值</v>
      </c>
      <c r="B112" s="3479"/>
      <c r="C112" s="2819" t="str">
        <f>B101</f>
        <v>总价（元）</v>
      </c>
      <c r="D112" s="2820">
        <f ca="1">IF(A112="——","——",D106-D108)</f>
        <v>2209920</v>
      </c>
      <c r="E112" s="1461"/>
      <c r="F112" s="3461" t="str">
        <f>IF(项目基本情况!F5="已注销及未注销","4.抵押担保权已注销时的房地产抵押价值",IF(项目基本情况!F5="已注销","3.抵押担保权已注销时的房地产抵押价值","——"))</f>
        <v>——</v>
      </c>
      <c r="G112" s="3462"/>
      <c r="H112" s="2807" t="str">
        <f>C114</f>
        <v>总价（元）</v>
      </c>
      <c r="I112" s="2820" t="str">
        <f>IF(F112="——","——",I102-I107-I108)</f>
        <v>——</v>
      </c>
      <c r="J112" s="2862"/>
    </row>
    <row r="113" spans="1:16" ht="12.75">
      <c r="A113" s="3478"/>
      <c r="B113" s="3479"/>
      <c r="C113" s="2819" t="s">
        <v>2774</v>
      </c>
      <c r="D113" s="52">
        <f ca="1">ROUND(IF(D112=D106,D107,IF(H19="元",D112/项目基本情况!C12,D112*10000/项目基本情况!C12)),0)</f>
        <v>15056</v>
      </c>
      <c r="E113" s="1461"/>
      <c r="F113" s="3463"/>
      <c r="G113" s="3464"/>
      <c r="H113" s="2819" t="s">
        <v>2810</v>
      </c>
      <c r="I113" s="52" t="str">
        <f>D115</f>
        <v>——</v>
      </c>
      <c r="J113" s="2846"/>
    </row>
    <row r="114" spans="1:16" ht="12.75">
      <c r="A114" s="3478" t="str">
        <f>IF(项目基本情况!F5="已注销及未注销","4.抵押担保权已注销时的房地产抵押价值",IF(项目基本情况!F5="已注销","3.抵押担保权已注销时的房地产抵押价值","——"))</f>
        <v>——</v>
      </c>
      <c r="B114" s="3479"/>
      <c r="C114" s="2819" t="str">
        <f>B101</f>
        <v>总价（元）</v>
      </c>
      <c r="D114" s="2820" t="str">
        <f>IF(A114="——","——",D106-D110-D111)</f>
        <v>——</v>
      </c>
      <c r="E114" s="1461"/>
      <c r="F114" s="3461" t="str">
        <f>IF(项目基本情况!G5="抵押净值",IF(OR(项目基本情况!F5="已注销",项目基本情况!F5="房地产抵押价值"),"4.抵押净值","5.抵押净值"),"——")</f>
        <v>——</v>
      </c>
      <c r="G114" s="3462"/>
      <c r="H114" s="2819" t="str">
        <f>C116</f>
        <v>总价（元）</v>
      </c>
      <c r="I114" s="2820" t="str">
        <f>IF(F114="——","——",O59)</f>
        <v>——</v>
      </c>
      <c r="J114" s="2862"/>
    </row>
    <row r="115" spans="1:16" ht="13.5" thickBot="1">
      <c r="A115" s="3478"/>
      <c r="B115" s="3479"/>
      <c r="C115" s="2819" t="s">
        <v>2774</v>
      </c>
      <c r="D115" s="52" t="str">
        <f>IF(A114="——","——",ROUND(IF(D114=D106,D107,IF(H19="元",D114/项目基本情况!C12,D114*10000/项目基本情况!C12)),0))</f>
        <v>——</v>
      </c>
      <c r="E115" s="1461"/>
      <c r="F115" s="3541"/>
      <c r="G115" s="3542"/>
      <c r="H115" s="2824" t="s">
        <v>2774</v>
      </c>
      <c r="I115" s="2808" t="str">
        <f ca="1">D117</f>
        <v>——</v>
      </c>
      <c r="J115" s="2846"/>
    </row>
    <row r="116" spans="1:16" ht="15.75">
      <c r="A116" s="3478" t="str">
        <f>IF(项目基本情况!G5="抵押净值",IF(OR(项目基本情况!F5="已注销",项目基本情况!F5="房地产抵押价值"),"4.抵押净值","5.抵押净值"),"——")</f>
        <v>——</v>
      </c>
      <c r="B116" s="3479"/>
      <c r="C116" s="2819" t="str">
        <f>B101</f>
        <v>总价（元）</v>
      </c>
      <c r="D116" s="2820" t="str">
        <f>IF(A116="——","——",O59)</f>
        <v>——</v>
      </c>
      <c r="E116" s="1461"/>
      <c r="F116" s="3456"/>
      <c r="G116" s="3456"/>
      <c r="H116" s="3497"/>
      <c r="I116" s="3497"/>
      <c r="J116" s="2866"/>
      <c r="O116" s="32"/>
      <c r="P116" s="32"/>
    </row>
    <row r="117" spans="1:16" ht="13.5" thickBot="1">
      <c r="A117" s="3547"/>
      <c r="B117" s="3548"/>
      <c r="C117" s="2824" t="s">
        <v>2774</v>
      </c>
      <c r="D117" s="2808" t="str">
        <f ca="1">IF(D116=D112,D113,IF(A116="——","——",O61))</f>
        <v>——</v>
      </c>
      <c r="E117" s="1461"/>
      <c r="F117" s="3540" t="str">
        <f>IF(B32="总价","（以上估价结果中单价为总价除以建筑面积得出）","（以上估价结果中总价为楼面单价乘以建筑面积得出）")</f>
        <v>（以上估价结果中总价为楼面单价乘以建筑面积得出）</v>
      </c>
      <c r="G117" s="3540"/>
      <c r="H117" s="3540"/>
      <c r="I117" s="3540"/>
      <c r="J117" s="2867"/>
      <c r="O117" s="32"/>
      <c r="P117" s="32"/>
    </row>
    <row r="118" spans="1:16" ht="15">
      <c r="A118" s="3498" t="s">
        <v>1873</v>
      </c>
      <c r="B118" s="3499"/>
      <c r="C118" s="3499"/>
      <c r="D118" s="3499"/>
      <c r="E118" s="3499"/>
      <c r="F118" s="3499"/>
      <c r="G118" s="3499"/>
      <c r="H118" s="3499"/>
      <c r="I118" s="3499"/>
      <c r="J118" s="2868"/>
    </row>
    <row r="119" spans="1:16" ht="12.75">
      <c r="A119" s="3471" t="s">
        <v>2792</v>
      </c>
      <c r="B119" s="3469" t="s">
        <v>2802</v>
      </c>
      <c r="C119" s="3469" t="s">
        <v>2803</v>
      </c>
      <c r="D119" s="3476" t="s">
        <v>2794</v>
      </c>
      <c r="E119" s="3477"/>
      <c r="F119" s="3467" t="s">
        <v>2804</v>
      </c>
      <c r="G119" s="3467"/>
      <c r="H119" s="3467" t="s">
        <v>2795</v>
      </c>
      <c r="I119" s="3468"/>
      <c r="J119" s="2846"/>
    </row>
    <row r="120" spans="1:16" ht="12.75">
      <c r="A120" s="3471"/>
      <c r="B120" s="3470"/>
      <c r="C120" s="3470"/>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146.78</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2209920</v>
      </c>
      <c r="I121" s="52">
        <f ca="1">ROUND(IF(B32="楼面单价",C32,IF(H19="元",H121/B121,H121*10000/B121)),0)</f>
        <v>15056</v>
      </c>
      <c r="J121" s="2846"/>
    </row>
    <row r="122" spans="1:16" ht="12.75">
      <c r="A122" s="3471" t="s">
        <v>2798</v>
      </c>
      <c r="B122" s="3467"/>
      <c r="C122" s="3467"/>
      <c r="D122" s="3502" t="e">
        <f ca="1">IF(H19="元",NUMBERSTRING(INT(D121),2)&amp;"元整",NUMBERSTRING(INT(D121*10000),2)&amp;"元整")</f>
        <v>#DIV/0!</v>
      </c>
      <c r="E122" s="3503"/>
      <c r="F122" s="3502" t="e">
        <f ca="1">IF(H19="元",NUMBERSTRING(INT(F121),2)&amp;"元整",NUMBERSTRING(INT(F121*10000),2)&amp;"元整")</f>
        <v>#DIV/0!</v>
      </c>
      <c r="G122" s="3503"/>
      <c r="H122" s="3502" t="str">
        <f ca="1">IF(H19="元",NUMBERSTRING(INT(H121),2)&amp;"元整",NUMBERSTRING(INT(H121*10000),2)&amp;"元整")</f>
        <v>贰佰贰拾万玖仟玖佰贰拾元整</v>
      </c>
      <c r="I122" s="3551"/>
      <c r="J122" s="2869"/>
    </row>
    <row r="123" spans="1:16" ht="12.75">
      <c r="A123" s="3491" t="str">
        <f>IF(项目基本情况!D5="房地产市场价值","——",MID(A108,3,LEN(A108)-2))</f>
        <v>估价师所知悉的法定优先受偿款</v>
      </c>
      <c r="B123" s="3504"/>
      <c r="C123" s="3493"/>
      <c r="D123" s="3495">
        <f>I105</f>
        <v>0</v>
      </c>
      <c r="E123" s="3504"/>
      <c r="F123" s="3504"/>
      <c r="G123" s="3504"/>
      <c r="H123" s="3504"/>
      <c r="I123" s="3492"/>
      <c r="J123" s="2862"/>
    </row>
    <row r="124" spans="1:16" ht="12.75">
      <c r="A124" s="3505" t="s">
        <v>2798</v>
      </c>
      <c r="B124" s="3506"/>
      <c r="C124" s="3507"/>
      <c r="D124" s="3543">
        <f>H109</f>
        <v>0</v>
      </c>
      <c r="E124" s="3544"/>
      <c r="F124" s="3544"/>
      <c r="G124" s="3544"/>
      <c r="H124" s="3544"/>
      <c r="I124" s="3545"/>
      <c r="J124" s="2870"/>
    </row>
    <row r="125" spans="1:16" ht="12.75">
      <c r="A125" s="3478" t="str">
        <f>IF(项目基本情况!D5="房地产市场价值","——",MID(A112,3,LEN(A112)-2))</f>
        <v>房地产抵押价值</v>
      </c>
      <c r="B125" s="3479"/>
      <c r="C125" s="3479"/>
      <c r="D125" s="3495">
        <f ca="1">I110</f>
        <v>2209920</v>
      </c>
      <c r="E125" s="3504"/>
      <c r="F125" s="3504"/>
      <c r="G125" s="3504"/>
      <c r="H125" s="3504"/>
      <c r="I125" s="3492"/>
      <c r="J125" s="2862"/>
    </row>
    <row r="126" spans="1:16" ht="12.75">
      <c r="A126" s="3471" t="s">
        <v>2798</v>
      </c>
      <c r="B126" s="3467"/>
      <c r="C126" s="3467"/>
      <c r="D126" s="3543">
        <f ca="1">I111</f>
        <v>15056</v>
      </c>
      <c r="E126" s="3544"/>
      <c r="F126" s="3544"/>
      <c r="G126" s="3544"/>
      <c r="H126" s="3544"/>
      <c r="I126" s="3545"/>
      <c r="J126" s="2870"/>
    </row>
    <row r="127" spans="1:16" ht="13.5" thickBot="1">
      <c r="A127" s="3478" t="str">
        <f>IF(项目基本情况!D5="房地产市场价值","——",MID(A114,3,LEN(A114)-2))</f>
        <v/>
      </c>
      <c r="B127" s="3479"/>
      <c r="C127" s="3479"/>
      <c r="D127" s="3451" t="str">
        <f>I112</f>
        <v>——</v>
      </c>
      <c r="E127" s="3452"/>
      <c r="F127" s="3452"/>
      <c r="G127" s="3452"/>
      <c r="H127" s="3452"/>
      <c r="I127" s="3453"/>
      <c r="J127" s="2862"/>
    </row>
    <row r="128" spans="1:16" ht="14.25" thickTop="1" thickBot="1">
      <c r="A128" s="3471" t="s">
        <v>2798</v>
      </c>
      <c r="B128" s="3467"/>
      <c r="C128" s="3518"/>
      <c r="D128" s="3496" t="str">
        <f>I113</f>
        <v>——</v>
      </c>
      <c r="E128" s="3496"/>
      <c r="F128" s="3496"/>
      <c r="G128" s="3496"/>
      <c r="H128" s="3496"/>
      <c r="I128" s="3496"/>
      <c r="J128" s="2870"/>
    </row>
    <row r="129" spans="1:10" ht="14.25" thickTop="1" thickBot="1">
      <c r="A129" s="3478" t="str">
        <f>IF(项目基本情况!D5="房地产市场价值","——",MID(F114,3,LEN(F114)-2))</f>
        <v/>
      </c>
      <c r="B129" s="3479"/>
      <c r="C129" s="3495"/>
      <c r="D129" s="3546" t="str">
        <f>I114</f>
        <v>——</v>
      </c>
      <c r="E129" s="3546"/>
      <c r="F129" s="3546"/>
      <c r="G129" s="3546"/>
      <c r="H129" s="3546"/>
      <c r="I129" s="3546"/>
      <c r="J129" s="2862"/>
    </row>
    <row r="130" spans="1:10" ht="14.25" thickTop="1" thickBot="1">
      <c r="A130" s="3534" t="s">
        <v>2798</v>
      </c>
      <c r="B130" s="3535"/>
      <c r="C130" s="3535"/>
      <c r="D130" s="3552">
        <f>H116</f>
        <v>0</v>
      </c>
      <c r="E130" s="3553"/>
      <c r="F130" s="3553"/>
      <c r="G130" s="3553"/>
      <c r="H130" s="3553"/>
      <c r="I130" s="3554"/>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539" t="str">
        <f>IF(B32="总价","（以上估价结果中楼面单价为总价除以建筑面积得出）","（以上估价结果中总价为楼面单价乘以建筑面积得出）")</f>
        <v>（以上估价结果中总价为楼面单价乘以建筑面积得出）</v>
      </c>
      <c r="B132" s="3539"/>
      <c r="C132" s="3539"/>
      <c r="D132" s="3539"/>
      <c r="E132" s="3539"/>
      <c r="F132" s="3539"/>
      <c r="G132" s="3539"/>
      <c r="H132" s="3539"/>
      <c r="I132" s="3539"/>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561" t="s">
        <v>1882</v>
      </c>
      <c r="B2" s="3561"/>
      <c r="C2" s="3561"/>
      <c r="D2" s="3561"/>
      <c r="E2" s="3561"/>
      <c r="F2" s="3561"/>
      <c r="G2" s="3561"/>
      <c r="H2" s="3561"/>
      <c r="I2" s="3561"/>
      <c r="J2" s="2875"/>
    </row>
    <row r="3" spans="1:15" ht="12.75">
      <c r="A3" s="3521" t="s">
        <v>1710</v>
      </c>
      <c r="B3" s="3522"/>
      <c r="C3" s="3522"/>
      <c r="D3" s="3522"/>
      <c r="E3" s="3522"/>
      <c r="F3" s="3522"/>
      <c r="G3" s="3522"/>
      <c r="H3" s="3522"/>
      <c r="I3" s="3522"/>
      <c r="J3" s="2845"/>
    </row>
    <row r="4" spans="1:15" ht="14.25">
      <c r="A4" s="2713" t="s">
        <v>1711</v>
      </c>
      <c r="B4" s="2713" t="s">
        <v>1712</v>
      </c>
      <c r="C4" s="2714"/>
      <c r="D4" s="2714"/>
      <c r="E4" s="3518" t="s">
        <v>1883</v>
      </c>
      <c r="F4" s="3506"/>
      <c r="G4" s="3506"/>
      <c r="H4" s="3506"/>
      <c r="I4" s="3507"/>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517" t="s">
        <v>1714</v>
      </c>
      <c r="B5" s="3517">
        <v>25</v>
      </c>
      <c r="C5" s="3523"/>
      <c r="D5" s="3520"/>
      <c r="E5" s="12" t="s">
        <v>1715</v>
      </c>
      <c r="F5" s="2089"/>
      <c r="G5" s="2089"/>
      <c r="H5" s="2089"/>
      <c r="I5" s="2084"/>
      <c r="J5" s="2846"/>
    </row>
    <row r="6" spans="1:15" ht="12.75">
      <c r="A6" s="3517"/>
      <c r="B6" s="3517"/>
      <c r="C6" s="3524"/>
      <c r="D6" s="3520"/>
      <c r="E6" s="12" t="s">
        <v>1716</v>
      </c>
      <c r="F6" s="2089"/>
      <c r="G6" s="2089"/>
      <c r="H6" s="2089"/>
      <c r="I6" s="2084"/>
      <c r="J6" s="2846"/>
    </row>
    <row r="7" spans="1:15" ht="12.75">
      <c r="A7" s="3517"/>
      <c r="B7" s="3517"/>
      <c r="C7" s="3525"/>
      <c r="D7" s="3520"/>
      <c r="E7" s="12" t="s">
        <v>1717</v>
      </c>
      <c r="F7" s="2089"/>
      <c r="G7" s="2089"/>
      <c r="H7" s="2089"/>
      <c r="I7" s="2084"/>
      <c r="J7" s="2846"/>
    </row>
    <row r="8" spans="1:15" ht="12.75">
      <c r="A8" s="3517" t="s">
        <v>1718</v>
      </c>
      <c r="B8" s="3517">
        <v>15</v>
      </c>
      <c r="C8" s="3523"/>
      <c r="D8" s="3520"/>
      <c r="E8" s="12" t="s">
        <v>1719</v>
      </c>
      <c r="F8" s="2089"/>
      <c r="G8" s="2089"/>
      <c r="H8" s="2089"/>
      <c r="I8" s="2084"/>
      <c r="J8" s="2846"/>
    </row>
    <row r="9" spans="1:15" ht="12.75">
      <c r="A9" s="3517"/>
      <c r="B9" s="3517"/>
      <c r="C9" s="3525"/>
      <c r="D9" s="3520"/>
      <c r="E9" s="12" t="s">
        <v>1720</v>
      </c>
      <c r="F9" s="2089"/>
      <c r="G9" s="2089"/>
      <c r="H9" s="2089"/>
      <c r="I9" s="2084"/>
      <c r="J9" s="2846"/>
    </row>
    <row r="10" spans="1:15" ht="12.75">
      <c r="A10" s="3517" t="s">
        <v>1721</v>
      </c>
      <c r="B10" s="3517">
        <v>15</v>
      </c>
      <c r="C10" s="3523"/>
      <c r="D10" s="3520"/>
      <c r="E10" s="12" t="s">
        <v>1722</v>
      </c>
      <c r="F10" s="2089"/>
      <c r="G10" s="2089"/>
      <c r="H10" s="2089"/>
      <c r="I10" s="2084"/>
      <c r="J10" s="2846"/>
    </row>
    <row r="11" spans="1:15" ht="12.75">
      <c r="A11" s="3517"/>
      <c r="B11" s="3517"/>
      <c r="C11" s="3525"/>
      <c r="D11" s="3520"/>
      <c r="E11" s="12" t="s">
        <v>1723</v>
      </c>
      <c r="F11" s="2089"/>
      <c r="G11" s="2089"/>
      <c r="H11" s="2089"/>
      <c r="I11" s="2084"/>
      <c r="J11" s="2846"/>
    </row>
    <row r="12" spans="1:15" ht="12.75">
      <c r="A12" s="3517" t="s">
        <v>1724</v>
      </c>
      <c r="B12" s="3517">
        <v>15</v>
      </c>
      <c r="C12" s="3523"/>
      <c r="D12" s="3520"/>
      <c r="E12" s="12" t="s">
        <v>1725</v>
      </c>
      <c r="F12" s="2089"/>
      <c r="G12" s="2089"/>
      <c r="H12" s="2089"/>
      <c r="I12" s="2084"/>
      <c r="J12" s="2846"/>
    </row>
    <row r="13" spans="1:15" ht="12.75">
      <c r="A13" s="3517"/>
      <c r="B13" s="3517"/>
      <c r="C13" s="3525"/>
      <c r="D13" s="3520"/>
      <c r="E13" s="12" t="s">
        <v>1726</v>
      </c>
      <c r="F13" s="2089"/>
      <c r="G13" s="2089"/>
      <c r="H13" s="2089"/>
      <c r="I13" s="2084"/>
      <c r="J13" s="2846"/>
    </row>
    <row r="14" spans="1:15" ht="12.75">
      <c r="A14" s="3517" t="s">
        <v>1727</v>
      </c>
      <c r="B14" s="3517">
        <v>30</v>
      </c>
      <c r="C14" s="3523"/>
      <c r="D14" s="3520"/>
      <c r="E14" s="12" t="s">
        <v>1728</v>
      </c>
      <c r="F14" s="2089"/>
      <c r="G14" s="2089"/>
      <c r="H14" s="2089"/>
      <c r="I14" s="2084"/>
      <c r="J14" s="2846"/>
    </row>
    <row r="15" spans="1:15" ht="12.75">
      <c r="A15" s="3517"/>
      <c r="B15" s="3517"/>
      <c r="C15" s="3524"/>
      <c r="D15" s="3520"/>
      <c r="E15" s="12" t="s">
        <v>1729</v>
      </c>
      <c r="F15" s="2089"/>
      <c r="G15" s="2089"/>
      <c r="H15" s="2089"/>
      <c r="I15" s="2084"/>
      <c r="J15" s="2846"/>
    </row>
    <row r="16" spans="1:15" ht="12.75">
      <c r="A16" s="3517"/>
      <c r="B16" s="3517"/>
      <c r="C16" s="3525"/>
      <c r="D16" s="3520"/>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537" t="s">
        <v>2817</v>
      </c>
      <c r="F18" s="3538"/>
      <c r="G18" s="3538"/>
      <c r="H18" s="3538"/>
      <c r="I18" s="3538"/>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526" t="s">
        <v>1739</v>
      </c>
      <c r="B24" s="2721" t="s">
        <v>1734</v>
      </c>
      <c r="C24" s="2724">
        <f>D30</f>
        <v>0</v>
      </c>
      <c r="D24" s="2676"/>
      <c r="E24" s="947"/>
      <c r="F24" s="947"/>
      <c r="G24" s="947"/>
      <c r="H24" s="947"/>
      <c r="I24" s="947"/>
      <c r="J24" s="2847"/>
    </row>
    <row r="25" spans="1:36" ht="21.75" customHeight="1">
      <c r="A25" s="3527"/>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583" t="s">
        <v>1886</v>
      </c>
      <c r="B32" s="3583"/>
      <c r="C32" s="3583"/>
      <c r="D32" s="3583"/>
      <c r="E32" s="3583"/>
      <c r="F32" s="3583"/>
      <c r="G32" s="3583"/>
      <c r="H32" s="3583"/>
      <c r="I32" s="3583"/>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526" t="s">
        <v>1895</v>
      </c>
      <c r="B38" s="1468" t="s">
        <v>1896</v>
      </c>
      <c r="C38" s="2757"/>
      <c r="D38" s="2758"/>
      <c r="E38" s="1680"/>
      <c r="F38" s="1680"/>
      <c r="G38" s="947"/>
      <c r="H38" s="947"/>
      <c r="I38" s="947"/>
      <c r="J38" s="2847"/>
    </row>
    <row r="39" spans="1:16" ht="15.75" thickBot="1">
      <c r="A39" s="3531"/>
      <c r="B39" s="2094" t="s">
        <v>1897</v>
      </c>
      <c r="C39" s="2759"/>
      <c r="D39" s="1311"/>
      <c r="E39" s="1311"/>
      <c r="F39" s="1680"/>
      <c r="G39" s="1311"/>
      <c r="H39" s="1311"/>
      <c r="I39" s="1311"/>
      <c r="J39" s="2851"/>
    </row>
    <row r="40" spans="1:16" ht="15.75" thickBot="1">
      <c r="A40" s="3532"/>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451" t="s">
        <v>1908</v>
      </c>
      <c r="B47" s="3452"/>
      <c r="C47" s="3462"/>
      <c r="D47" s="246">
        <f>ROUND(I104*F47,0)</f>
        <v>0</v>
      </c>
      <c r="E47" s="1542" t="s">
        <v>1909</v>
      </c>
      <c r="F47" s="2561">
        <v>1</v>
      </c>
      <c r="G47" s="2562" t="s">
        <v>1910</v>
      </c>
      <c r="H47" s="947"/>
      <c r="I47" s="947"/>
      <c r="J47" s="2847"/>
      <c r="K47" s="3556" t="s">
        <v>1766</v>
      </c>
      <c r="L47" s="3556"/>
      <c r="M47" s="3556"/>
      <c r="N47" s="3556"/>
      <c r="O47" s="3556"/>
      <c r="P47" s="3556"/>
    </row>
    <row r="48" spans="1:16" ht="14.25" customHeight="1">
      <c r="A48" s="3528" t="s">
        <v>1767</v>
      </c>
      <c r="B48" s="3529"/>
      <c r="C48" s="3529"/>
      <c r="D48" s="3529"/>
      <c r="E48" s="3529"/>
      <c r="F48" s="3529"/>
      <c r="G48" s="3530"/>
      <c r="H48" s="2979"/>
      <c r="I48" s="947"/>
      <c r="J48" s="2847"/>
      <c r="K48" s="2513">
        <v>1</v>
      </c>
      <c r="L48" s="3557" t="s">
        <v>1768</v>
      </c>
      <c r="M48" s="3557"/>
      <c r="N48" s="3558"/>
      <c r="O48" s="3558"/>
      <c r="P48" s="3558"/>
    </row>
    <row r="49" spans="1:17" ht="12" customHeight="1">
      <c r="A49" s="38" t="s">
        <v>1769</v>
      </c>
      <c r="B49" s="39"/>
      <c r="C49" s="40"/>
      <c r="D49" s="1099" t="s">
        <v>1770</v>
      </c>
      <c r="E49" s="235" t="s">
        <v>1771</v>
      </c>
      <c r="F49" s="41" t="s">
        <v>1772</v>
      </c>
      <c r="G49" s="2564" t="s">
        <v>1773</v>
      </c>
      <c r="H49" s="2979"/>
      <c r="I49" s="947"/>
      <c r="J49" s="2847"/>
      <c r="K49" s="2513">
        <v>2</v>
      </c>
      <c r="L49" s="3557" t="s">
        <v>1774</v>
      </c>
      <c r="M49" s="3557"/>
      <c r="N49" s="3560">
        <f>'数据-取费表'!B2</f>
        <v>40065</v>
      </c>
      <c r="O49" s="3560"/>
      <c r="P49" s="3560"/>
    </row>
    <row r="50" spans="1:17" ht="25.5">
      <c r="A50" s="3533" t="s">
        <v>1775</v>
      </c>
      <c r="B50" s="3467"/>
      <c r="C50" s="3467"/>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557" t="s">
        <v>1778</v>
      </c>
      <c r="M50" s="3557"/>
      <c r="N50" s="3562">
        <f>I104</f>
        <v>0</v>
      </c>
      <c r="O50" s="3562"/>
      <c r="P50" s="3562"/>
    </row>
    <row r="51" spans="1:17" ht="25.5" customHeight="1">
      <c r="A51" s="2091" t="s">
        <v>1779</v>
      </c>
      <c r="B51" s="3506" t="s">
        <v>1780</v>
      </c>
      <c r="C51" s="3506"/>
      <c r="D51" s="2568">
        <v>0</v>
      </c>
      <c r="E51" s="261" t="s">
        <v>1781</v>
      </c>
      <c r="F51" s="2569" t="s">
        <v>48</v>
      </c>
      <c r="G51" s="3448"/>
      <c r="H51" s="2570" t="s">
        <v>2741</v>
      </c>
      <c r="I51" s="2571"/>
      <c r="J51" s="2855"/>
      <c r="K51" s="2513">
        <v>4</v>
      </c>
      <c r="L51" s="3557" t="str">
        <f>IF(项目基本情况!F5="房地产抵押价值","房地产抵押价值","抵押担保权已注销时的房地产抵押价值")</f>
        <v>抵押担保权已注销时的房地产抵押价值</v>
      </c>
      <c r="M51" s="3557"/>
      <c r="N51" s="3562" t="str">
        <f>IF(项目基本情况!F5="房地产抵押价值",I112,I114)</f>
        <v>——</v>
      </c>
      <c r="O51" s="3562"/>
      <c r="P51" s="3562"/>
    </row>
    <row r="52" spans="1:17" ht="25.5" customHeight="1">
      <c r="A52" s="2081"/>
      <c r="B52" s="3506" t="s">
        <v>1782</v>
      </c>
      <c r="C52" s="3506"/>
      <c r="D52" s="2572"/>
      <c r="E52" s="269"/>
      <c r="F52" s="2569"/>
      <c r="G52" s="3449"/>
      <c r="H52" s="2573" t="s">
        <v>2742</v>
      </c>
      <c r="I52" s="2571"/>
      <c r="J52" s="2855"/>
      <c r="K52" s="3557" t="s">
        <v>1783</v>
      </c>
      <c r="L52" s="3557"/>
      <c r="M52" s="3557"/>
      <c r="N52" s="3557"/>
      <c r="O52" s="3557"/>
      <c r="P52" s="3557"/>
    </row>
    <row r="53" spans="1:17" ht="20.45" customHeight="1">
      <c r="A53" s="2574"/>
      <c r="B53" s="3506" t="s">
        <v>1784</v>
      </c>
      <c r="C53" s="3506"/>
      <c r="D53" s="1099"/>
      <c r="E53" s="264"/>
      <c r="F53" s="2569"/>
      <c r="G53" s="3450"/>
      <c r="H53" s="2573" t="s">
        <v>2743</v>
      </c>
      <c r="I53" s="2571"/>
      <c r="J53" s="2855"/>
      <c r="K53" s="2514" t="s">
        <v>1785</v>
      </c>
      <c r="L53" s="3557" t="s">
        <v>1786</v>
      </c>
      <c r="M53" s="3557"/>
      <c r="N53" s="2514" t="s">
        <v>1787</v>
      </c>
      <c r="O53" s="2514" t="s">
        <v>1788</v>
      </c>
      <c r="P53" s="2514" t="s">
        <v>1789</v>
      </c>
    </row>
    <row r="54" spans="1:17" ht="24" customHeight="1">
      <c r="A54" s="2082" t="s">
        <v>1790</v>
      </c>
      <c r="B54" s="3506" t="s">
        <v>1791</v>
      </c>
      <c r="C54" s="3506"/>
      <c r="D54" s="1099">
        <f>ROUND(D47*'数据-取费表'!E29/(1+'数据-取费表'!F30),0)</f>
        <v>0</v>
      </c>
      <c r="E54" s="2092" t="s">
        <v>1792</v>
      </c>
      <c r="F54" s="2575">
        <f>'数据-取费表'!E29</f>
        <v>5.6000000000000001E-2</v>
      </c>
      <c r="G54" s="2576"/>
      <c r="H54" s="947"/>
      <c r="I54" s="2980"/>
      <c r="J54" s="2855"/>
      <c r="K54" s="2513">
        <v>1</v>
      </c>
      <c r="L54" s="3559" t="s">
        <v>1793</v>
      </c>
      <c r="M54" s="3559"/>
      <c r="N54" s="2515">
        <f>D50</f>
        <v>0</v>
      </c>
      <c r="O54" s="2513" t="str">
        <f>E50</f>
        <v>销售额×税（费）率</v>
      </c>
      <c r="P54" s="2516">
        <f>F50</f>
        <v>5.6000000000000001E-2</v>
      </c>
    </row>
    <row r="55" spans="1:17" ht="12" customHeight="1">
      <c r="A55" s="2082" t="s">
        <v>1794</v>
      </c>
      <c r="B55" s="3518" t="s">
        <v>2835</v>
      </c>
      <c r="C55" s="3507"/>
      <c r="D55" s="1099">
        <f>ROUND(D47*'数据-取费表'!E29/(1+'数据-取费表'!F30),0)</f>
        <v>0</v>
      </c>
      <c r="E55" s="2092" t="s">
        <v>1792</v>
      </c>
      <c r="F55" s="2575">
        <f>'数据-取费表'!E29</f>
        <v>5.6000000000000001E-2</v>
      </c>
      <c r="G55" s="2576"/>
      <c r="H55" s="947"/>
      <c r="I55" s="2980"/>
      <c r="J55" s="2855"/>
      <c r="K55" s="2513">
        <v>2</v>
      </c>
      <c r="L55" s="3559" t="s">
        <v>1795</v>
      </c>
      <c r="M55" s="3559"/>
      <c r="N55" s="2515">
        <f t="shared" ref="N55:P56" si="1">D57</f>
        <v>0</v>
      </c>
      <c r="O55" s="2513" t="str">
        <f t="shared" si="1"/>
        <v>销售额×税（费）率</v>
      </c>
      <c r="P55" s="2516">
        <f t="shared" si="1"/>
        <v>5.0000000000000001E-4</v>
      </c>
    </row>
    <row r="56" spans="1:17" ht="12" customHeight="1">
      <c r="A56" s="2082" t="s">
        <v>1796</v>
      </c>
      <c r="B56" s="3518" t="s">
        <v>2836</v>
      </c>
      <c r="C56" s="3507"/>
      <c r="D56" s="1099">
        <f>C70</f>
        <v>0</v>
      </c>
      <c r="E56" s="264" t="s">
        <v>1797</v>
      </c>
      <c r="F56" s="2575">
        <f>'数据-取费表'!E29</f>
        <v>5.6000000000000001E-2</v>
      </c>
      <c r="G56" s="2576"/>
      <c r="H56" s="2981"/>
      <c r="I56" s="2980"/>
      <c r="J56" s="2855"/>
      <c r="K56" s="2513">
        <v>3</v>
      </c>
      <c r="L56" s="3559" t="s">
        <v>1798</v>
      </c>
      <c r="M56" s="3559"/>
      <c r="N56" s="2515">
        <f t="shared" si="1"/>
        <v>0</v>
      </c>
      <c r="O56" s="2513" t="str">
        <f t="shared" si="1"/>
        <v>增值额×税（费）率</v>
      </c>
      <c r="P56" s="2517" t="str">
        <f t="shared" si="1"/>
        <v>——</v>
      </c>
    </row>
    <row r="57" spans="1:17" ht="24" customHeight="1">
      <c r="A57" s="3471" t="s">
        <v>1799</v>
      </c>
      <c r="B57" s="3467"/>
      <c r="C57" s="3467"/>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559" t="str">
        <f>IF(H61="非个人房产","——","个人所得税")</f>
        <v>个人所得税</v>
      </c>
      <c r="M57" s="3559"/>
      <c r="N57" s="2518">
        <f>D61</f>
        <v>0</v>
      </c>
      <c r="O57" s="2519" t="str">
        <f>E61</f>
        <v>销售额×税（费）率</v>
      </c>
      <c r="P57" s="2520">
        <f>F61</f>
        <v>0.01</v>
      </c>
    </row>
    <row r="58" spans="1:17" ht="24.75">
      <c r="A58" s="3471" t="s">
        <v>1802</v>
      </c>
      <c r="B58" s="3467"/>
      <c r="C58" s="3467"/>
      <c r="D58" s="12">
        <f>IF(H58="个人住宅",D59,D60)</f>
        <v>0</v>
      </c>
      <c r="E58" s="2092" t="s">
        <v>1803</v>
      </c>
      <c r="F58" s="2575" t="str">
        <f>IF(H58="正常",F60,"免征")</f>
        <v>——</v>
      </c>
      <c r="G58" s="2577" t="s">
        <v>1804</v>
      </c>
      <c r="H58" s="2578" t="s">
        <v>1801</v>
      </c>
      <c r="I58" s="2982"/>
      <c r="J58" s="2855"/>
      <c r="K58" s="2513" t="str">
        <f>IF(项目基本情况!I6="上海银行",IF(K57="",4,K57+1),"")</f>
        <v/>
      </c>
      <c r="L58" s="3563" t="str">
        <f>IF(项目基本情况!I6="上海银行","其他处置费用","")</f>
        <v/>
      </c>
      <c r="M58" s="3568"/>
      <c r="N58" s="2515" t="str">
        <f>IF(项目基本情况!I6="上海银行",N71,"")</f>
        <v/>
      </c>
      <c r="O58" s="3563" t="str">
        <f>IF(项目基本情况!I6="上海银行","包含处置中涉及的律师、诉讼、拍卖、评估等费用","")</f>
        <v/>
      </c>
      <c r="P58" s="3564"/>
    </row>
    <row r="59" spans="1:17" ht="12.75">
      <c r="A59" s="2082" t="s">
        <v>1779</v>
      </c>
      <c r="B59" s="3518" t="s">
        <v>1805</v>
      </c>
      <c r="C59" s="3507"/>
      <c r="D59" s="2568">
        <v>0</v>
      </c>
      <c r="E59" s="261" t="s">
        <v>1781</v>
      </c>
      <c r="F59" s="235"/>
      <c r="G59" s="2576"/>
      <c r="H59" s="2982"/>
      <c r="I59" s="2982"/>
      <c r="J59" s="2855"/>
      <c r="K59" s="3559">
        <f>IF(AND(K57="",K58=""),4,IF(项目基本情况!I6="上海银行",K58+1,K57+1))</f>
        <v>5</v>
      </c>
      <c r="L59" s="3559" t="s">
        <v>1806</v>
      </c>
      <c r="M59" s="2521" t="s">
        <v>1807</v>
      </c>
      <c r="N59" s="2522"/>
      <c r="O59" s="2523">
        <f>SUMIF(N54:N58,"&lt;9e307")</f>
        <v>0</v>
      </c>
      <c r="P59" s="2524"/>
      <c r="Q59" s="1306" t="e">
        <f>O59/N51</f>
        <v>#VALUE!</v>
      </c>
    </row>
    <row r="60" spans="1:17" ht="24.75">
      <c r="A60" s="2082" t="s">
        <v>1790</v>
      </c>
      <c r="B60" s="3518" t="s">
        <v>1808</v>
      </c>
      <c r="C60" s="3506"/>
      <c r="D60" s="12">
        <f>IF(H60="转让取得",C83,C99)</f>
        <v>0</v>
      </c>
      <c r="E60" s="2092" t="s">
        <v>1803</v>
      </c>
      <c r="F60" s="235" t="s">
        <v>48</v>
      </c>
      <c r="G60" s="2576"/>
      <c r="H60" s="2578" t="s">
        <v>1809</v>
      </c>
      <c r="I60" s="2982"/>
      <c r="J60" s="2855"/>
      <c r="K60" s="3559"/>
      <c r="L60" s="3559"/>
      <c r="M60" s="2521" t="s">
        <v>1810</v>
      </c>
      <c r="N60" s="2525"/>
      <c r="O60" s="2526" t="str">
        <f>IF(H19="元",NUMBERSTRING(INT(O59),2)&amp;"元整",NUMBERSTRING(INT(O59*10000),2)&amp;"元整")</f>
        <v>零元整</v>
      </c>
      <c r="P60" s="2527"/>
    </row>
    <row r="61" spans="1:17" ht="26.25" thickBot="1">
      <c r="A61" s="3534" t="s">
        <v>1811</v>
      </c>
      <c r="B61" s="3535"/>
      <c r="C61" s="3535"/>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565">
        <f>K59+1</f>
        <v>6</v>
      </c>
      <c r="L61" s="3559" t="s">
        <v>1812</v>
      </c>
      <c r="M61" s="2513" t="s">
        <v>1807</v>
      </c>
      <c r="N61" s="2528"/>
      <c r="O61" s="2529" t="e">
        <f>N51-O59</f>
        <v>#VALUE!</v>
      </c>
      <c r="P61" s="2530"/>
    </row>
    <row r="62" spans="1:17" ht="12" customHeight="1">
      <c r="A62" s="1457"/>
      <c r="B62" s="2563"/>
      <c r="C62" s="2563"/>
      <c r="D62" s="2563"/>
      <c r="E62" s="1457"/>
      <c r="F62" s="2982"/>
      <c r="G62" s="2982"/>
      <c r="H62" s="2977"/>
      <c r="I62" s="947"/>
      <c r="J62" s="2855"/>
      <c r="K62" s="3566"/>
      <c r="L62" s="3559"/>
      <c r="M62" s="2521" t="s">
        <v>1810</v>
      </c>
      <c r="N62" s="2525"/>
      <c r="O62" s="2526" t="e">
        <f>IF(H19="元",NUMBERSTRING(INT(O61),2)&amp;"元整",NUMBERSTRING(INT(O61*10000),2)&amp;"元整")</f>
        <v>#VALUE!</v>
      </c>
      <c r="P62" s="2527"/>
    </row>
    <row r="63" spans="1:17" ht="13.5" thickBot="1">
      <c r="A63" s="3567" t="s">
        <v>1813</v>
      </c>
      <c r="B63" s="3567"/>
      <c r="C63" s="3567"/>
      <c r="D63" s="3567"/>
      <c r="E63" s="3567"/>
      <c r="F63" s="2982"/>
      <c r="G63" s="2982"/>
      <c r="H63" s="2977"/>
      <c r="I63" s="947"/>
      <c r="J63" s="2847"/>
      <c r="K63" s="2513">
        <f>K61+1</f>
        <v>7</v>
      </c>
      <c r="L63" s="3559" t="s">
        <v>1814</v>
      </c>
      <c r="M63" s="3559"/>
      <c r="N63" s="2531"/>
      <c r="O63" s="2532" t="e">
        <f>IF(H19="元",ROUND(O61/项目基本情况!C12,0),ROUND(O61*10000/项目基本情况!C12,0))</f>
        <v>#VALUE!</v>
      </c>
      <c r="P63" s="2533"/>
    </row>
    <row r="64" spans="1:17" ht="12.75">
      <c r="A64" s="3485" t="s">
        <v>1815</v>
      </c>
      <c r="B64" s="3486"/>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555"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555"/>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555"/>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555"/>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555"/>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555"/>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555"/>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572" t="s">
        <v>1835</v>
      </c>
      <c r="B72" s="3573"/>
      <c r="C72" s="3573"/>
      <c r="D72" s="3573"/>
      <c r="E72" s="3573"/>
      <c r="F72" s="3573"/>
      <c r="G72" s="3573"/>
      <c r="H72" s="3573"/>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485" t="s">
        <v>1815</v>
      </c>
      <c r="B73" s="3486"/>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518" t="s">
        <v>1845</v>
      </c>
      <c r="F78" s="3506"/>
      <c r="G78" s="3506"/>
      <c r="H78" s="3519"/>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454" t="s">
        <v>1850</v>
      </c>
      <c r="F80" s="3455"/>
      <c r="G80" s="3455"/>
      <c r="H80" s="3475"/>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572" t="s">
        <v>1854</v>
      </c>
      <c r="B85" s="3573"/>
      <c r="C85" s="3573"/>
      <c r="D85" s="3573"/>
      <c r="E85" s="3573"/>
      <c r="F85" s="3573"/>
      <c r="G85" s="3573"/>
      <c r="H85" s="3573"/>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485" t="s">
        <v>1815</v>
      </c>
      <c r="B86" s="3486"/>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494" t="s">
        <v>2735</v>
      </c>
      <c r="H92" s="3574"/>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454" t="s">
        <v>1862</v>
      </c>
      <c r="F93" s="3455"/>
      <c r="G93" s="3455"/>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454" t="s">
        <v>1865</v>
      </c>
      <c r="F94" s="3455"/>
      <c r="G94" s="3455"/>
      <c r="H94" s="3475"/>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454" t="s">
        <v>1850</v>
      </c>
      <c r="F95" s="3455"/>
      <c r="G95" s="3455"/>
      <c r="H95" s="3475"/>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454" t="s">
        <v>1867</v>
      </c>
      <c r="F96" s="3455"/>
      <c r="G96" s="3455"/>
      <c r="H96" s="3475"/>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472" t="s">
        <v>1869</v>
      </c>
      <c r="B101" s="3473"/>
      <c r="C101" s="3473"/>
      <c r="D101" s="3474"/>
      <c r="E101" s="1461"/>
      <c r="F101" s="3569" t="s">
        <v>2777</v>
      </c>
      <c r="G101" s="3570"/>
      <c r="H101" s="3570"/>
      <c r="I101" s="3571"/>
      <c r="J101" s="2882"/>
    </row>
    <row r="102" spans="1:36" ht="15">
      <c r="A102" s="3489" t="s">
        <v>1871</v>
      </c>
      <c r="B102" s="3490"/>
      <c r="C102" s="2805">
        <f>C4</f>
        <v>0</v>
      </c>
      <c r="D102" s="2806">
        <f>D4</f>
        <v>0</v>
      </c>
      <c r="E102" s="1461"/>
      <c r="F102" s="3491" t="s">
        <v>2778</v>
      </c>
      <c r="G102" s="3493"/>
      <c r="H102" s="3504" t="s">
        <v>2779</v>
      </c>
      <c r="I102" s="3492"/>
      <c r="J102" s="2862"/>
    </row>
    <row r="103" spans="1:36" ht="12.75">
      <c r="A103" s="3575" t="s">
        <v>2773</v>
      </c>
      <c r="B103" s="2307" t="str">
        <f>IF(H19="元","总价（元）","总价（万元）")</f>
        <v>总价（元）</v>
      </c>
      <c r="C103" s="1307" t="e">
        <f ca="1">C19</f>
        <v>#REF!</v>
      </c>
      <c r="D103" s="2809" t="e">
        <f ca="1">D19</f>
        <v>#REF!</v>
      </c>
      <c r="E103" s="1461"/>
      <c r="F103" s="3576"/>
      <c r="G103" s="3577"/>
      <c r="H103" s="3495">
        <f>典型户型修正!B25</f>
        <v>0</v>
      </c>
      <c r="I103" s="3492"/>
      <c r="J103" s="2862"/>
    </row>
    <row r="104" spans="1:36" ht="12.75">
      <c r="A104" s="3575"/>
      <c r="B104" s="2307" t="s">
        <v>2774</v>
      </c>
      <c r="C104" s="2810" t="e">
        <f ca="1">C20</f>
        <v>#REF!</v>
      </c>
      <c r="D104" s="2811" t="e">
        <f ca="1">D20</f>
        <v>#REF!</v>
      </c>
      <c r="E104" s="1461"/>
      <c r="F104" s="3478" t="s">
        <v>2780</v>
      </c>
      <c r="G104" s="3479"/>
      <c r="H104" s="2819" t="str">
        <f>C110</f>
        <v>总价（元）</v>
      </c>
      <c r="I104" s="2820">
        <f>H125</f>
        <v>0</v>
      </c>
      <c r="J104" s="2862"/>
    </row>
    <row r="105" spans="1:36" ht="12.75">
      <c r="A105" s="3575" t="s">
        <v>2775</v>
      </c>
      <c r="B105" s="2245" t="str">
        <f>B103</f>
        <v>总价（元）</v>
      </c>
      <c r="C105" s="12" t="e">
        <f ca="1">ROUND(IF('数据-取费表'!B4="总价",G19,IF(H19="元",G20*'数据-取费表'!E5,G20*'数据-取费表'!E5/10000)),0)</f>
        <v>#REF!</v>
      </c>
      <c r="D105" s="2812"/>
      <c r="E105" s="1461"/>
      <c r="F105" s="3478"/>
      <c r="G105" s="3479"/>
      <c r="H105" s="2819" t="s">
        <v>2781</v>
      </c>
      <c r="I105" s="52" t="e">
        <f>I125</f>
        <v>#DIV/0!</v>
      </c>
      <c r="J105" s="2846"/>
    </row>
    <row r="106" spans="1:36" ht="12.75">
      <c r="A106" s="3575"/>
      <c r="B106" s="2307" t="s">
        <v>2774</v>
      </c>
      <c r="C106" s="1481" t="e">
        <f ca="1">ROUND(IF('数据-取费表'!B4="楼面单价",G20,IF(H19="元",G19/'数据-取费表'!E5,G19*10000/'数据-取费表'!E5)),0)</f>
        <v>#REF!</v>
      </c>
      <c r="D106" s="2812"/>
      <c r="E106" s="1461"/>
      <c r="F106" s="3478"/>
      <c r="G106" s="3479"/>
      <c r="H106" s="3510"/>
      <c r="I106" s="3511"/>
      <c r="J106" s="2863"/>
    </row>
    <row r="107" spans="1:36" ht="12.75">
      <c r="A107" s="3582" t="s">
        <v>2776</v>
      </c>
      <c r="B107" s="2813" t="str">
        <f>B103</f>
        <v>总价（元）</v>
      </c>
      <c r="C107" s="2814">
        <f>H125</f>
        <v>0</v>
      </c>
      <c r="D107" s="2815"/>
      <c r="E107" s="1461"/>
      <c r="F107" s="3514" t="s">
        <v>2782</v>
      </c>
      <c r="G107" s="3515"/>
      <c r="H107" s="2821" t="str">
        <f>C112</f>
        <v>总额（元）</v>
      </c>
      <c r="I107" s="2820">
        <f>SUMIF(I108:I110,"&lt;9E307")</f>
        <v>0</v>
      </c>
      <c r="J107" s="2862"/>
    </row>
    <row r="108" spans="1:36" ht="15" thickBot="1">
      <c r="A108" s="3509"/>
      <c r="B108" s="2816" t="s">
        <v>2774</v>
      </c>
      <c r="C108" s="2817" t="e">
        <f>I125</f>
        <v>#DIV/0!</v>
      </c>
      <c r="D108" s="2818"/>
      <c r="E108" s="1461"/>
      <c r="F108" s="3480" t="s">
        <v>2783</v>
      </c>
      <c r="G108" s="3481"/>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578" t="s">
        <v>1872</v>
      </c>
      <c r="B109" s="3579"/>
      <c r="C109" s="3579"/>
      <c r="D109" s="3580"/>
      <c r="E109" s="1461"/>
      <c r="F109" s="3480" t="s">
        <v>2784</v>
      </c>
      <c r="G109" s="3481"/>
      <c r="H109" s="2821" t="str">
        <f>C114</f>
        <v>总额（元）</v>
      </c>
      <c r="I109" s="52">
        <f>C39</f>
        <v>0</v>
      </c>
      <c r="J109" s="2846"/>
    </row>
    <row r="110" spans="1:36" ht="12.75">
      <c r="A110" s="3478" t="s">
        <v>2787</v>
      </c>
      <c r="B110" s="3479"/>
      <c r="C110" s="2819" t="str">
        <f>B103</f>
        <v>总价（元）</v>
      </c>
      <c r="D110" s="2820">
        <f>H125</f>
        <v>0</v>
      </c>
      <c r="E110" s="1461"/>
      <c r="F110" s="3480" t="s">
        <v>2785</v>
      </c>
      <c r="G110" s="3481"/>
      <c r="H110" s="2821" t="str">
        <f>C115</f>
        <v>总额（元）</v>
      </c>
      <c r="I110" s="52">
        <f>C40</f>
        <v>0</v>
      </c>
      <c r="J110" s="2846"/>
    </row>
    <row r="111" spans="1:36" ht="12.75">
      <c r="A111" s="3478"/>
      <c r="B111" s="3479"/>
      <c r="C111" s="2819" t="s">
        <v>2788</v>
      </c>
      <c r="D111" s="52" t="e">
        <f>I125</f>
        <v>#DIV/0!</v>
      </c>
      <c r="E111" s="1461"/>
      <c r="F111" s="3478"/>
      <c r="G111" s="3479"/>
      <c r="H111" s="3512"/>
      <c r="I111" s="3513"/>
      <c r="J111" s="2864"/>
    </row>
    <row r="112" spans="1:36" ht="28.5" customHeight="1">
      <c r="A112" s="3549" t="s">
        <v>2782</v>
      </c>
      <c r="B112" s="3550"/>
      <c r="C112" s="2821" t="str">
        <f>IF(H19="元","总额（元）","总额（万元）")</f>
        <v>总额（元）</v>
      </c>
      <c r="D112" s="2820">
        <f>IF(D38="正常操作",I108+I109+I110,I109+I110)</f>
        <v>0</v>
      </c>
      <c r="E112" s="1461"/>
      <c r="F112" s="3461" t="str">
        <f>IF(项目基本情况!F5="已注销","——","3.房地产抵押价值")</f>
        <v>3.房地产抵押价值</v>
      </c>
      <c r="G112" s="3462"/>
      <c r="H112" s="1481" t="str">
        <f>C116</f>
        <v>总价（元）</v>
      </c>
      <c r="I112" s="2820">
        <f>IF(F112="——","——",I104-I107)</f>
        <v>0</v>
      </c>
      <c r="J112" s="2862"/>
    </row>
    <row r="113" spans="1:27" ht="12.75">
      <c r="A113" s="3480" t="s">
        <v>2789</v>
      </c>
      <c r="B113" s="3481"/>
      <c r="C113" s="2821" t="str">
        <f>C112</f>
        <v>总额（元）</v>
      </c>
      <c r="D113" s="52">
        <f>IF(D38="同一抵押权人同一抵押物续贷",C38&amp;"（未扣减，详见特别提示）",C38)</f>
        <v>0</v>
      </c>
      <c r="E113" s="1461"/>
      <c r="F113" s="3463"/>
      <c r="G113" s="3464"/>
      <c r="H113" s="2819" t="s">
        <v>2781</v>
      </c>
      <c r="I113" s="2823" t="e">
        <f>D117</f>
        <v>#DIV/0!</v>
      </c>
      <c r="J113" s="2865"/>
    </row>
    <row r="114" spans="1:27" ht="12.75">
      <c r="A114" s="3480" t="s">
        <v>2790</v>
      </c>
      <c r="B114" s="3481"/>
      <c r="C114" s="2821" t="str">
        <f>C112</f>
        <v>总额（元）</v>
      </c>
      <c r="D114" s="52">
        <f>C39</f>
        <v>0</v>
      </c>
      <c r="E114" s="1461"/>
      <c r="F114" s="3461" t="str">
        <f>IF(项目基本情况!F5="已注销及未注销","4.抵押担保权已注销时的房地产抵押价值",IF(项目基本情况!F5="已注销","3.抵押担保权已注销时的房地产抵押价值","——"))</f>
        <v>——</v>
      </c>
      <c r="G114" s="3462"/>
      <c r="H114" s="1481" t="str">
        <f>C118</f>
        <v>总价（元）</v>
      </c>
      <c r="I114" s="2820" t="str">
        <f>IF(F114="——","——",I104-I109-I110)</f>
        <v>——</v>
      </c>
      <c r="J114" s="2862"/>
    </row>
    <row r="115" spans="1:27" ht="12.75">
      <c r="A115" s="3480" t="s">
        <v>2791</v>
      </c>
      <c r="B115" s="3481"/>
      <c r="C115" s="2821" t="str">
        <f>C112</f>
        <v>总额（元）</v>
      </c>
      <c r="D115" s="52">
        <f>C40</f>
        <v>0</v>
      </c>
      <c r="E115" s="1461"/>
      <c r="F115" s="3463"/>
      <c r="G115" s="3464"/>
      <c r="H115" s="2819" t="s">
        <v>2781</v>
      </c>
      <c r="I115" s="52" t="str">
        <f>D119</f>
        <v>——</v>
      </c>
      <c r="J115" s="2846"/>
    </row>
    <row r="116" spans="1:27" ht="12.75">
      <c r="A116" s="3478" t="str">
        <f>IF(项目基本情况!F5="已注销","——","3.房地产抵押价值")</f>
        <v>3.房地产抵押价值</v>
      </c>
      <c r="B116" s="3479"/>
      <c r="C116" s="2819" t="str">
        <f>B103</f>
        <v>总价（元）</v>
      </c>
      <c r="D116" s="2820">
        <f>IF(A116="——","——",D110-D112)</f>
        <v>0</v>
      </c>
      <c r="E116" s="1461"/>
      <c r="F116" s="3461" t="str">
        <f>IF(项目基本情况!G5="抵押净值",IF(OR(项目基本情况!F5="已注销",项目基本情况!F5="房地产抵押价值"),"4.抵押净值","5.抵押净值"),"——")</f>
        <v>——</v>
      </c>
      <c r="G116" s="3462"/>
      <c r="H116" s="2819" t="str">
        <f>C120</f>
        <v>总价（元）</v>
      </c>
      <c r="I116" s="2820" t="str">
        <f>IF(F116="——","——",O61)</f>
        <v>——</v>
      </c>
      <c r="J116" s="2862"/>
    </row>
    <row r="117" spans="1:27" ht="13.5" thickBot="1">
      <c r="A117" s="3478"/>
      <c r="B117" s="3479"/>
      <c r="C117" s="2819" t="s">
        <v>2788</v>
      </c>
      <c r="D117" s="52" t="e">
        <f>ROUND(IF(D116=D110,D111,IF(H19="元",D116/B125,D116*10000/B125)),0)</f>
        <v>#DIV/0!</v>
      </c>
      <c r="E117" s="1461"/>
      <c r="F117" s="3541"/>
      <c r="G117" s="3542"/>
      <c r="H117" s="2824" t="s">
        <v>2781</v>
      </c>
      <c r="I117" s="2808" t="str">
        <f>D121</f>
        <v>——</v>
      </c>
      <c r="J117" s="2846"/>
    </row>
    <row r="118" spans="1:27" ht="15.75">
      <c r="A118" s="3478" t="str">
        <f>IF(项目基本情况!F5="已注销及未注销","4.抵押担保权已注销时的房地产抵押价值",IF(项目基本情况!F5="已注销","3.抵押担保权已注销时的房地产抵押价值","——"))</f>
        <v>——</v>
      </c>
      <c r="B118" s="3479"/>
      <c r="C118" s="2819" t="str">
        <f>B103</f>
        <v>总价（元）</v>
      </c>
      <c r="D118" s="2820" t="str">
        <f>IF(A118="——","——",D110-D114-D115)</f>
        <v>——</v>
      </c>
      <c r="E118" s="1461"/>
      <c r="F118" s="3456"/>
      <c r="G118" s="3456"/>
      <c r="H118" s="3497"/>
      <c r="I118" s="3497"/>
      <c r="J118" s="2866"/>
      <c r="O118" s="32"/>
      <c r="P118" s="32"/>
    </row>
    <row r="119" spans="1:27" s="1308" customFormat="1" ht="12.75">
      <c r="A119" s="3478"/>
      <c r="B119" s="3479"/>
      <c r="C119" s="2819" t="s">
        <v>2788</v>
      </c>
      <c r="D119" s="52" t="str">
        <f>IF(A118="——","——",IF(H19="元",ROUND(D118/B125,0),ROUND(D118*10000/B125,0)))</f>
        <v>——</v>
      </c>
      <c r="E119" s="1461"/>
      <c r="F119" s="3581" t="str">
        <f>IF(B33="总价","（以上估价结果中楼面单价为总价除以建筑面积得出）","（以上估价结果中总价为楼面单价乘以建筑面积得出）")</f>
        <v>（以上估价结果中总价为楼面单价乘以建筑面积得出）</v>
      </c>
      <c r="G119" s="3581"/>
      <c r="H119" s="3581"/>
      <c r="I119" s="3581"/>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478" t="str">
        <f>IF(项目基本情况!G5="抵押净值",IF(OR(项目基本情况!F5="已注销",项目基本情况!F5="房地产抵押价值"),"4.抵押净值","5.抵押净值"),"——")</f>
        <v>——</v>
      </c>
      <c r="B120" s="3479"/>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547"/>
      <c r="B121" s="3548"/>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498" t="s">
        <v>1911</v>
      </c>
      <c r="B122" s="3499"/>
      <c r="C122" s="3499"/>
      <c r="D122" s="3499"/>
      <c r="E122" s="3499"/>
      <c r="F122" s="3499"/>
      <c r="G122" s="3499"/>
      <c r="H122" s="3499"/>
      <c r="I122" s="3499"/>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471" t="s">
        <v>2792</v>
      </c>
      <c r="B123" s="3469" t="s">
        <v>2793</v>
      </c>
      <c r="C123" s="3469" t="s">
        <v>2799</v>
      </c>
      <c r="D123" s="3476" t="s">
        <v>2794</v>
      </c>
      <c r="E123" s="3477"/>
      <c r="F123" s="3467" t="s">
        <v>2800</v>
      </c>
      <c r="G123" s="3467"/>
      <c r="H123" s="3467" t="s">
        <v>2795</v>
      </c>
      <c r="I123" s="3468"/>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471"/>
      <c r="B124" s="3470"/>
      <c r="C124" s="3470"/>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471" t="s">
        <v>2798</v>
      </c>
      <c r="B126" s="3467"/>
      <c r="C126" s="3467"/>
      <c r="D126" s="3502" t="str">
        <f>IF(H19="元",NUMBERSTRING(INT(D125),2)&amp;"元整",NUMBERSTRING(INT(D125*10000),2)&amp;"元整")</f>
        <v>零元整</v>
      </c>
      <c r="E126" s="3503"/>
      <c r="F126" s="3502" t="str">
        <f>IF(H19="元",NUMBERSTRING(INT(F125),2)&amp;"元整",NUMBERSTRING(INT(F125*10000),2)&amp;"元整")</f>
        <v>零元整</v>
      </c>
      <c r="G126" s="3503"/>
      <c r="H126" s="3502" t="str">
        <f>IF(H19="元",NUMBERSTRING(INT(H125),2)&amp;"元整",NUMBERSTRING(INT(H125*10000),2)&amp;"元整")</f>
        <v>零元整</v>
      </c>
      <c r="I126" s="3551"/>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491" t="str">
        <f>IF(项目基本情况!D5="房地产市场价值","——",MID(A112,3,LEN(A112)-2))</f>
        <v>估价师所知悉的法定优先受偿款</v>
      </c>
      <c r="B127" s="3504"/>
      <c r="C127" s="3493"/>
      <c r="D127" s="3495">
        <f>I107</f>
        <v>0</v>
      </c>
      <c r="E127" s="3504"/>
      <c r="F127" s="3504"/>
      <c r="G127" s="3504"/>
      <c r="H127" s="3504"/>
      <c r="I127" s="3492"/>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505" t="s">
        <v>2798</v>
      </c>
      <c r="B128" s="3506"/>
      <c r="C128" s="3507"/>
      <c r="D128" s="3543">
        <f>H111</f>
        <v>0</v>
      </c>
      <c r="E128" s="3544"/>
      <c r="F128" s="3544"/>
      <c r="G128" s="3544"/>
      <c r="H128" s="3544"/>
      <c r="I128" s="3545"/>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478" t="str">
        <f>IF(项目基本情况!D5="房地产市场价值","——",MID(A116,3,LEN(A116)-2))</f>
        <v>房地产抵押价值</v>
      </c>
      <c r="B129" s="3479"/>
      <c r="C129" s="3479"/>
      <c r="D129" s="3495">
        <f>I112</f>
        <v>0</v>
      </c>
      <c r="E129" s="3504"/>
      <c r="F129" s="3504"/>
      <c r="G129" s="3504"/>
      <c r="H129" s="3504"/>
      <c r="I129" s="3492"/>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471" t="s">
        <v>2798</v>
      </c>
      <c r="B130" s="3467"/>
      <c r="C130" s="3467"/>
      <c r="D130" s="3543" t="e">
        <f>I113</f>
        <v>#DIV/0!</v>
      </c>
      <c r="E130" s="3544"/>
      <c r="F130" s="3544"/>
      <c r="G130" s="3544"/>
      <c r="H130" s="3544"/>
      <c r="I130" s="3545"/>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478" t="str">
        <f>IF(项目基本情况!D5="房地产市场价值","——",MID(A118,3,LEN(A118)-2))</f>
        <v/>
      </c>
      <c r="B131" s="3479"/>
      <c r="C131" s="3479"/>
      <c r="D131" s="3451" t="str">
        <f>I114</f>
        <v>——</v>
      </c>
      <c r="E131" s="3452"/>
      <c r="F131" s="3452"/>
      <c r="G131" s="3452"/>
      <c r="H131" s="3452"/>
      <c r="I131" s="3453"/>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471" t="s">
        <v>2798</v>
      </c>
      <c r="B132" s="3467"/>
      <c r="C132" s="3518"/>
      <c r="D132" s="3496" t="str">
        <f>I115</f>
        <v>——</v>
      </c>
      <c r="E132" s="3496"/>
      <c r="F132" s="3496"/>
      <c r="G132" s="3496"/>
      <c r="H132" s="3496"/>
      <c r="I132" s="3496"/>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478" t="str">
        <f>IF(项目基本情况!D5="房地产市场价值","——",MID(F116,3,LEN(F116)-2))</f>
        <v/>
      </c>
      <c r="B133" s="3479"/>
      <c r="C133" s="3495"/>
      <c r="D133" s="3546" t="str">
        <f>I116</f>
        <v>——</v>
      </c>
      <c r="E133" s="3546"/>
      <c r="F133" s="3546"/>
      <c r="G133" s="3546"/>
      <c r="H133" s="3546"/>
      <c r="I133" s="3546"/>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534" t="s">
        <v>2798</v>
      </c>
      <c r="B134" s="3535"/>
      <c r="C134" s="3535"/>
      <c r="D134" s="3552">
        <f>H118</f>
        <v>0</v>
      </c>
      <c r="E134" s="3553"/>
      <c r="F134" s="3553"/>
      <c r="G134" s="3553"/>
      <c r="H134" s="3553"/>
      <c r="I134" s="3554"/>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539" t="str">
        <f>IF(B33="总价","（以上估价结果中楼面单价为总价除以建筑面积得出）","（以上估价结果中总价为楼面单价乘以建筑面积得出）")</f>
        <v>（以上估价结果中总价为楼面单价乘以建筑面积得出）</v>
      </c>
      <c r="B136" s="3539"/>
      <c r="C136" s="3539"/>
      <c r="D136" s="3539"/>
      <c r="E136" s="3539"/>
      <c r="F136" s="3539"/>
      <c r="G136" s="3539"/>
      <c r="H136" s="3539"/>
      <c r="I136" s="3539"/>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25"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2311621</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15749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1409411</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'[1]2002基准地价'!$E$18</f>
        <v>1367696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41715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t="str">
        <f>IF(G8="已包含在土地购买价格中","0",'数据-取费表'!E13)</f>
        <v>0</v>
      </c>
      <c r="D8" s="1170"/>
      <c r="E8" s="115"/>
      <c r="F8" s="1169"/>
      <c r="G8" s="1518" t="s">
        <v>2930</v>
      </c>
    </row>
    <row r="9" spans="1:123" s="91" customFormat="1" ht="13.5" customHeight="1">
      <c r="A9" s="993" t="s">
        <v>945</v>
      </c>
      <c r="B9" s="97" t="s">
        <v>1928</v>
      </c>
      <c r="C9" s="1171">
        <f>ROUND(D9*E9,0)</f>
        <v>23485</v>
      </c>
      <c r="D9" s="1172">
        <f>IF('数据-取费表'!B10="住宅",IF(B1="仅计算典型户型",'数据-取费表'!E5,'数据-取费表'!B5),0)</f>
        <v>146.78</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146.78</v>
      </c>
      <c r="E19" s="111">
        <f>'数据-取费表'!E15</f>
        <v>200</v>
      </c>
      <c r="F19" s="112"/>
      <c r="G19" s="1518" t="s">
        <v>2929</v>
      </c>
    </row>
    <row r="20" spans="1:123" s="91" customFormat="1" ht="13.5" customHeight="1">
      <c r="A20" s="120" t="s">
        <v>1941</v>
      </c>
      <c r="B20" s="89" t="s">
        <v>1942</v>
      </c>
      <c r="C20" s="99">
        <f>ROUND((C5+C19)*F20,0)</f>
        <v>14094</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157087</v>
      </c>
      <c r="D22" s="101">
        <f ca="1">C26</f>
        <v>5.0000000000000001E-4</v>
      </c>
      <c r="E22" s="102" t="s">
        <v>1946</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156326</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761</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213526</v>
      </c>
      <c r="D27" s="101">
        <f>C29</f>
        <v>1.5E-3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213526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5.6000000000000001E-2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1925019</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423285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369886</v>
      </c>
      <c r="D34" s="1167"/>
      <c r="E34" s="115"/>
      <c r="F34" s="1178" t="str">
        <f>IF('数据-取费表'!B26=0,"",'数据-取费表'!E20)</f>
        <v/>
      </c>
      <c r="G34" s="95"/>
    </row>
    <row r="35" spans="1:123" ht="13.5" customHeight="1">
      <c r="A35" s="92" t="s">
        <v>1924</v>
      </c>
      <c r="B35" s="93" t="s">
        <v>1973</v>
      </c>
      <c r="C35" s="115">
        <f>ROUND(C34*F35,0)</f>
        <v>7398</v>
      </c>
      <c r="D35" s="115"/>
      <c r="E35" s="115"/>
      <c r="F35" s="1179">
        <f>'数据-取费表'!E21</f>
        <v>0.02</v>
      </c>
      <c r="G35" s="95" t="s">
        <v>1974</v>
      </c>
    </row>
    <row r="36" spans="1:123" ht="24">
      <c r="A36" s="92" t="s">
        <v>1926</v>
      </c>
      <c r="B36" s="93" t="s">
        <v>1975</v>
      </c>
      <c r="C36" s="115">
        <f>ROUND(IF('数据-取费表'!B10="住宅",C34*F36,0),0)</f>
        <v>11097</v>
      </c>
      <c r="D36" s="115"/>
      <c r="E36" s="115"/>
      <c r="F36" s="1179">
        <f>'数据-取费表'!E22</f>
        <v>0.03</v>
      </c>
      <c r="G36" s="123" t="s">
        <v>1976</v>
      </c>
    </row>
    <row r="37" spans="1:123" s="122" customFormat="1" ht="13.5" customHeight="1">
      <c r="A37" s="92" t="s">
        <v>1957</v>
      </c>
      <c r="B37" s="93" t="s">
        <v>1977</v>
      </c>
      <c r="C37" s="115">
        <f>ROUND(E37*D37,0)</f>
        <v>29356</v>
      </c>
      <c r="D37" s="1167">
        <f>IF(B1="仅计算典型户型",'数据-取费表'!E5,'数据-取费表'!B5)</f>
        <v>146.78</v>
      </c>
      <c r="E37" s="115">
        <f>'数据-取费表'!E23</f>
        <v>200</v>
      </c>
      <c r="F37" s="1179"/>
      <c r="G37" s="124" t="s">
        <v>1978</v>
      </c>
    </row>
    <row r="38" spans="1:123" ht="13.5" customHeight="1">
      <c r="A38" s="92" t="s">
        <v>1979</v>
      </c>
      <c r="B38" s="93" t="s">
        <v>1980</v>
      </c>
      <c r="C38" s="115">
        <f>ROUND(C34*F38,0)</f>
        <v>5548</v>
      </c>
      <c r="D38" s="115"/>
      <c r="E38" s="115"/>
      <c r="F38" s="1179">
        <f>'数据-取费表'!E24</f>
        <v>1.4999999999999999E-2</v>
      </c>
      <c r="G38" s="95" t="s">
        <v>1974</v>
      </c>
    </row>
    <row r="39" spans="1:123" s="91" customFormat="1" ht="13.5" customHeight="1">
      <c r="A39" s="120" t="s">
        <v>1939</v>
      </c>
      <c r="B39" s="89" t="s">
        <v>1942</v>
      </c>
      <c r="C39" s="99">
        <f>ROUND(C33*F20,0)</f>
        <v>4233</v>
      </c>
      <c r="D39" s="99"/>
      <c r="E39" s="99"/>
      <c r="F39" s="2888">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8">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23086</v>
      </c>
      <c r="D41" s="101">
        <f ca="1">C44</f>
        <v>5.0000000000000001E-4</v>
      </c>
      <c r="E41" s="102" t="s">
        <v>1982</v>
      </c>
      <c r="F41" s="2888">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22857</v>
      </c>
      <c r="D42" s="104"/>
      <c r="E42" s="104"/>
      <c r="F42" s="105"/>
      <c r="G42" s="3584" t="s">
        <v>1984</v>
      </c>
    </row>
    <row r="43" spans="1:123" ht="13.5" customHeight="1">
      <c r="A43" s="92" t="s">
        <v>1924</v>
      </c>
      <c r="B43" s="93" t="s">
        <v>1953</v>
      </c>
      <c r="C43" s="104">
        <f ca="1">ROUND(IF('数据-取费表'!B24&lt;=1,C39*F22*'数据-取费表'!B23/2,C39*(POWER((1+F22),'数据-取费表'!B23/2)-1)),0)</f>
        <v>229</v>
      </c>
      <c r="D43" s="104"/>
      <c r="E43" s="104"/>
      <c r="F43" s="105"/>
      <c r="G43" s="3585"/>
    </row>
    <row r="44" spans="1:123" ht="13.5" customHeight="1">
      <c r="A44" s="92" t="s">
        <v>1926</v>
      </c>
      <c r="B44" s="93" t="s">
        <v>1955</v>
      </c>
      <c r="C44" s="104">
        <f ca="1">ROUND(IF('数据-取费表'!B24&lt;=1,C40*F22*'数据-取费表'!B23/2,C40*(POWER((1+F22),'数据-取费表'!B23/2)-1)),4)</f>
        <v>5.0000000000000001E-4</v>
      </c>
      <c r="D44" s="104"/>
      <c r="E44" s="104"/>
      <c r="F44" s="105"/>
      <c r="G44" s="3586"/>
    </row>
    <row r="45" spans="1:123" s="91" customFormat="1" ht="13.5" customHeight="1">
      <c r="A45" s="120" t="s">
        <v>1948</v>
      </c>
      <c r="B45" s="110" t="s">
        <v>1960</v>
      </c>
      <c r="C45" s="111">
        <f>C46</f>
        <v>64128</v>
      </c>
      <c r="D45" s="101">
        <f>C47</f>
        <v>1.5E-3</v>
      </c>
      <c r="E45" s="102" t="s">
        <v>1982</v>
      </c>
      <c r="F45" s="2889">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64128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5.6000000000000001E-2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552288</v>
      </c>
      <c r="D49" s="99"/>
      <c r="E49" s="99"/>
      <c r="F49" s="126"/>
      <c r="G49" s="100" t="s">
        <v>1992</v>
      </c>
    </row>
    <row r="50" spans="1:123" s="122" customFormat="1" ht="24">
      <c r="A50" s="994" t="s">
        <v>1993</v>
      </c>
      <c r="B50" s="89" t="s">
        <v>1994</v>
      </c>
      <c r="C50" s="99"/>
      <c r="D50" s="99"/>
      <c r="E50" s="99"/>
      <c r="F50" s="126">
        <f>IF('数据-取费表'!B26=0,'数据-取费表'!E20,1)</f>
        <v>0.7</v>
      </c>
      <c r="G50" s="113" t="s">
        <v>1995</v>
      </c>
    </row>
    <row r="51" spans="1:123" ht="16.5" customHeight="1">
      <c r="A51" s="994" t="s">
        <v>1996</v>
      </c>
      <c r="B51" s="89" t="s">
        <v>1997</v>
      </c>
      <c r="C51" s="99">
        <f ca="1">ROUND(C49*F50,0)</f>
        <v>386602</v>
      </c>
      <c r="D51" s="99"/>
      <c r="E51" s="99"/>
      <c r="F51" s="126"/>
      <c r="G51" s="100" t="s">
        <v>1998</v>
      </c>
    </row>
    <row r="52" spans="1:123" s="88" customFormat="1" ht="16.5" thickBot="1">
      <c r="A52" s="127" t="s">
        <v>1999</v>
      </c>
      <c r="B52" s="128"/>
      <c r="C52" s="129">
        <f ca="1">C31+C51</f>
        <v>2311621</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0.16700000000000001</v>
      </c>
    </row>
    <row r="57" spans="1:123">
      <c r="B57" s="135" t="s">
        <v>2002</v>
      </c>
      <c r="C57" s="137">
        <f ca="1">1-C56</f>
        <v>0.83299999999999996</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23017</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0.02</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0.03</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-23484.799999999999</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-23484.799999999999</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-235</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-3558</v>
      </c>
      <c r="D28" s="183">
        <f>C29</f>
        <v>0.15459999999999999</v>
      </c>
      <c r="E28" s="189" t="s">
        <v>12</v>
      </c>
      <c r="F28" s="200">
        <f>'数据-取费表'!E28</f>
        <v>0.15</v>
      </c>
      <c r="G28" s="185"/>
      <c r="H28" s="186"/>
      <c r="I28" s="186"/>
      <c r="J28" s="186"/>
      <c r="K28" s="187"/>
    </row>
    <row r="29" spans="1:33" s="204" customFormat="1" ht="13.5" customHeight="1">
      <c r="A29" s="996" t="s">
        <v>1341</v>
      </c>
      <c r="B29" s="202" t="s">
        <v>1342</v>
      </c>
      <c r="C29" s="193">
        <f>ROUND((1+C24)*F28,4)</f>
        <v>0.15459999999999999</v>
      </c>
      <c r="D29" s="193"/>
      <c r="E29" s="194"/>
      <c r="F29" s="203"/>
      <c r="G29" s="147" t="s">
        <v>1343</v>
      </c>
      <c r="H29" s="170"/>
      <c r="I29" s="170"/>
      <c r="J29" s="170"/>
      <c r="K29" s="171"/>
    </row>
    <row r="30" spans="1:33" s="204" customFormat="1" ht="13.5" customHeight="1">
      <c r="A30" s="996" t="s">
        <v>1344</v>
      </c>
      <c r="B30" s="202" t="s">
        <v>1345</v>
      </c>
      <c r="C30" s="205">
        <f>ROUND((C21+C22+C23)*F28,0)</f>
        <v>-3558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23017</v>
      </c>
      <c r="D32" s="214"/>
      <c r="E32" s="214"/>
      <c r="F32" s="214"/>
      <c r="G32" s="216" t="s">
        <v>1350</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2700</v>
      </c>
      <c r="E6" s="235" t="s">
        <v>2015</v>
      </c>
      <c r="F6" s="236">
        <f>'数据-取费表'!B30</f>
        <v>0</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146.78</v>
      </c>
      <c r="G7" s="951"/>
      <c r="H7" s="237"/>
      <c r="I7" s="238"/>
      <c r="J7" s="239"/>
      <c r="K7" s="240"/>
      <c r="L7" s="235" t="s">
        <v>2016</v>
      </c>
      <c r="M7" s="236">
        <f>IF('数据-取费表'!B42="",IF(D1="仅计算典型户型",'数据-取费表'!E5,'数据-取费表'!B5),'数据-取费表'!B42)</f>
        <v>146.78</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2.2499999999999999E-2</v>
      </c>
      <c r="G11" s="952"/>
      <c r="H11" s="241"/>
      <c r="I11" s="1524" t="s">
        <v>2026</v>
      </c>
      <c r="J11" s="1091"/>
      <c r="K11" s="240"/>
      <c r="L11" s="246" t="s">
        <v>2025</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386602</v>
      </c>
      <c r="D13" s="1094" t="s">
        <v>2030</v>
      </c>
      <c r="E13" s="1094" t="s">
        <v>2031</v>
      </c>
      <c r="F13" s="1095">
        <f>'数据-取费表'!E20</f>
        <v>0.7</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369886</v>
      </c>
      <c r="D14" s="1328" t="s">
        <v>2034</v>
      </c>
      <c r="E14" s="1329"/>
      <c r="F14" s="799"/>
      <c r="G14" s="952"/>
      <c r="H14" s="253" t="s">
        <v>2013</v>
      </c>
      <c r="I14" s="235" t="s">
        <v>2035</v>
      </c>
      <c r="J14" s="13">
        <f ca="1">C29</f>
        <v>552288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7398</v>
      </c>
      <c r="D15" s="255" t="s">
        <v>2038</v>
      </c>
      <c r="E15" s="255" t="s">
        <v>2039</v>
      </c>
      <c r="F15" s="256">
        <f>'数据-取费表'!E21</f>
        <v>0.02</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11097</v>
      </c>
      <c r="D16" s="235" t="s">
        <v>2038</v>
      </c>
      <c r="E16" s="235" t="s">
        <v>2039</v>
      </c>
      <c r="F16" s="258">
        <f>IF('数据-取费表'!B10="住宅",'数据-取费表'!E22,0)</f>
        <v>0.03</v>
      </c>
      <c r="G16" s="952"/>
      <c r="H16" s="1092" t="s">
        <v>14</v>
      </c>
      <c r="I16" s="1093" t="s">
        <v>2044</v>
      </c>
      <c r="J16" s="243">
        <f ca="1">ROUND(J17+J22+J23+J24,0)</f>
        <v>4639</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29356</v>
      </c>
      <c r="D17" s="235" t="s">
        <v>2048</v>
      </c>
      <c r="E17" s="235" t="s">
        <v>2049</v>
      </c>
      <c r="F17" s="15">
        <f>'数据-取费表'!E23</f>
        <v>200</v>
      </c>
      <c r="G17" s="952"/>
      <c r="H17" s="253" t="s">
        <v>2050</v>
      </c>
      <c r="I17" s="235" t="s">
        <v>2051</v>
      </c>
      <c r="J17" s="2827">
        <f ca="1">ROUND(IF(AND(项目基本情况!B7="自然人",项目基本情况!B6="北京市"),J6*M17/(1+'数据-取费表'!F30),J18+J19+J20),0)</f>
        <v>4639</v>
      </c>
      <c r="K17" s="1328" t="s">
        <v>2052</v>
      </c>
      <c r="L17" s="1331" t="s">
        <v>2053</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5548</v>
      </c>
      <c r="D18" s="235" t="s">
        <v>2038</v>
      </c>
      <c r="E18" s="235" t="s">
        <v>2039</v>
      </c>
      <c r="F18" s="258">
        <f>'数据-取费表'!E24</f>
        <v>1.4999999999999999E-2</v>
      </c>
      <c r="G18" s="951"/>
      <c r="H18" s="253" t="s">
        <v>2056</v>
      </c>
      <c r="I18" s="235" t="s">
        <v>2057</v>
      </c>
      <c r="J18" s="13">
        <f>IF(项目基本情况!B7="自然人","——",ROUND(J6*M18/(1+'数据-取费表'!F30),0))</f>
        <v>0</v>
      </c>
      <c r="K18" s="1331" t="s">
        <v>2727</v>
      </c>
      <c r="L18" s="235" t="s">
        <v>2039</v>
      </c>
      <c r="M18" s="258">
        <f>'数据-取费表'!E29</f>
        <v>5.6000000000000001E-2</v>
      </c>
    </row>
    <row r="19" spans="1:37" s="257" customFormat="1" ht="18" customHeight="1">
      <c r="A19" s="253" t="s">
        <v>2050</v>
      </c>
      <c r="B19" s="235" t="s">
        <v>2058</v>
      </c>
      <c r="C19" s="13">
        <f>SUM(C14:C18)</f>
        <v>423285</v>
      </c>
      <c r="D19" s="33" t="s">
        <v>2059</v>
      </c>
      <c r="E19" s="1333"/>
      <c r="F19" s="15"/>
      <c r="G19" s="952"/>
      <c r="H19" s="253" t="s">
        <v>2036</v>
      </c>
      <c r="I19" s="235" t="s">
        <v>2060</v>
      </c>
      <c r="J19" s="13">
        <f ca="1">IF(项目基本情况!B7="自然人","——",IF(K19="按租金收入计税",ROUND(J6*M19/(1+'数据-取费表'!F30),0),ROUND(C29*M19*0.7,0)))</f>
        <v>4639</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4233</v>
      </c>
      <c r="D20" s="259" t="s">
        <v>2063</v>
      </c>
      <c r="E20" s="235" t="s">
        <v>2064</v>
      </c>
      <c r="F20" s="258">
        <f>'数据-取费表'!E25</f>
        <v>0.01</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23086</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5.0000000000000001E-4</v>
      </c>
      <c r="D24" s="1432" t="str">
        <f>IF(F23&lt;=1,"销售费用×利率×(建设周期÷2)","销售费用×((1+利率)^(建设周期÷2)-1)")</f>
        <v>销售费用×((1+利率)^(建设周期÷2)-1)</v>
      </c>
      <c r="E24" s="235" t="s">
        <v>2084</v>
      </c>
      <c r="F24" s="267">
        <f ca="1">'数据-取费表'!E27</f>
        <v>5.4000000000000006E-2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-4639</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64128</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1.5E-3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5.6000000000000001E-2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552288</v>
      </c>
      <c r="D29" s="1105"/>
      <c r="E29" s="1103"/>
      <c r="F29" s="1106"/>
      <c r="G29" s="652"/>
      <c r="H29" s="271" t="s">
        <v>24</v>
      </c>
      <c r="I29" s="272" t="s">
        <v>2108</v>
      </c>
      <c r="J29" s="273">
        <f ca="1">ROUND(J26/(1+F40)^F41,0)</f>
        <v>0</v>
      </c>
      <c r="K29" s="274" t="s">
        <v>2109</v>
      </c>
      <c r="L29" s="275"/>
      <c r="M29" s="276">
        <f>IF(D1="仅计算典型户型",'数据-取费表'!E5,'数据-取费表'!B5)</f>
        <v>146.78</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f>IF(项目基本情况!B7="自然人","——",ROUND(C6*F32/(1+'数据-取费表'!F30),0))</f>
        <v>0</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0</v>
      </c>
      <c r="D33" s="1436"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25129</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6.5000000000000002E-2</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60</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146.78</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-878168</v>
      </c>
      <c r="D47" s="1528" t="str">
        <f>C2</f>
        <v>元</v>
      </c>
      <c r="E47" s="649"/>
      <c r="F47" s="649"/>
      <c r="I47" s="1529" t="s">
        <v>2143</v>
      </c>
      <c r="J47" s="1023"/>
      <c r="K47" s="1024"/>
      <c r="L47" s="1037">
        <f>IF(M48="住宅",0,IF(L49&gt;J52,L61,J61))</f>
        <v>0</v>
      </c>
      <c r="O47" s="1051" t="s">
        <v>951</v>
      </c>
      <c r="P47" s="1048" t="s">
        <v>2144</v>
      </c>
      <c r="Q47" s="1049">
        <f ca="1">C29</f>
        <v>552288</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60</v>
      </c>
      <c r="O49" s="1051" t="s">
        <v>953</v>
      </c>
      <c r="P49" s="1048" t="s">
        <v>2156</v>
      </c>
      <c r="Q49" s="1052">
        <f>J53</f>
        <v>0</v>
      </c>
      <c r="R49" s="1050"/>
    </row>
    <row r="50" spans="1:18" s="652" customFormat="1" ht="15.75" thickBot="1">
      <c r="A50" s="260" t="s">
        <v>2013</v>
      </c>
      <c r="B50" s="1442" t="s">
        <v>2157</v>
      </c>
      <c r="C50" s="234">
        <f>ROUND(F50*F52*F51*(1-F53),0)</f>
        <v>0</v>
      </c>
      <c r="D50" s="42" t="s">
        <v>2701</v>
      </c>
      <c r="E50" s="1536" t="s">
        <v>2158</v>
      </c>
      <c r="F50" s="988"/>
      <c r="I50" s="1533" t="s">
        <v>2159</v>
      </c>
      <c r="J50" s="863">
        <f>'数据-取费表'!B27</f>
        <v>2001</v>
      </c>
      <c r="K50" s="1537" t="s">
        <v>2160</v>
      </c>
      <c r="L50" s="1026"/>
      <c r="O50" s="1051" t="s">
        <v>954</v>
      </c>
      <c r="P50" s="1048" t="s">
        <v>2161</v>
      </c>
      <c r="Q50" s="1049">
        <f>J54</f>
        <v>60</v>
      </c>
      <c r="R50" s="1050" t="s">
        <v>2162</v>
      </c>
    </row>
    <row r="51" spans="1:18" s="652" customFormat="1" ht="15.75" thickBot="1">
      <c r="A51" s="237"/>
      <c r="B51" s="238"/>
      <c r="C51" s="239"/>
      <c r="D51" s="240"/>
      <c r="E51" s="255" t="s">
        <v>2016</v>
      </c>
      <c r="F51" s="985">
        <f>F7</f>
        <v>146.78</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-8</v>
      </c>
      <c r="K52" s="1539" t="s">
        <v>2166</v>
      </c>
      <c r="L52" s="1029">
        <f ca="1">ROUND(-PV('数据-取费表'!B15,J52,(C40-C13*J35)),0)</f>
        <v>231545</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60</v>
      </c>
      <c r="K54" s="3587" t="s">
        <v>2699</v>
      </c>
      <c r="L54" s="3588"/>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386602</v>
      </c>
      <c r="D57" s="983"/>
      <c r="E57" s="984"/>
      <c r="F57" s="991"/>
      <c r="I57" s="1547" t="s">
        <v>2175</v>
      </c>
      <c r="J57" s="1035"/>
      <c r="K57" s="1533" t="s">
        <v>2176</v>
      </c>
      <c r="L57" s="863">
        <f>IF(L49&lt;J52,"——",L49-J52)</f>
        <v>68</v>
      </c>
      <c r="O57" s="1051" t="s">
        <v>952</v>
      </c>
      <c r="P57" s="1048" t="s">
        <v>2177</v>
      </c>
      <c r="Q57" s="1052">
        <f>L53</f>
        <v>0</v>
      </c>
      <c r="R57" s="1050"/>
    </row>
    <row r="58" spans="1:18" s="652" customFormat="1" ht="29.25" thickBot="1">
      <c r="A58" s="990"/>
      <c r="B58" s="235" t="s">
        <v>2107</v>
      </c>
      <c r="C58" s="104">
        <f ca="1">C29</f>
        <v>552288</v>
      </c>
      <c r="D58" s="983"/>
      <c r="E58" s="984"/>
      <c r="F58" s="991"/>
      <c r="I58" s="1548" t="s">
        <v>2178</v>
      </c>
      <c r="J58" s="1034" t="str">
        <f>IF(OR(M48="住宅",J52&lt;L49,J57="是"),"——",J52-L49)</f>
        <v>——</v>
      </c>
      <c r="K58" s="1533" t="s">
        <v>2179</v>
      </c>
      <c r="L58" s="863">
        <f ca="1">IF(L49&lt;J52,"——",IF(L56="比较法",L50,IF(L56="基准地价",L51,L52)))</f>
        <v>231545</v>
      </c>
      <c r="O58" s="1051" t="s">
        <v>953</v>
      </c>
      <c r="P58" s="1048" t="s">
        <v>2180</v>
      </c>
      <c r="Q58" s="1049" t="e">
        <f>L59</f>
        <v>#DIV/0!</v>
      </c>
      <c r="R58" s="1050" t="s">
        <v>2181</v>
      </c>
    </row>
    <row r="59" spans="1:18" s="652" customFormat="1" ht="29.25" thickBot="1">
      <c r="A59" s="248" t="s">
        <v>14</v>
      </c>
      <c r="B59" s="249" t="s">
        <v>2110</v>
      </c>
      <c r="C59" s="250">
        <f ca="1">ROUND(C60+C65+C66+C67,0)</f>
        <v>46392</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 ca="1">ROUND(IF(AND(项目基本情况!B7="自然人",项目基本情况!B6="北京市"),C50*F60/(1+'数据-取费表'!F30),C61+C62+C63),0)</f>
        <v>46392</v>
      </c>
      <c r="D60" s="1328" t="s">
        <v>2112</v>
      </c>
      <c r="E60" s="1331" t="s">
        <v>2113</v>
      </c>
      <c r="F60" s="2826">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IF(项目基本情况!B7="自然人","——",IF(D62="按租金收入计税",ROUND(C49*F62,0),IF(D62="按房产原值计税",ROUND(C58*F62*0.7,0),'数据-取费表'!B44)))</f>
        <v>46392</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231545</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-25129</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-46392</v>
      </c>
      <c r="D68" s="1328" t="s">
        <v>2090</v>
      </c>
      <c r="E68" s="1330"/>
      <c r="F68" s="268"/>
      <c r="H68" s="652"/>
      <c r="I68" s="652"/>
      <c r="J68" s="652"/>
      <c r="K68" s="652"/>
      <c r="L68" s="652"/>
      <c r="M68" s="652"/>
      <c r="O68" s="1051" t="s">
        <v>958</v>
      </c>
      <c r="P68" s="1055" t="s">
        <v>2205</v>
      </c>
      <c r="Q68" s="1049">
        <f ca="1">C13</f>
        <v>386602</v>
      </c>
      <c r="R68" s="1050" t="s">
        <v>2139</v>
      </c>
    </row>
    <row r="69" spans="1:18" ht="15.75" thickBot="1">
      <c r="A69" s="232" t="s">
        <v>23</v>
      </c>
      <c r="B69" s="233" t="s">
        <v>2127</v>
      </c>
      <c r="C69" s="234">
        <f ca="1">ROUND(C68*(1-((1+F71)/(1+F69))^F70)/(F69-F71),0)</f>
        <v>-878168</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60</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-5983</v>
      </c>
      <c r="D72" s="274" t="s">
        <v>2131</v>
      </c>
      <c r="E72" s="275" t="s">
        <v>2132</v>
      </c>
      <c r="F72" s="276">
        <f>F43</f>
        <v>146.78</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D33" sqref="D3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89" t="s">
        <v>1013</v>
      </c>
      <c r="B1" s="3590"/>
      <c r="C1" s="3591"/>
      <c r="D1" s="3592">
        <f>SUM(I10,I15,I20,I21,I23)</f>
        <v>0</v>
      </c>
      <c r="E1" s="3592"/>
      <c r="F1" s="3592"/>
      <c r="G1" s="3592"/>
      <c r="H1" s="3592"/>
      <c r="I1" s="3593"/>
    </row>
    <row r="2" spans="1:9">
      <c r="A2" s="3594" t="s">
        <v>1014</v>
      </c>
      <c r="B2" s="3595" t="s">
        <v>963</v>
      </c>
      <c r="C2" s="3595"/>
      <c r="D2" s="1062" t="s">
        <v>964</v>
      </c>
      <c r="E2" s="1062" t="s">
        <v>965</v>
      </c>
      <c r="F2" s="1062" t="s">
        <v>966</v>
      </c>
      <c r="G2" s="1062" t="s">
        <v>967</v>
      </c>
      <c r="H2" s="1062" t="s">
        <v>968</v>
      </c>
      <c r="I2" s="1063" t="s">
        <v>969</v>
      </c>
    </row>
    <row r="3" spans="1:9">
      <c r="A3" s="3594"/>
      <c r="B3" s="3595" t="s">
        <v>970</v>
      </c>
      <c r="C3" s="3595"/>
      <c r="D3" s="1064"/>
      <c r="E3" s="1062"/>
      <c r="F3" s="1065"/>
      <c r="G3" s="1065"/>
      <c r="H3" s="1066"/>
      <c r="I3" s="1067">
        <f>ROUND(D3*E3*F3*G3*H3/10000,0)</f>
        <v>0</v>
      </c>
    </row>
    <row r="4" spans="1:9">
      <c r="A4" s="3594"/>
      <c r="B4" s="3595" t="s">
        <v>971</v>
      </c>
      <c r="C4" s="3595"/>
      <c r="D4" s="1064"/>
      <c r="E4" s="1062"/>
      <c r="F4" s="1065"/>
      <c r="G4" s="1065"/>
      <c r="H4" s="1066"/>
      <c r="I4" s="1067">
        <f t="shared" ref="I4:I9" si="0">ROUND(D4*E4*F4*G4*H4/10000,0)</f>
        <v>0</v>
      </c>
    </row>
    <row r="5" spans="1:9">
      <c r="A5" s="3594"/>
      <c r="B5" s="3595" t="s">
        <v>972</v>
      </c>
      <c r="C5" s="3595"/>
      <c r="D5" s="1064"/>
      <c r="E5" s="1062"/>
      <c r="F5" s="1065"/>
      <c r="G5" s="1065"/>
      <c r="H5" s="1066"/>
      <c r="I5" s="1067">
        <f t="shared" si="0"/>
        <v>0</v>
      </c>
    </row>
    <row r="6" spans="1:9">
      <c r="A6" s="3594"/>
      <c r="B6" s="3595" t="s">
        <v>973</v>
      </c>
      <c r="C6" s="3595"/>
      <c r="D6" s="1064"/>
      <c r="E6" s="1062"/>
      <c r="F6" s="1065"/>
      <c r="G6" s="1065"/>
      <c r="H6" s="1066"/>
      <c r="I6" s="1067">
        <f t="shared" si="0"/>
        <v>0</v>
      </c>
    </row>
    <row r="7" spans="1:9">
      <c r="A7" s="3594"/>
      <c r="B7" s="3595" t="s">
        <v>974</v>
      </c>
      <c r="C7" s="3595"/>
      <c r="D7" s="1064"/>
      <c r="E7" s="1062"/>
      <c r="F7" s="1065"/>
      <c r="G7" s="1065"/>
      <c r="H7" s="1066"/>
      <c r="I7" s="1067">
        <f t="shared" si="0"/>
        <v>0</v>
      </c>
    </row>
    <row r="8" spans="1:9">
      <c r="A8" s="3594"/>
      <c r="B8" s="3595" t="s">
        <v>975</v>
      </c>
      <c r="C8" s="3595"/>
      <c r="D8" s="1064"/>
      <c r="E8" s="1062"/>
      <c r="F8" s="1065"/>
      <c r="G8" s="1065"/>
      <c r="H8" s="1066"/>
      <c r="I8" s="1067">
        <f t="shared" si="0"/>
        <v>0</v>
      </c>
    </row>
    <row r="9" spans="1:9">
      <c r="A9" s="3594"/>
      <c r="B9" s="3595" t="s">
        <v>976</v>
      </c>
      <c r="C9" s="3595"/>
      <c r="D9" s="1064"/>
      <c r="E9" s="1062"/>
      <c r="F9" s="1065"/>
      <c r="G9" s="1065"/>
      <c r="H9" s="1066"/>
      <c r="I9" s="1067">
        <f t="shared" si="0"/>
        <v>0</v>
      </c>
    </row>
    <row r="10" spans="1:9">
      <c r="A10" s="3594"/>
      <c r="B10" s="3596" t="s">
        <v>977</v>
      </c>
      <c r="C10" s="3596"/>
      <c r="D10" s="1068">
        <v>527</v>
      </c>
      <c r="E10" s="1068" t="e">
        <f>ROUND(D1*10000/D10/H9,0)</f>
        <v>#DIV/0!</v>
      </c>
      <c r="F10" s="1069"/>
      <c r="G10" s="1069"/>
      <c r="H10" s="1070"/>
      <c r="I10" s="1071">
        <f>SUM(I3:I9)</f>
        <v>0</v>
      </c>
    </row>
    <row r="11" spans="1:9" ht="14.25">
      <c r="A11" s="3594" t="s">
        <v>1015</v>
      </c>
      <c r="B11" s="3595" t="s">
        <v>978</v>
      </c>
      <c r="C11" s="3595"/>
      <c r="D11" s="1064" t="s">
        <v>979</v>
      </c>
      <c r="E11" s="1064" t="s">
        <v>980</v>
      </c>
      <c r="F11" s="1065" t="s">
        <v>981</v>
      </c>
      <c r="G11" s="1065" t="s">
        <v>968</v>
      </c>
      <c r="H11" s="1072" t="s">
        <v>982</v>
      </c>
      <c r="I11" s="1063" t="s">
        <v>969</v>
      </c>
    </row>
    <row r="12" spans="1:9">
      <c r="A12" s="3594"/>
      <c r="B12" s="3595" t="s">
        <v>983</v>
      </c>
      <c r="C12" s="3595"/>
      <c r="D12" s="1064"/>
      <c r="E12" s="1064"/>
      <c r="F12" s="1065"/>
      <c r="G12" s="1066"/>
      <c r="H12" s="1073"/>
      <c r="I12" s="1063">
        <f>ROUND(D12*E12*F12*G12/10000,0)</f>
        <v>0</v>
      </c>
    </row>
    <row r="13" spans="1:9">
      <c r="A13" s="3594"/>
      <c r="B13" s="3595" t="s">
        <v>984</v>
      </c>
      <c r="C13" s="3595"/>
      <c r="D13" s="1064"/>
      <c r="E13" s="1064"/>
      <c r="F13" s="1065"/>
      <c r="G13" s="1066"/>
      <c r="H13" s="1073"/>
      <c r="I13" s="1063">
        <f>ROUND(D13*E13*F13*G13/10000,0)</f>
        <v>0</v>
      </c>
    </row>
    <row r="14" spans="1:9">
      <c r="A14" s="3594"/>
      <c r="B14" s="3595" t="s">
        <v>985</v>
      </c>
      <c r="C14" s="3595"/>
      <c r="D14" s="1064"/>
      <c r="E14" s="1064"/>
      <c r="F14" s="1065"/>
      <c r="G14" s="1066"/>
      <c r="H14" s="1073"/>
      <c r="I14" s="1063">
        <f>ROUND(D14*E14*F14*G14/10000,0)</f>
        <v>0</v>
      </c>
    </row>
    <row r="15" spans="1:9">
      <c r="A15" s="3594"/>
      <c r="B15" s="3596" t="s">
        <v>977</v>
      </c>
      <c r="C15" s="3596"/>
      <c r="D15" s="1068"/>
      <c r="E15" s="1068">
        <f>SUM(E12:E14)</f>
        <v>0</v>
      </c>
      <c r="F15" s="1069"/>
      <c r="G15" s="1066"/>
      <c r="H15" s="1073"/>
      <c r="I15" s="1074">
        <f>SUM(I12:I14)</f>
        <v>0</v>
      </c>
    </row>
    <row r="16" spans="1:9" ht="24">
      <c r="A16" s="3594" t="s">
        <v>1016</v>
      </c>
      <c r="B16" s="3595" t="s">
        <v>986</v>
      </c>
      <c r="C16" s="3595"/>
      <c r="D16" s="1064" t="s">
        <v>964</v>
      </c>
      <c r="E16" s="1075" t="s">
        <v>987</v>
      </c>
      <c r="F16" s="1065" t="s">
        <v>988</v>
      </c>
      <c r="G16" s="1066" t="s">
        <v>968</v>
      </c>
      <c r="H16" s="1072" t="s">
        <v>982</v>
      </c>
      <c r="I16" s="1063" t="s">
        <v>969</v>
      </c>
    </row>
    <row r="17" spans="1:9" ht="14.25">
      <c r="A17" s="3594"/>
      <c r="B17" s="3595" t="s">
        <v>989</v>
      </c>
      <c r="C17" s="3595"/>
      <c r="D17" s="1064"/>
      <c r="E17" s="1064"/>
      <c r="F17" s="1065"/>
      <c r="G17" s="1066"/>
      <c r="H17" s="1076"/>
      <c r="I17" s="1077">
        <f>ROUND(D17*E17*F17*G17/10000,0)</f>
        <v>0</v>
      </c>
    </row>
    <row r="18" spans="1:9" ht="14.25">
      <c r="A18" s="3594"/>
      <c r="B18" s="3595" t="s">
        <v>990</v>
      </c>
      <c r="C18" s="3595"/>
      <c r="D18" s="1064"/>
      <c r="E18" s="1064"/>
      <c r="F18" s="1065"/>
      <c r="G18" s="1066"/>
      <c r="H18" s="1076"/>
      <c r="I18" s="1077">
        <f>ROUND(D18*E18*F18*G18/10000,0)</f>
        <v>0</v>
      </c>
    </row>
    <row r="19" spans="1:9" ht="14.25">
      <c r="A19" s="3594"/>
      <c r="B19" s="3595" t="s">
        <v>991</v>
      </c>
      <c r="C19" s="3595"/>
      <c r="D19" s="1064"/>
      <c r="E19" s="1064"/>
      <c r="F19" s="1065"/>
      <c r="G19" s="1066"/>
      <c r="H19" s="1076"/>
      <c r="I19" s="1077">
        <f>ROUND(D19*E19*F19*G19/10000,0)</f>
        <v>0</v>
      </c>
    </row>
    <row r="20" spans="1:9">
      <c r="A20" s="3594"/>
      <c r="B20" s="3596" t="s">
        <v>977</v>
      </c>
      <c r="C20" s="3596"/>
      <c r="D20" s="1068">
        <f>SUM(D17:D19)</f>
        <v>0</v>
      </c>
      <c r="E20" s="1068"/>
      <c r="F20" s="1069"/>
      <c r="G20" s="1066"/>
      <c r="H20" s="1073"/>
      <c r="I20" s="1074">
        <f>SUM(I17:I19)</f>
        <v>0</v>
      </c>
    </row>
    <row r="21" spans="1:9">
      <c r="A21" s="3594" t="s">
        <v>1017</v>
      </c>
      <c r="B21" s="3598"/>
      <c r="C21" s="3598"/>
      <c r="D21" s="3598"/>
      <c r="E21" s="3598"/>
      <c r="F21" s="3598"/>
      <c r="G21" s="3598"/>
      <c r="H21" s="1078">
        <v>0.1</v>
      </c>
      <c r="I21" s="1071">
        <f>ROUND(I10*H21,0)</f>
        <v>0</v>
      </c>
    </row>
    <row r="22" spans="1:9" ht="14.25">
      <c r="A22" s="3599" t="s">
        <v>1018</v>
      </c>
      <c r="B22" s="3600"/>
      <c r="C22" s="3601"/>
      <c r="D22" s="1079" t="s">
        <v>992</v>
      </c>
      <c r="E22" s="1079" t="s">
        <v>993</v>
      </c>
      <c r="F22" s="1080" t="s">
        <v>968</v>
      </c>
      <c r="G22" s="1080" t="s">
        <v>994</v>
      </c>
      <c r="H22" s="1072" t="s">
        <v>982</v>
      </c>
      <c r="I22" s="1063" t="s">
        <v>969</v>
      </c>
    </row>
    <row r="23" spans="1:9" ht="14.25" thickBot="1">
      <c r="A23" s="3602"/>
      <c r="B23" s="3603"/>
      <c r="C23" s="3604"/>
      <c r="D23" s="1081"/>
      <c r="E23" s="1081"/>
      <c r="F23" s="1081"/>
      <c r="G23" s="1082"/>
      <c r="H23" s="1083"/>
      <c r="I23" s="1084">
        <f>ROUND(E23*D23*F23*(1-G23)/10000,0)</f>
        <v>0</v>
      </c>
    </row>
    <row r="26" spans="1:9">
      <c r="A26" s="1085" t="s">
        <v>995</v>
      </c>
      <c r="B26" s="1085"/>
      <c r="C26" s="1085"/>
      <c r="D26" s="1085"/>
      <c r="E26" s="3605">
        <f>C27-C30-C31-C32</f>
        <v>0</v>
      </c>
      <c r="F26" s="3605"/>
      <c r="G26" s="3605"/>
      <c r="H26" s="1304" t="s">
        <v>1206</v>
      </c>
    </row>
    <row r="27" spans="1:9">
      <c r="A27" s="1086">
        <v>1</v>
      </c>
      <c r="B27" s="1087" t="s">
        <v>996</v>
      </c>
      <c r="C27" s="1087">
        <f>C28+C29</f>
        <v>0</v>
      </c>
      <c r="D27" s="1087"/>
      <c r="E27" s="3606"/>
      <c r="F27" s="3606"/>
      <c r="G27" s="3606"/>
    </row>
    <row r="28" spans="1:9">
      <c r="A28" s="1088" t="s">
        <v>997</v>
      </c>
      <c r="B28" s="1087" t="s">
        <v>998</v>
      </c>
      <c r="C28" s="1087"/>
      <c r="D28" s="1087"/>
      <c r="E28" s="3606"/>
      <c r="F28" s="3606"/>
      <c r="G28" s="360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97"/>
      <c r="F32" s="3597"/>
      <c r="G32" s="3597"/>
    </row>
    <row r="33" spans="1:7" hidden="1">
      <c r="A33" s="3607" t="s">
        <v>1007</v>
      </c>
      <c r="B33" s="3608"/>
      <c r="C33" s="3608"/>
      <c r="D33" s="3609"/>
      <c r="E33" s="3605"/>
      <c r="F33" s="3605"/>
      <c r="G33" s="3605"/>
    </row>
    <row r="34" spans="1:7" hidden="1">
      <c r="A34" s="1090">
        <v>1</v>
      </c>
      <c r="B34" s="1087" t="s">
        <v>1008</v>
      </c>
      <c r="C34" s="1087"/>
      <c r="D34" s="1087"/>
      <c r="E34" s="3606"/>
      <c r="F34" s="3606"/>
      <c r="G34" s="3606"/>
    </row>
    <row r="35" spans="1:7" hidden="1">
      <c r="A35" s="1090">
        <v>2</v>
      </c>
      <c r="B35" s="1087" t="s">
        <v>1009</v>
      </c>
      <c r="C35" s="1087"/>
      <c r="D35" s="1087"/>
      <c r="E35" s="3606"/>
      <c r="F35" s="3606"/>
      <c r="G35" s="3606"/>
    </row>
    <row r="36" spans="1:7" hidden="1">
      <c r="A36" s="1090">
        <v>3</v>
      </c>
      <c r="B36" s="1087" t="s">
        <v>1010</v>
      </c>
      <c r="C36" s="1087"/>
      <c r="D36" s="1087"/>
      <c r="E36" s="3606"/>
      <c r="F36" s="3606"/>
      <c r="G36" s="3606"/>
    </row>
    <row r="37" spans="1:7" hidden="1">
      <c r="A37" s="1090">
        <v>4</v>
      </c>
      <c r="B37" s="1087" t="s">
        <v>1011</v>
      </c>
      <c r="C37" s="1087"/>
      <c r="D37" s="1087"/>
      <c r="E37" s="3606"/>
      <c r="F37" s="3606"/>
      <c r="G37" s="3606"/>
    </row>
    <row r="38" spans="1:7" hidden="1">
      <c r="A38" s="3607" t="s">
        <v>1012</v>
      </c>
      <c r="B38" s="3608"/>
      <c r="C38" s="3608"/>
      <c r="D38" s="3609"/>
      <c r="E38" s="3605"/>
      <c r="F38" s="3605"/>
      <c r="G38" s="36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D33" sqref="D33"/>
      <selection pane="bottomLeft" activeCell="D33" sqref="D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613" t="s">
        <v>2212</v>
      </c>
      <c r="D4" s="3614"/>
      <c r="E4" s="3614"/>
      <c r="F4" s="3614"/>
      <c r="G4" s="3614"/>
      <c r="H4" s="3614"/>
      <c r="I4" s="3614"/>
      <c r="J4" s="3614"/>
      <c r="K4" s="3614"/>
      <c r="L4" s="3614"/>
      <c r="M4" s="3614"/>
      <c r="N4" s="3614"/>
      <c r="O4" s="3614"/>
      <c r="P4" s="3614"/>
      <c r="Q4" s="3614"/>
      <c r="R4" s="3614"/>
      <c r="S4" s="3615"/>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610" t="s">
        <v>45</v>
      </c>
      <c r="D25" s="3611"/>
      <c r="E25" s="3611"/>
      <c r="F25" s="3611"/>
      <c r="G25" s="3611"/>
      <c r="H25" s="3611"/>
      <c r="I25" s="3611"/>
      <c r="J25" s="3611"/>
      <c r="K25" s="3611"/>
      <c r="L25" s="3611"/>
      <c r="M25" s="3611"/>
      <c r="N25" s="3611"/>
      <c r="O25" s="3611"/>
      <c r="P25" s="3611"/>
      <c r="Q25" s="3612"/>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6" zoomScale="80" zoomScaleNormal="70" zoomScaleSheetLayoutView="80" workbookViewId="0">
      <selection activeCell="M60" sqref="M6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6.25" style="1667" customWidth="1"/>
    <col min="6" max="6" width="12.25" style="1667" customWidth="1"/>
    <col min="7" max="7" width="16.37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2747</v>
      </c>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2108157</v>
      </c>
      <c r="C2" s="1651" t="str">
        <f>'数据-取费表'!B3</f>
        <v>元</v>
      </c>
      <c r="D2" s="1652" t="s">
        <v>1240</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14363</v>
      </c>
      <c r="C3" s="1660" t="s">
        <v>2244</v>
      </c>
      <c r="D3" s="1660">
        <f>IF(C1="仅计算典型户型",'数据-取费表'!E5,'数据-取费表'!B5)</f>
        <v>146.78</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619" t="s">
        <v>2246</v>
      </c>
      <c r="D4" s="3620"/>
      <c r="E4" s="3621" t="s">
        <v>2247</v>
      </c>
      <c r="F4" s="3622"/>
      <c r="G4" s="3619" t="s">
        <v>2248</v>
      </c>
      <c r="H4" s="3620"/>
      <c r="I4" s="3619" t="s">
        <v>2249</v>
      </c>
      <c r="J4" s="3620"/>
      <c r="K4" s="1665" t="s">
        <v>2250</v>
      </c>
      <c r="L4" s="2997"/>
      <c r="M4" s="2998"/>
      <c r="N4" s="2998"/>
      <c r="O4" s="2998"/>
      <c r="P4" s="3623" t="s">
        <v>2251</v>
      </c>
      <c r="Q4" s="3624"/>
      <c r="R4" s="3629" t="s">
        <v>2247</v>
      </c>
      <c r="S4" s="3630"/>
      <c r="T4" s="3629" t="s">
        <v>2248</v>
      </c>
      <c r="U4" s="3630"/>
      <c r="V4" s="3635" t="s">
        <v>2249</v>
      </c>
      <c r="W4" s="3635"/>
      <c r="X4" s="1666"/>
      <c r="Y4" s="3629" t="s">
        <v>2251</v>
      </c>
      <c r="Z4" s="3630"/>
      <c r="AA4" s="3616" t="s">
        <v>2247</v>
      </c>
      <c r="AB4" s="3616" t="s">
        <v>2248</v>
      </c>
      <c r="AC4" s="3616" t="s">
        <v>2249</v>
      </c>
    </row>
    <row r="5" spans="1:29" ht="15">
      <c r="A5" s="1668"/>
      <c r="B5" s="1669"/>
      <c r="C5" s="3638" t="s">
        <v>3633</v>
      </c>
      <c r="D5" s="3639"/>
      <c r="E5" s="3636" t="str">
        <f>Sheet1!F11</f>
        <v>双榆树东里</v>
      </c>
      <c r="F5" s="3637"/>
      <c r="G5" s="3652" t="str">
        <f>Sheet1!F32</f>
        <v>北三环西路双榆树</v>
      </c>
      <c r="H5" s="3639"/>
      <c r="I5" s="3642" t="str">
        <f>Sheet1!F3</f>
        <v>双榆树北里</v>
      </c>
      <c r="J5" s="3639"/>
      <c r="K5" s="1670"/>
      <c r="L5" s="2997"/>
      <c r="M5" s="2998"/>
      <c r="N5" s="2998"/>
      <c r="O5" s="2998"/>
      <c r="P5" s="3625"/>
      <c r="Q5" s="3626"/>
      <c r="R5" s="3631"/>
      <c r="S5" s="3632"/>
      <c r="T5" s="3631"/>
      <c r="U5" s="3632"/>
      <c r="V5" s="3635"/>
      <c r="W5" s="3635"/>
      <c r="X5" s="1666"/>
      <c r="Y5" s="3631"/>
      <c r="Z5" s="3632"/>
      <c r="AA5" s="3617"/>
      <c r="AB5" s="3617"/>
      <c r="AC5" s="3617"/>
    </row>
    <row r="6" spans="1:29" ht="15.75" thickBot="1">
      <c r="A6" s="1671"/>
      <c r="B6" s="1672"/>
      <c r="C6" s="3640" t="s">
        <v>2256</v>
      </c>
      <c r="D6" s="3641"/>
      <c r="E6" s="3643" t="s">
        <v>3007</v>
      </c>
      <c r="F6" s="3644"/>
      <c r="G6" s="3640" t="s">
        <v>2256</v>
      </c>
      <c r="H6" s="3641"/>
      <c r="I6" s="3640" t="s">
        <v>2256</v>
      </c>
      <c r="J6" s="3641"/>
      <c r="K6" s="1670" t="s">
        <v>2257</v>
      </c>
      <c r="L6" s="2997"/>
      <c r="M6" s="2998"/>
      <c r="N6" s="2998"/>
      <c r="O6" s="2998"/>
      <c r="P6" s="3627"/>
      <c r="Q6" s="3628"/>
      <c r="R6" s="3631"/>
      <c r="S6" s="3632"/>
      <c r="T6" s="3633"/>
      <c r="U6" s="3634"/>
      <c r="V6" s="3635"/>
      <c r="W6" s="3635"/>
      <c r="X6" s="1666"/>
      <c r="Y6" s="3633"/>
      <c r="Z6" s="3634"/>
      <c r="AA6" s="3618"/>
      <c r="AB6" s="3618"/>
      <c r="AC6" s="3618"/>
    </row>
    <row r="7" spans="1:29" s="1685" customFormat="1" ht="15.75" thickBot="1">
      <c r="A7" s="1673" t="s">
        <v>2258</v>
      </c>
      <c r="B7" s="1674"/>
      <c r="C7" s="1675">
        <f>'数据-取费表'!B2</f>
        <v>40065</v>
      </c>
      <c r="D7" s="1676">
        <v>100</v>
      </c>
      <c r="E7" s="1677">
        <f>Sheet1!BG11</f>
        <v>40043</v>
      </c>
      <c r="F7" s="1678">
        <f>SUMIF(58:58,YEAR(E7)&amp;"-"&amp;MONTH(E7),59:59)</f>
        <v>99.5</v>
      </c>
      <c r="G7" s="1677">
        <f>Sheet1!BG32</f>
        <v>39973</v>
      </c>
      <c r="H7" s="1676">
        <f>SUMIF(58:58,YEAR(G7)&amp;"-"&amp;MONTH(G7),59:59)</f>
        <v>98.5</v>
      </c>
      <c r="I7" s="1677">
        <f>Sheet1!BG3</f>
        <v>39848</v>
      </c>
      <c r="J7" s="1676">
        <f>SUMIF(58:58,YEAR(I7)&amp;"-"&amp;MONTH(I7),59:59)</f>
        <v>96.5</v>
      </c>
      <c r="K7" s="1679"/>
      <c r="L7" s="2997"/>
      <c r="M7" s="2970"/>
      <c r="N7" s="2970"/>
      <c r="O7" s="2970"/>
      <c r="P7" s="3653" t="s">
        <v>2259</v>
      </c>
      <c r="Q7" s="3655"/>
      <c r="R7" s="1681" t="s">
        <v>34</v>
      </c>
      <c r="S7" s="1682">
        <f t="shared" ref="S7:S15" si="0">F7</f>
        <v>99.5</v>
      </c>
      <c r="T7" s="1681" t="s">
        <v>34</v>
      </c>
      <c r="U7" s="1682">
        <f t="shared" ref="U7:U15" si="1">H7</f>
        <v>98.5</v>
      </c>
      <c r="V7" s="1681" t="s">
        <v>34</v>
      </c>
      <c r="W7" s="1682">
        <f t="shared" ref="W7:W15" si="2">J7</f>
        <v>96.5</v>
      </c>
      <c r="X7" s="1683"/>
      <c r="Y7" s="3653" t="s">
        <v>2259</v>
      </c>
      <c r="Z7" s="3654"/>
      <c r="AA7" s="1684">
        <f>D7/F7</f>
        <v>1.0050251256281406</v>
      </c>
      <c r="AB7" s="1684">
        <f>D7/H7</f>
        <v>1.015228426395939</v>
      </c>
      <c r="AC7" s="1684">
        <f>D7/J7</f>
        <v>1.0362694300518134</v>
      </c>
    </row>
    <row r="8" spans="1:29" s="1685" customFormat="1" ht="15.75" thickBot="1">
      <c r="A8" s="1673" t="s">
        <v>2260</v>
      </c>
      <c r="B8" s="1674"/>
      <c r="C8" s="1686" t="s">
        <v>2261</v>
      </c>
      <c r="D8" s="1676">
        <v>100</v>
      </c>
      <c r="E8" s="1687" t="s">
        <v>2883</v>
      </c>
      <c r="F8" s="1678">
        <f>SUMIF(61:61,E8,62:62)-SUMIF(61:61,C8,62:62)+100</f>
        <v>100</v>
      </c>
      <c r="G8" s="1686" t="s">
        <v>2883</v>
      </c>
      <c r="H8" s="1676">
        <f>SUMIF(61:61,G8,62:62)-SUMIF(61:61,C8,62:62)+100</f>
        <v>100</v>
      </c>
      <c r="I8" s="1687" t="s">
        <v>2883</v>
      </c>
      <c r="J8" s="1676">
        <f>SUMIF(61:61,I8,62:62)-SUMIF(61:61,C8,62:62)+100</f>
        <v>100</v>
      </c>
      <c r="K8" s="1679"/>
      <c r="L8" s="2997"/>
      <c r="M8" s="2970"/>
      <c r="N8" s="2970"/>
      <c r="O8" s="2970"/>
      <c r="P8" s="3653" t="s">
        <v>2262</v>
      </c>
      <c r="Q8" s="3654"/>
      <c r="R8" s="1681" t="s">
        <v>34</v>
      </c>
      <c r="S8" s="1682">
        <f t="shared" si="0"/>
        <v>100</v>
      </c>
      <c r="T8" s="1681" t="s">
        <v>34</v>
      </c>
      <c r="U8" s="1682">
        <f t="shared" si="1"/>
        <v>100</v>
      </c>
      <c r="V8" s="1681" t="s">
        <v>34</v>
      </c>
      <c r="W8" s="1682">
        <f t="shared" si="2"/>
        <v>100</v>
      </c>
      <c r="X8" s="1683"/>
      <c r="Y8" s="3653" t="s">
        <v>2262</v>
      </c>
      <c r="Z8" s="3654"/>
      <c r="AA8" s="1684">
        <f t="shared" ref="AA8:AA46" si="3">D8/F8</f>
        <v>1</v>
      </c>
      <c r="AB8" s="1684">
        <f t="shared" ref="AB8:AB46" si="4">D8/H8</f>
        <v>1</v>
      </c>
      <c r="AC8" s="1684">
        <f t="shared" ref="AC8:AC46" si="5">D8/J8</f>
        <v>1</v>
      </c>
    </row>
    <row r="9" spans="1:29" s="1685" customFormat="1">
      <c r="A9" s="1636" t="s">
        <v>2263</v>
      </c>
      <c r="B9" s="1688" t="s">
        <v>2264</v>
      </c>
      <c r="C9" s="3164" t="s">
        <v>2931</v>
      </c>
      <c r="D9" s="1690">
        <v>100</v>
      </c>
      <c r="E9" s="1691" t="s">
        <v>2887</v>
      </c>
      <c r="F9" s="1692">
        <f>SUMIF(63:63,E9,64:64)-SUMIF(63:63,C9,64:64)+100</f>
        <v>100</v>
      </c>
      <c r="G9" s="1693" t="s">
        <v>2887</v>
      </c>
      <c r="H9" s="1690">
        <f>SUMIF(63:63,G9,64:64)-SUMIF(63:63,C9,64:64)+100</f>
        <v>100</v>
      </c>
      <c r="I9" s="1693" t="s">
        <v>2887</v>
      </c>
      <c r="J9" s="1690">
        <f>SUMIF(63:63,I9,64:64)-SUMIF(63:63,C9,64:64)+100</f>
        <v>100</v>
      </c>
      <c r="K9" s="1679"/>
      <c r="L9" s="2997"/>
      <c r="M9" s="2970"/>
      <c r="N9" s="2970"/>
      <c r="O9" s="2970"/>
      <c r="P9" s="3656" t="s">
        <v>2265</v>
      </c>
      <c r="Q9" s="1635" t="str">
        <f t="shared" ref="Q9:Q15" si="6">B9</f>
        <v>用途</v>
      </c>
      <c r="R9" s="1681" t="s">
        <v>25</v>
      </c>
      <c r="S9" s="1682">
        <f t="shared" si="0"/>
        <v>100</v>
      </c>
      <c r="T9" s="1681" t="s">
        <v>25</v>
      </c>
      <c r="U9" s="1682">
        <f t="shared" si="1"/>
        <v>100</v>
      </c>
      <c r="V9" s="1681" t="s">
        <v>25</v>
      </c>
      <c r="W9" s="1682">
        <f t="shared" si="2"/>
        <v>100</v>
      </c>
      <c r="X9" s="1683"/>
      <c r="Y9" s="3517" t="s">
        <v>2266</v>
      </c>
      <c r="Z9" s="1694" t="str">
        <f t="shared" ref="Z9:Z15" si="7">Q9</f>
        <v>用途</v>
      </c>
      <c r="AA9" s="1684">
        <f t="shared" si="3"/>
        <v>1</v>
      </c>
      <c r="AB9" s="1684">
        <f t="shared" si="4"/>
        <v>1</v>
      </c>
      <c r="AC9" s="1684">
        <f t="shared" si="5"/>
        <v>1</v>
      </c>
    </row>
    <row r="10" spans="1:29" s="1702" customFormat="1" ht="27.75" thickBot="1">
      <c r="A10" s="1695"/>
      <c r="B10" s="1696" t="s">
        <v>2267</v>
      </c>
      <c r="C10" s="1697" t="s">
        <v>2932</v>
      </c>
      <c r="D10" s="1698">
        <v>100</v>
      </c>
      <c r="E10" s="1699" t="s">
        <v>2932</v>
      </c>
      <c r="F10" s="1700">
        <f>SUMIF(65:65,E10,66:66)-SUMIF(65:65,C10,66:66)+100</f>
        <v>100</v>
      </c>
      <c r="G10" s="1697" t="s">
        <v>2932</v>
      </c>
      <c r="H10" s="1698">
        <f>SUMIF(65:65,G10,66:66)-SUMIF(65:65,C10,66:66)+100</f>
        <v>100</v>
      </c>
      <c r="I10" s="1697" t="s">
        <v>2932</v>
      </c>
      <c r="J10" s="1698">
        <f>SUMIF(65:65,I10,66:66)-SUMIF(65:65,C10,66:66)+100</f>
        <v>100</v>
      </c>
      <c r="K10" s="1701"/>
      <c r="L10" s="2999"/>
      <c r="M10" s="3000"/>
      <c r="N10" s="3000"/>
      <c r="O10" s="3000"/>
      <c r="P10" s="3656"/>
      <c r="Q10" s="1635" t="str">
        <f t="shared" si="6"/>
        <v>土地使用年限（年）</v>
      </c>
      <c r="R10" s="1681" t="s">
        <v>25</v>
      </c>
      <c r="S10" s="1682">
        <f t="shared" si="0"/>
        <v>100</v>
      </c>
      <c r="T10" s="1681" t="s">
        <v>25</v>
      </c>
      <c r="U10" s="1682">
        <f t="shared" si="1"/>
        <v>100</v>
      </c>
      <c r="V10" s="1681" t="s">
        <v>25</v>
      </c>
      <c r="W10" s="1682">
        <f t="shared" si="2"/>
        <v>100</v>
      </c>
      <c r="X10" s="1683"/>
      <c r="Y10" s="3517"/>
      <c r="Z10" s="1694" t="str">
        <f t="shared" si="7"/>
        <v>土地使用年限（年）</v>
      </c>
      <c r="AA10" s="1684">
        <f t="shared" si="3"/>
        <v>1</v>
      </c>
      <c r="AB10" s="1684">
        <f t="shared" si="4"/>
        <v>1</v>
      </c>
      <c r="AC10" s="1684">
        <f t="shared" si="5"/>
        <v>1</v>
      </c>
    </row>
    <row r="11" spans="1:29" ht="15.75" hidden="1" thickBot="1">
      <c r="A11" s="1703"/>
      <c r="B11" s="1696" t="s">
        <v>2268</v>
      </c>
      <c r="C11" s="1704">
        <v>2.5</v>
      </c>
      <c r="D11" s="1698">
        <v>100</v>
      </c>
      <c r="E11" s="1705">
        <f>C11</f>
        <v>2.5</v>
      </c>
      <c r="F11" s="1700">
        <f>LOOKUP(E11,68:68,69:69)-LOOKUP(C11,68:68,69:69)+100</f>
        <v>100</v>
      </c>
      <c r="G11" s="1704">
        <f>C11</f>
        <v>2.5</v>
      </c>
      <c r="H11" s="1698">
        <f>LOOKUP(G11,68:68,69:69)-LOOKUP(C11,68:68,69:69)+100</f>
        <v>100</v>
      </c>
      <c r="I11" s="1704">
        <f>C11</f>
        <v>2.5</v>
      </c>
      <c r="J11" s="1698">
        <f>LOOKUP(I11,68:68,69:69)-LOOKUP(C11,68:68,69:69)+100</f>
        <v>100</v>
      </c>
      <c r="K11" s="1701"/>
      <c r="L11" s="3001"/>
      <c r="M11" s="2998"/>
      <c r="N11" s="2998"/>
      <c r="O11" s="2998"/>
      <c r="P11" s="3656"/>
      <c r="Q11" s="1635" t="str">
        <f t="shared" si="6"/>
        <v>容积率</v>
      </c>
      <c r="R11" s="1681" t="s">
        <v>28</v>
      </c>
      <c r="S11" s="1682">
        <f t="shared" si="0"/>
        <v>100</v>
      </c>
      <c r="T11" s="1681" t="s">
        <v>28</v>
      </c>
      <c r="U11" s="1682">
        <f t="shared" si="1"/>
        <v>100</v>
      </c>
      <c r="V11" s="1681" t="s">
        <v>28</v>
      </c>
      <c r="W11" s="1682">
        <f t="shared" si="2"/>
        <v>100</v>
      </c>
      <c r="X11" s="1683"/>
      <c r="Y11" s="3517"/>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656"/>
      <c r="Q12" s="1635">
        <f t="shared" si="6"/>
        <v>111</v>
      </c>
      <c r="R12" s="1681" t="s">
        <v>28</v>
      </c>
      <c r="S12" s="1682">
        <f t="shared" si="0"/>
        <v>100</v>
      </c>
      <c r="T12" s="1681" t="s">
        <v>28</v>
      </c>
      <c r="U12" s="1682">
        <f t="shared" si="1"/>
        <v>100</v>
      </c>
      <c r="V12" s="1681" t="s">
        <v>28</v>
      </c>
      <c r="W12" s="1682">
        <f t="shared" si="2"/>
        <v>100</v>
      </c>
      <c r="X12" s="1683"/>
      <c r="Y12" s="3517"/>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656"/>
      <c r="Q13" s="1635">
        <f t="shared" si="6"/>
        <v>111</v>
      </c>
      <c r="R13" s="1681" t="s">
        <v>28</v>
      </c>
      <c r="S13" s="1682">
        <f t="shared" si="0"/>
        <v>100</v>
      </c>
      <c r="T13" s="1681" t="s">
        <v>28</v>
      </c>
      <c r="U13" s="1682">
        <f t="shared" si="1"/>
        <v>100</v>
      </c>
      <c r="V13" s="1681" t="s">
        <v>28</v>
      </c>
      <c r="W13" s="1682">
        <f t="shared" si="2"/>
        <v>100</v>
      </c>
      <c r="X13" s="1683"/>
      <c r="Y13" s="3517"/>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656"/>
      <c r="Q14" s="1635">
        <f t="shared" si="6"/>
        <v>111</v>
      </c>
      <c r="R14" s="1681" t="s">
        <v>28</v>
      </c>
      <c r="S14" s="1682">
        <f t="shared" si="0"/>
        <v>100</v>
      </c>
      <c r="T14" s="1681" t="s">
        <v>28</v>
      </c>
      <c r="U14" s="1682">
        <f t="shared" si="1"/>
        <v>100</v>
      </c>
      <c r="V14" s="1681" t="s">
        <v>28</v>
      </c>
      <c r="W14" s="1682">
        <f t="shared" si="2"/>
        <v>100</v>
      </c>
      <c r="X14" s="1683"/>
      <c r="Y14" s="3517"/>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105</v>
      </c>
      <c r="G15" s="1724"/>
      <c r="H15" s="1721">
        <f>SUMIF(76:76,G16,77:77)-SUMIF(76:76,C16,77:77)+100</f>
        <v>105</v>
      </c>
      <c r="I15" s="1722"/>
      <c r="J15" s="1721">
        <f>SUMIF(76:76,I16,77:77)-SUMIF(76:76,C16,77:77)+100</f>
        <v>105</v>
      </c>
      <c r="K15" s="1725">
        <v>5</v>
      </c>
      <c r="L15" s="3002"/>
      <c r="M15" s="2998"/>
      <c r="N15" s="2998"/>
      <c r="O15" s="2998"/>
      <c r="P15" s="3659" t="s">
        <v>2270</v>
      </c>
      <c r="Q15" s="1616" t="str">
        <f t="shared" si="6"/>
        <v>居住社区成熟度</v>
      </c>
      <c r="R15" s="1726" t="s">
        <v>28</v>
      </c>
      <c r="S15" s="1727">
        <f t="shared" si="0"/>
        <v>105</v>
      </c>
      <c r="T15" s="1726" t="s">
        <v>28</v>
      </c>
      <c r="U15" s="1727">
        <f t="shared" si="1"/>
        <v>105</v>
      </c>
      <c r="V15" s="1726" t="s">
        <v>28</v>
      </c>
      <c r="W15" s="1727">
        <f t="shared" si="2"/>
        <v>105</v>
      </c>
      <c r="X15" s="1666"/>
      <c r="Y15" s="3645" t="s">
        <v>2270</v>
      </c>
      <c r="Z15" s="1728" t="str">
        <f t="shared" si="7"/>
        <v>居住社区成熟度</v>
      </c>
      <c r="AA15" s="1729">
        <f t="shared" si="3"/>
        <v>0.95238095238095233</v>
      </c>
      <c r="AB15" s="1729">
        <f t="shared" si="4"/>
        <v>0.95238095238095233</v>
      </c>
      <c r="AC15" s="1729">
        <f t="shared" si="5"/>
        <v>0.95238095238095233</v>
      </c>
    </row>
    <row r="16" spans="1:29" ht="15">
      <c r="A16" s="1703"/>
      <c r="B16" s="1730"/>
      <c r="C16" s="1731" t="s">
        <v>31</v>
      </c>
      <c r="D16" s="1732"/>
      <c r="E16" s="1733" t="s">
        <v>30</v>
      </c>
      <c r="F16" s="1734"/>
      <c r="G16" s="1735" t="s">
        <v>30</v>
      </c>
      <c r="H16" s="1736"/>
      <c r="I16" s="1733" t="s">
        <v>30</v>
      </c>
      <c r="J16" s="1732"/>
      <c r="K16" s="1737"/>
      <c r="L16" s="3002"/>
      <c r="M16" s="2998"/>
      <c r="N16" s="2998"/>
      <c r="O16" s="2998"/>
      <c r="P16" s="3660"/>
      <c r="Q16" s="1616"/>
      <c r="R16" s="1726"/>
      <c r="S16" s="1727"/>
      <c r="T16" s="1726"/>
      <c r="U16" s="1727"/>
      <c r="V16" s="1726"/>
      <c r="W16" s="1727"/>
      <c r="X16" s="1666"/>
      <c r="Y16" s="3646"/>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660"/>
      <c r="Q17" s="1616" t="str">
        <f>B17</f>
        <v>交通便捷度</v>
      </c>
      <c r="R17" s="1726" t="s">
        <v>28</v>
      </c>
      <c r="S17" s="1727">
        <f>F17</f>
        <v>100</v>
      </c>
      <c r="T17" s="1726" t="s">
        <v>28</v>
      </c>
      <c r="U17" s="1727">
        <f>H17</f>
        <v>100</v>
      </c>
      <c r="V17" s="1726" t="s">
        <v>28</v>
      </c>
      <c r="W17" s="1727">
        <f>J17</f>
        <v>100</v>
      </c>
      <c r="X17" s="1666"/>
      <c r="Y17" s="3646"/>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660"/>
      <c r="Q18" s="1616"/>
      <c r="R18" s="1726"/>
      <c r="S18" s="1727"/>
      <c r="T18" s="1726"/>
      <c r="U18" s="1727"/>
      <c r="V18" s="1726"/>
      <c r="W18" s="1727"/>
      <c r="X18" s="1666"/>
      <c r="Y18" s="3646"/>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660"/>
      <c r="Q19" s="1616" t="str">
        <f>B19</f>
        <v>公共配套设施</v>
      </c>
      <c r="R19" s="1726" t="s">
        <v>28</v>
      </c>
      <c r="S19" s="1727">
        <f>F19</f>
        <v>100</v>
      </c>
      <c r="T19" s="1726" t="s">
        <v>28</v>
      </c>
      <c r="U19" s="1727">
        <f>H19</f>
        <v>100</v>
      </c>
      <c r="V19" s="1726" t="s">
        <v>28</v>
      </c>
      <c r="W19" s="1727">
        <f>J19</f>
        <v>100</v>
      </c>
      <c r="X19" s="1666"/>
      <c r="Y19" s="3646"/>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660"/>
      <c r="Q20" s="1616"/>
      <c r="R20" s="1726"/>
      <c r="S20" s="1727"/>
      <c r="T20" s="1726"/>
      <c r="U20" s="1727"/>
      <c r="V20" s="1726"/>
      <c r="W20" s="1727"/>
      <c r="X20" s="1666"/>
      <c r="Y20" s="3646"/>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660"/>
      <c r="Q21" s="1616" t="str">
        <f>B21</f>
        <v>基础设施水平</v>
      </c>
      <c r="R21" s="1726" t="s">
        <v>28</v>
      </c>
      <c r="S21" s="1727">
        <f>F21</f>
        <v>100</v>
      </c>
      <c r="T21" s="1726" t="s">
        <v>28</v>
      </c>
      <c r="U21" s="1727">
        <f>H21</f>
        <v>100</v>
      </c>
      <c r="V21" s="1726" t="s">
        <v>28</v>
      </c>
      <c r="W21" s="1727">
        <f>J21</f>
        <v>100</v>
      </c>
      <c r="X21" s="1666"/>
      <c r="Y21" s="3646"/>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660"/>
      <c r="Q22" s="1616"/>
      <c r="R22" s="1726"/>
      <c r="S22" s="1727"/>
      <c r="T22" s="1726"/>
      <c r="U22" s="1727"/>
      <c r="V22" s="1726"/>
      <c r="W22" s="1727"/>
      <c r="X22" s="1666"/>
      <c r="Y22" s="3646"/>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660"/>
      <c r="Q23" s="1616" t="str">
        <f>B23</f>
        <v>自然及人文环境</v>
      </c>
      <c r="R23" s="1726" t="s">
        <v>28</v>
      </c>
      <c r="S23" s="1727">
        <f>F23</f>
        <v>100</v>
      </c>
      <c r="T23" s="1726" t="s">
        <v>28</v>
      </c>
      <c r="U23" s="1727">
        <f>H23</f>
        <v>100</v>
      </c>
      <c r="V23" s="1726" t="s">
        <v>28</v>
      </c>
      <c r="W23" s="1727">
        <f>J23</f>
        <v>100</v>
      </c>
      <c r="X23" s="1666"/>
      <c r="Y23" s="3646"/>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660"/>
      <c r="Q24" s="1616"/>
      <c r="R24" s="1726"/>
      <c r="S24" s="1727"/>
      <c r="T24" s="1726"/>
      <c r="U24" s="1727"/>
      <c r="V24" s="1726"/>
      <c r="W24" s="1727"/>
      <c r="X24" s="1666"/>
      <c r="Y24" s="3646"/>
      <c r="Z24" s="1728"/>
      <c r="AA24" s="1729">
        <v>1</v>
      </c>
      <c r="AB24" s="1729">
        <v>1</v>
      </c>
      <c r="AC24" s="1729">
        <v>1</v>
      </c>
    </row>
    <row r="25" spans="1:29" ht="15" hidden="1">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660"/>
      <c r="Q25" s="1616" t="str">
        <f t="shared" ref="Q25:Q46" si="11">B25</f>
        <v>楼层-1</v>
      </c>
      <c r="R25" s="1726" t="s">
        <v>28</v>
      </c>
      <c r="S25" s="1727">
        <f>F25</f>
        <v>100</v>
      </c>
      <c r="T25" s="1726" t="s">
        <v>28</v>
      </c>
      <c r="U25" s="1727">
        <f>H25</f>
        <v>100</v>
      </c>
      <c r="V25" s="1726" t="s">
        <v>28</v>
      </c>
      <c r="W25" s="1727">
        <f>J25</f>
        <v>100</v>
      </c>
      <c r="X25" s="1666"/>
      <c r="Y25" s="3646"/>
      <c r="Z25" s="1728" t="str">
        <f>Q25</f>
        <v>楼层-1</v>
      </c>
      <c r="AA25" s="1729">
        <f t="shared" si="3"/>
        <v>1</v>
      </c>
      <c r="AB25" s="1729">
        <f t="shared" si="4"/>
        <v>1</v>
      </c>
      <c r="AC25" s="1729">
        <f t="shared" si="5"/>
        <v>1</v>
      </c>
    </row>
    <row r="26" spans="1:29" ht="15">
      <c r="A26" s="1703"/>
      <c r="B26" s="1696" t="s">
        <v>2272</v>
      </c>
      <c r="C26" s="1753" t="s">
        <v>2936</v>
      </c>
      <c r="D26" s="1712">
        <v>100</v>
      </c>
      <c r="E26" s="1754" t="s">
        <v>2936</v>
      </c>
      <c r="F26" s="1755">
        <f>SUMIF(88:88,E26,89:89)-SUMIF(88:88,C26,89:89)+100</f>
        <v>100</v>
      </c>
      <c r="G26" s="1756" t="s">
        <v>2936</v>
      </c>
      <c r="H26" s="1712">
        <f>SUMIF(88:88,G26,89:89)-SUMIF(88:88,C26,89:89)+100</f>
        <v>100</v>
      </c>
      <c r="I26" s="1754" t="s">
        <v>2936</v>
      </c>
      <c r="J26" s="1712">
        <f>SUMIF(88:88,I26,89:89)-SUMIF(88:88,C26,89:89)+100</f>
        <v>100</v>
      </c>
      <c r="K26" s="1701">
        <v>0.5</v>
      </c>
      <c r="L26" s="3002"/>
      <c r="M26" s="2998"/>
      <c r="N26" s="2998"/>
      <c r="O26" s="2998"/>
      <c r="P26" s="3660"/>
      <c r="Q26" s="1616" t="str">
        <f t="shared" si="11"/>
        <v>朝向</v>
      </c>
      <c r="R26" s="1726" t="s">
        <v>28</v>
      </c>
      <c r="S26" s="1727">
        <f>F26</f>
        <v>100</v>
      </c>
      <c r="T26" s="1726" t="s">
        <v>28</v>
      </c>
      <c r="U26" s="1727">
        <f>H26</f>
        <v>100</v>
      </c>
      <c r="V26" s="1726" t="s">
        <v>28</v>
      </c>
      <c r="W26" s="1727">
        <f>J26</f>
        <v>100</v>
      </c>
      <c r="X26" s="1666"/>
      <c r="Y26" s="3646"/>
      <c r="Z26" s="1728" t="str">
        <f>Q26</f>
        <v>朝向</v>
      </c>
      <c r="AA26" s="1729">
        <f t="shared" si="3"/>
        <v>1</v>
      </c>
      <c r="AB26" s="1729">
        <f t="shared" si="4"/>
        <v>1</v>
      </c>
      <c r="AC26" s="1729">
        <f t="shared" si="5"/>
        <v>1</v>
      </c>
    </row>
    <row r="27" spans="1:29" s="1685" customFormat="1" ht="15" hidden="1">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660"/>
      <c r="Q27" s="1635" t="str">
        <f t="shared" si="11"/>
        <v>道路级别</v>
      </c>
      <c r="R27" s="1681" t="s">
        <v>28</v>
      </c>
      <c r="S27" s="1682">
        <f>F27</f>
        <v>100</v>
      </c>
      <c r="T27" s="1681" t="s">
        <v>28</v>
      </c>
      <c r="U27" s="1682">
        <f>H27</f>
        <v>100</v>
      </c>
      <c r="V27" s="1681" t="s">
        <v>28</v>
      </c>
      <c r="W27" s="1682">
        <f>J27</f>
        <v>100</v>
      </c>
      <c r="X27" s="1683"/>
      <c r="Y27" s="3646"/>
      <c r="Z27" s="1694" t="str">
        <f>Q27</f>
        <v>道路级别</v>
      </c>
      <c r="AA27" s="1729">
        <f>D27/F27</f>
        <v>1</v>
      </c>
      <c r="AB27" s="1729">
        <f>D27/H27</f>
        <v>1</v>
      </c>
      <c r="AC27" s="1729">
        <f>D27/J27</f>
        <v>1</v>
      </c>
    </row>
    <row r="28" spans="1:29" ht="15.75" thickBot="1">
      <c r="A28" s="1703"/>
      <c r="B28" s="3165" t="s">
        <v>2933</v>
      </c>
      <c r="C28" s="1711" t="s">
        <v>3631</v>
      </c>
      <c r="D28" s="1712">
        <v>100</v>
      </c>
      <c r="E28" s="1711">
        <v>4</v>
      </c>
      <c r="F28" s="1755">
        <f>SUMIF(92:92,E28,93:93)-SUMIF(92:92,C28,93:93)+100</f>
        <v>100</v>
      </c>
      <c r="G28" s="1711">
        <v>12</v>
      </c>
      <c r="H28" s="1712">
        <f>SUMIF(92:92,G28,93:93)-SUMIF(92:92,C28,93:93)+100</f>
        <v>100.2</v>
      </c>
      <c r="I28" s="1711">
        <v>2</v>
      </c>
      <c r="J28" s="1712">
        <f>SUMIF(92:92,I28,93:93)-SUMIF(92:92,C28,93:93)+100</f>
        <v>100</v>
      </c>
      <c r="K28" s="1710"/>
      <c r="L28" s="3002"/>
      <c r="M28" s="2998"/>
      <c r="N28" s="2998"/>
      <c r="O28" s="2998"/>
      <c r="P28" s="3660"/>
      <c r="Q28" s="1616" t="str">
        <f t="shared" si="11"/>
        <v>楼层</v>
      </c>
      <c r="R28" s="1726" t="s">
        <v>28</v>
      </c>
      <c r="S28" s="1727">
        <f t="shared" ref="S28:S46" si="12">F28</f>
        <v>100</v>
      </c>
      <c r="T28" s="1726" t="s">
        <v>28</v>
      </c>
      <c r="U28" s="1727">
        <f t="shared" ref="U28:U46" si="13">H28</f>
        <v>100.2</v>
      </c>
      <c r="V28" s="1726" t="s">
        <v>28</v>
      </c>
      <c r="W28" s="1727">
        <f t="shared" ref="W28:W46" si="14">J28</f>
        <v>100</v>
      </c>
      <c r="X28" s="1666"/>
      <c r="Y28" s="3646"/>
      <c r="Z28" s="1728" t="str">
        <f t="shared" ref="Z28:Z46" si="15">Q28</f>
        <v>楼层</v>
      </c>
      <c r="AA28" s="1729">
        <f t="shared" si="3"/>
        <v>1</v>
      </c>
      <c r="AB28" s="1729">
        <f t="shared" si="4"/>
        <v>0.99800399201596801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660"/>
      <c r="Q29" s="1616">
        <f t="shared" si="11"/>
        <v>111</v>
      </c>
      <c r="R29" s="1726" t="s">
        <v>28</v>
      </c>
      <c r="S29" s="1727">
        <f t="shared" si="12"/>
        <v>100</v>
      </c>
      <c r="T29" s="1726" t="s">
        <v>28</v>
      </c>
      <c r="U29" s="1727">
        <f t="shared" si="13"/>
        <v>100</v>
      </c>
      <c r="V29" s="1726" t="s">
        <v>28</v>
      </c>
      <c r="W29" s="1727">
        <f t="shared" si="14"/>
        <v>100</v>
      </c>
      <c r="X29" s="1666"/>
      <c r="Y29" s="3646"/>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660"/>
      <c r="Q30" s="1616">
        <f t="shared" si="11"/>
        <v>111</v>
      </c>
      <c r="R30" s="1726" t="s">
        <v>28</v>
      </c>
      <c r="S30" s="1727">
        <f t="shared" si="12"/>
        <v>100</v>
      </c>
      <c r="T30" s="1726" t="s">
        <v>28</v>
      </c>
      <c r="U30" s="1727">
        <f t="shared" si="13"/>
        <v>100</v>
      </c>
      <c r="V30" s="1726" t="s">
        <v>28</v>
      </c>
      <c r="W30" s="1727">
        <f t="shared" si="14"/>
        <v>100</v>
      </c>
      <c r="X30" s="1666"/>
      <c r="Y30" s="3646"/>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660"/>
      <c r="Q31" s="1616">
        <f t="shared" si="11"/>
        <v>111</v>
      </c>
      <c r="R31" s="1726" t="s">
        <v>28</v>
      </c>
      <c r="S31" s="1727">
        <f t="shared" si="12"/>
        <v>100</v>
      </c>
      <c r="T31" s="1726" t="s">
        <v>28</v>
      </c>
      <c r="U31" s="1727">
        <f t="shared" si="13"/>
        <v>100</v>
      </c>
      <c r="V31" s="1726" t="s">
        <v>28</v>
      </c>
      <c r="W31" s="1727">
        <f t="shared" si="14"/>
        <v>100</v>
      </c>
      <c r="X31" s="1666"/>
      <c r="Y31" s="3646"/>
      <c r="Z31" s="1728">
        <f t="shared" si="15"/>
        <v>111</v>
      </c>
      <c r="AA31" s="1729">
        <f t="shared" si="3"/>
        <v>1</v>
      </c>
      <c r="AB31" s="1729">
        <f t="shared" si="4"/>
        <v>1</v>
      </c>
      <c r="AC31" s="1729">
        <f t="shared" si="5"/>
        <v>1</v>
      </c>
    </row>
    <row r="32" spans="1:29" ht="15">
      <c r="A32" s="1718" t="s">
        <v>2274</v>
      </c>
      <c r="B32" s="1688" t="s">
        <v>2275</v>
      </c>
      <c r="C32" s="1762" t="s">
        <v>3010</v>
      </c>
      <c r="D32" s="1763">
        <v>100</v>
      </c>
      <c r="E32" s="1764" t="s">
        <v>3010</v>
      </c>
      <c r="F32" s="1755">
        <f>SUMIF(100:100,E32,101:101)-SUMIF(100:100,C32,101:101)+100</f>
        <v>100</v>
      </c>
      <c r="G32" s="1762" t="s">
        <v>3010</v>
      </c>
      <c r="H32" s="1763">
        <f>SUMIF(100:100,G32,101:101)-SUMIF(100:100,C32,101:101)+100</f>
        <v>100</v>
      </c>
      <c r="I32" s="1764" t="s">
        <v>3010</v>
      </c>
      <c r="J32" s="1712">
        <f>SUMIF(100:100,I32,101:101)-SUMIF(100:100,C32,101:101)+100</f>
        <v>100</v>
      </c>
      <c r="K32" s="1701"/>
      <c r="L32" s="3002"/>
      <c r="M32" s="2998"/>
      <c r="N32" s="2998"/>
      <c r="O32" s="2998"/>
      <c r="P32" s="3647" t="s">
        <v>2276</v>
      </c>
      <c r="Q32" s="1616" t="str">
        <f t="shared" si="11"/>
        <v>建筑类型</v>
      </c>
      <c r="R32" s="1726" t="s">
        <v>28</v>
      </c>
      <c r="S32" s="1727">
        <f t="shared" si="12"/>
        <v>100</v>
      </c>
      <c r="T32" s="1726" t="s">
        <v>28</v>
      </c>
      <c r="U32" s="1727">
        <f t="shared" si="13"/>
        <v>100</v>
      </c>
      <c r="V32" s="1726" t="s">
        <v>28</v>
      </c>
      <c r="W32" s="1727">
        <f t="shared" si="14"/>
        <v>100</v>
      </c>
      <c r="X32" s="1666"/>
      <c r="Y32" s="3650" t="s">
        <v>2276</v>
      </c>
      <c r="Z32" s="1728" t="str">
        <f t="shared" si="15"/>
        <v>建筑类型</v>
      </c>
      <c r="AA32" s="1729">
        <f t="shared" si="3"/>
        <v>1</v>
      </c>
      <c r="AB32" s="1729">
        <f t="shared" si="4"/>
        <v>1</v>
      </c>
      <c r="AC32" s="1729">
        <f t="shared" si="5"/>
        <v>1</v>
      </c>
    </row>
    <row r="33" spans="1:29" s="1772" customFormat="1" ht="15">
      <c r="A33" s="1765"/>
      <c r="B33" s="1696" t="s">
        <v>2277</v>
      </c>
      <c r="C33" s="1766">
        <v>146.78</v>
      </c>
      <c r="D33" s="1698">
        <v>100</v>
      </c>
      <c r="E33" s="3328">
        <v>65.06</v>
      </c>
      <c r="F33" s="1700">
        <f>LOOKUP(E33,103:103,104:104)-LOOKUP(C33,103:103,104:104)+100</f>
        <v>108</v>
      </c>
      <c r="G33" s="3329">
        <f>Sheet1!L32</f>
        <v>84.7</v>
      </c>
      <c r="H33" s="1698">
        <f>LOOKUP(G33,103:103,104:104)-LOOKUP(C33,103:103,104:104)+100</f>
        <v>106</v>
      </c>
      <c r="I33" s="3328">
        <f>Sheet1!L3</f>
        <v>63.9</v>
      </c>
      <c r="J33" s="1698">
        <f>LOOKUP(I33,103:103,104:104)-LOOKUP(C33,103:103,104:104)+100</f>
        <v>108</v>
      </c>
      <c r="K33" s="1710"/>
      <c r="L33" s="3001"/>
      <c r="M33" s="2060"/>
      <c r="N33" s="2060"/>
      <c r="O33" s="2060"/>
      <c r="P33" s="3648"/>
      <c r="Q33" s="1767" t="str">
        <f t="shared" si="11"/>
        <v>项目建筑规模</v>
      </c>
      <c r="R33" s="1768" t="s">
        <v>28</v>
      </c>
      <c r="S33" s="1769">
        <f t="shared" si="12"/>
        <v>108</v>
      </c>
      <c r="T33" s="1768" t="s">
        <v>28</v>
      </c>
      <c r="U33" s="1769">
        <f t="shared" si="13"/>
        <v>106</v>
      </c>
      <c r="V33" s="1768" t="s">
        <v>28</v>
      </c>
      <c r="W33" s="1769">
        <f t="shared" si="14"/>
        <v>108</v>
      </c>
      <c r="X33" s="1770"/>
      <c r="Y33" s="3650"/>
      <c r="Z33" s="1771" t="str">
        <f t="shared" si="15"/>
        <v>项目建筑规模</v>
      </c>
      <c r="AA33" s="1729">
        <f t="shared" si="3"/>
        <v>0.92592592592592593</v>
      </c>
      <c r="AB33" s="1729">
        <f t="shared" si="4"/>
        <v>0.94339622641509435</v>
      </c>
      <c r="AC33" s="1729">
        <f t="shared" si="5"/>
        <v>0.92592592592592593</v>
      </c>
    </row>
    <row r="34" spans="1:29" ht="15">
      <c r="A34" s="1773"/>
      <c r="B34" s="1696" t="s">
        <v>2278</v>
      </c>
      <c r="C34" s="1774" t="s">
        <v>2901</v>
      </c>
      <c r="D34" s="1712">
        <v>100</v>
      </c>
      <c r="E34" s="1775" t="s">
        <v>2901</v>
      </c>
      <c r="F34" s="1755">
        <f>SUMIF(105:105,E34,106:106)-SUMIF(105:105,C34,106:106)+100</f>
        <v>100</v>
      </c>
      <c r="G34" s="1774" t="s">
        <v>2901</v>
      </c>
      <c r="H34" s="1712">
        <f>SUMIF(105:105,G34,106:106)-SUMIF(105:105,C34,106:106)+100</f>
        <v>100</v>
      </c>
      <c r="I34" s="1775" t="s">
        <v>2901</v>
      </c>
      <c r="J34" s="1712">
        <f>SUMIF(105:105,I34,106:106)-SUMIF(105:105,C34,106:106)+100</f>
        <v>100</v>
      </c>
      <c r="K34" s="1701"/>
      <c r="L34" s="3002"/>
      <c r="M34" s="2998"/>
      <c r="N34" s="2998"/>
      <c r="O34" s="2998"/>
      <c r="P34" s="3648"/>
      <c r="Q34" s="1616" t="str">
        <f t="shared" si="11"/>
        <v>建筑结构</v>
      </c>
      <c r="R34" s="1726" t="s">
        <v>28</v>
      </c>
      <c r="S34" s="1727">
        <f t="shared" si="12"/>
        <v>100</v>
      </c>
      <c r="T34" s="1726" t="s">
        <v>28</v>
      </c>
      <c r="U34" s="1727">
        <f t="shared" si="13"/>
        <v>100</v>
      </c>
      <c r="V34" s="1726" t="s">
        <v>28</v>
      </c>
      <c r="W34" s="1727">
        <f t="shared" si="14"/>
        <v>100</v>
      </c>
      <c r="X34" s="1666"/>
      <c r="Y34" s="3650"/>
      <c r="Z34" s="1728" t="str">
        <f t="shared" si="15"/>
        <v>建筑结构</v>
      </c>
      <c r="AA34" s="1729">
        <f t="shared" si="3"/>
        <v>1</v>
      </c>
      <c r="AB34" s="1729">
        <f t="shared" si="4"/>
        <v>1</v>
      </c>
      <c r="AC34" s="1729">
        <f t="shared" si="5"/>
        <v>1</v>
      </c>
    </row>
    <row r="35" spans="1:29" ht="15" hidden="1">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648"/>
      <c r="Q35" s="1616" t="str">
        <f t="shared" si="11"/>
        <v>建筑品质</v>
      </c>
      <c r="R35" s="1726" t="s">
        <v>28</v>
      </c>
      <c r="S35" s="1727">
        <f t="shared" si="12"/>
        <v>100</v>
      </c>
      <c r="T35" s="1726" t="s">
        <v>28</v>
      </c>
      <c r="U35" s="1727">
        <f t="shared" si="13"/>
        <v>100</v>
      </c>
      <c r="V35" s="1726" t="s">
        <v>28</v>
      </c>
      <c r="W35" s="1727">
        <f t="shared" si="14"/>
        <v>100</v>
      </c>
      <c r="X35" s="1666"/>
      <c r="Y35" s="3650"/>
      <c r="Z35" s="1728" t="str">
        <f t="shared" si="15"/>
        <v>建筑品质</v>
      </c>
      <c r="AA35" s="1729">
        <f t="shared" si="3"/>
        <v>1</v>
      </c>
      <c r="AB35" s="1729">
        <f t="shared" si="4"/>
        <v>1</v>
      </c>
      <c r="AC35" s="1729">
        <f t="shared" si="5"/>
        <v>1</v>
      </c>
    </row>
    <row r="36" spans="1:29" ht="15" hidden="1">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648"/>
      <c r="Q36" s="1616" t="str">
        <f t="shared" si="11"/>
        <v>公共部分装修</v>
      </c>
      <c r="R36" s="1726" t="s">
        <v>28</v>
      </c>
      <c r="S36" s="1727">
        <f t="shared" si="12"/>
        <v>100</v>
      </c>
      <c r="T36" s="1726" t="s">
        <v>28</v>
      </c>
      <c r="U36" s="1727">
        <f t="shared" si="13"/>
        <v>100</v>
      </c>
      <c r="V36" s="1726" t="s">
        <v>28</v>
      </c>
      <c r="W36" s="1727">
        <f t="shared" si="14"/>
        <v>100</v>
      </c>
      <c r="X36" s="1666"/>
      <c r="Y36" s="3650"/>
      <c r="Z36" s="1728" t="str">
        <f t="shared" si="15"/>
        <v>公共部分装修</v>
      </c>
      <c r="AA36" s="1729">
        <f t="shared" si="3"/>
        <v>1</v>
      </c>
      <c r="AB36" s="1729">
        <f t="shared" si="4"/>
        <v>1</v>
      </c>
      <c r="AC36" s="1729">
        <f t="shared" si="5"/>
        <v>1</v>
      </c>
    </row>
    <row r="37" spans="1:29" s="1685" customFormat="1" ht="15" hidden="1">
      <c r="A37" s="1776"/>
      <c r="B37" s="1696" t="s">
        <v>2281</v>
      </c>
      <c r="C37" s="1777">
        <v>0.9</v>
      </c>
      <c r="D37" s="1698">
        <v>100</v>
      </c>
      <c r="E37" s="1778">
        <f>C37</f>
        <v>0.9</v>
      </c>
      <c r="F37" s="1700">
        <f>LOOKUP(E37,112:112,113:113)-LOOKUP(C37,112:112,113:113)+100</f>
        <v>100</v>
      </c>
      <c r="G37" s="1779">
        <f>C37</f>
        <v>0.9</v>
      </c>
      <c r="H37" s="1698">
        <f>LOOKUP(G37,112:112,113:113)-LOOKUP(C37,112:112,113:113)+100</f>
        <v>100</v>
      </c>
      <c r="I37" s="1778">
        <f>C37</f>
        <v>0.9</v>
      </c>
      <c r="J37" s="1698">
        <f>LOOKUP(I37,112:112,113:113)-LOOKUP(C37,112:112,113:113)+100</f>
        <v>100</v>
      </c>
      <c r="K37" s="1701"/>
      <c r="L37" s="2997"/>
      <c r="M37" s="2970"/>
      <c r="N37" s="2970"/>
      <c r="O37" s="2970"/>
      <c r="P37" s="3648"/>
      <c r="Q37" s="1635" t="str">
        <f t="shared" si="11"/>
        <v>成新度</v>
      </c>
      <c r="R37" s="1681" t="s">
        <v>28</v>
      </c>
      <c r="S37" s="1682">
        <f t="shared" si="12"/>
        <v>100</v>
      </c>
      <c r="T37" s="1681" t="s">
        <v>28</v>
      </c>
      <c r="U37" s="1682">
        <f t="shared" si="13"/>
        <v>100</v>
      </c>
      <c r="V37" s="1681" t="s">
        <v>28</v>
      </c>
      <c r="W37" s="1682">
        <f t="shared" si="14"/>
        <v>100</v>
      </c>
      <c r="X37" s="1683"/>
      <c r="Y37" s="3650"/>
      <c r="Z37" s="1694" t="str">
        <f t="shared" si="15"/>
        <v>成新度</v>
      </c>
      <c r="AA37" s="1684">
        <f t="shared" si="3"/>
        <v>1</v>
      </c>
      <c r="AB37" s="1684">
        <f t="shared" si="4"/>
        <v>1</v>
      </c>
      <c r="AC37" s="1684">
        <f t="shared" si="5"/>
        <v>1</v>
      </c>
    </row>
    <row r="38" spans="1:29" ht="15">
      <c r="A38" s="1773"/>
      <c r="B38" s="1696" t="s">
        <v>2282</v>
      </c>
      <c r="C38" s="1756" t="s">
        <v>3008</v>
      </c>
      <c r="D38" s="1712">
        <v>100</v>
      </c>
      <c r="E38" s="1754" t="s">
        <v>3008</v>
      </c>
      <c r="F38" s="1755">
        <f>SUMIF(114:114,E38,115:115)-SUMIF(114:114,C38,115:115)+100</f>
        <v>100</v>
      </c>
      <c r="G38" s="1756" t="s">
        <v>3008</v>
      </c>
      <c r="H38" s="1712">
        <f>SUMIF(114:114,G38,115:115)-SUMIF(114:114,C38,115:115)+100</f>
        <v>100</v>
      </c>
      <c r="I38" s="1754" t="s">
        <v>3008</v>
      </c>
      <c r="J38" s="1712">
        <f>SUMIF(114:114,I38,115:115)-SUMIF(114:114,C38,115:115)+100</f>
        <v>100</v>
      </c>
      <c r="K38" s="1701"/>
      <c r="L38" s="3002"/>
      <c r="M38" s="2998"/>
      <c r="N38" s="2998"/>
      <c r="O38" s="2998"/>
      <c r="P38" s="3648" t="s">
        <v>2276</v>
      </c>
      <c r="Q38" s="1616" t="str">
        <f t="shared" si="11"/>
        <v>物业管理</v>
      </c>
      <c r="R38" s="1726" t="s">
        <v>28</v>
      </c>
      <c r="S38" s="1727">
        <f t="shared" si="12"/>
        <v>100</v>
      </c>
      <c r="T38" s="1726" t="s">
        <v>28</v>
      </c>
      <c r="U38" s="1727">
        <f t="shared" si="13"/>
        <v>100</v>
      </c>
      <c r="V38" s="1726" t="s">
        <v>28</v>
      </c>
      <c r="W38" s="1727">
        <f t="shared" si="14"/>
        <v>100</v>
      </c>
      <c r="X38" s="1666"/>
      <c r="Y38" s="3650" t="s">
        <v>2276</v>
      </c>
      <c r="Z38" s="1728" t="str">
        <f t="shared" si="15"/>
        <v>物业管理</v>
      </c>
      <c r="AA38" s="1729">
        <f t="shared" si="3"/>
        <v>1</v>
      </c>
      <c r="AB38" s="1729">
        <f t="shared" si="4"/>
        <v>1</v>
      </c>
      <c r="AC38" s="1729">
        <f t="shared" si="5"/>
        <v>1</v>
      </c>
    </row>
    <row r="39" spans="1:29" ht="15">
      <c r="A39" s="1773"/>
      <c r="B39" s="1696" t="s">
        <v>2283</v>
      </c>
      <c r="C39" s="1756" t="s">
        <v>2942</v>
      </c>
      <c r="D39" s="1712">
        <v>100</v>
      </c>
      <c r="E39" s="1754" t="s">
        <v>2942</v>
      </c>
      <c r="F39" s="1755">
        <f>SUMIF(116:116,E39,117:117)-SUMIF(116:116,C39,117:117)+100</f>
        <v>100</v>
      </c>
      <c r="G39" s="1756" t="s">
        <v>2942</v>
      </c>
      <c r="H39" s="1712">
        <f>SUMIF(116:116,G39,117:117)-SUMIF(116:116,C39,117:117)+100</f>
        <v>100</v>
      </c>
      <c r="I39" s="1754" t="s">
        <v>2942</v>
      </c>
      <c r="J39" s="1712">
        <f>SUMIF(116:116,I39,117:117)-SUMIF(116:116,C39,117:117)+100</f>
        <v>100</v>
      </c>
      <c r="K39" s="1701"/>
      <c r="L39" s="3002"/>
      <c r="M39" s="2998"/>
      <c r="N39" s="2998"/>
      <c r="O39" s="2998"/>
      <c r="P39" s="3648"/>
      <c r="Q39" s="1616" t="str">
        <f t="shared" si="11"/>
        <v>市政基础设施</v>
      </c>
      <c r="R39" s="1726" t="s">
        <v>28</v>
      </c>
      <c r="S39" s="1727">
        <f t="shared" si="12"/>
        <v>100</v>
      </c>
      <c r="T39" s="1726" t="s">
        <v>28</v>
      </c>
      <c r="U39" s="1727">
        <f t="shared" si="13"/>
        <v>100</v>
      </c>
      <c r="V39" s="1726" t="s">
        <v>28</v>
      </c>
      <c r="W39" s="1727">
        <f t="shared" si="14"/>
        <v>100</v>
      </c>
      <c r="X39" s="1666"/>
      <c r="Y39" s="3650"/>
      <c r="Z39" s="1728" t="str">
        <f t="shared" si="15"/>
        <v>市政基础设施</v>
      </c>
      <c r="AA39" s="1729">
        <f t="shared" si="3"/>
        <v>1</v>
      </c>
      <c r="AB39" s="1729">
        <f t="shared" si="4"/>
        <v>1</v>
      </c>
      <c r="AC39" s="1729">
        <f t="shared" si="5"/>
        <v>1</v>
      </c>
    </row>
    <row r="40" spans="1:29" ht="15">
      <c r="A40" s="1773"/>
      <c r="B40" s="1696" t="s">
        <v>2284</v>
      </c>
      <c r="C40" s="1756" t="s">
        <v>2902</v>
      </c>
      <c r="D40" s="1712">
        <v>100</v>
      </c>
      <c r="E40" s="1754" t="s">
        <v>2902</v>
      </c>
      <c r="F40" s="1755">
        <f>SUMIF(118:118,E40,119:119)-SUMIF(118:118,C40,119:119)+100</f>
        <v>100</v>
      </c>
      <c r="G40" s="1756" t="s">
        <v>2902</v>
      </c>
      <c r="H40" s="1712">
        <f>SUMIF(118:118,G40,119:119)-SUMIF(118:118,C40,119:119)+100</f>
        <v>100</v>
      </c>
      <c r="I40" s="1754" t="s">
        <v>2902</v>
      </c>
      <c r="J40" s="1712">
        <f>SUMIF(118:118,I40,119:119)-SUMIF(118:118,C40,119:119)+100</f>
        <v>100</v>
      </c>
      <c r="K40" s="1701"/>
      <c r="L40" s="3002"/>
      <c r="M40" s="2998"/>
      <c r="N40" s="2998"/>
      <c r="O40" s="2998"/>
      <c r="P40" s="3648"/>
      <c r="Q40" s="1616" t="str">
        <f t="shared" si="11"/>
        <v>房型</v>
      </c>
      <c r="R40" s="1726" t="s">
        <v>28</v>
      </c>
      <c r="S40" s="1727">
        <f t="shared" si="12"/>
        <v>100</v>
      </c>
      <c r="T40" s="1726" t="s">
        <v>28</v>
      </c>
      <c r="U40" s="1727">
        <f t="shared" si="13"/>
        <v>100</v>
      </c>
      <c r="V40" s="1726" t="s">
        <v>28</v>
      </c>
      <c r="W40" s="1727">
        <f t="shared" si="14"/>
        <v>100</v>
      </c>
      <c r="X40" s="1666"/>
      <c r="Y40" s="3650"/>
      <c r="Z40" s="1728" t="str">
        <f t="shared" si="15"/>
        <v>房型</v>
      </c>
      <c r="AA40" s="1729">
        <f t="shared" si="3"/>
        <v>1</v>
      </c>
      <c r="AB40" s="1729">
        <f t="shared" si="4"/>
        <v>1</v>
      </c>
      <c r="AC40" s="1729">
        <f t="shared" si="5"/>
        <v>1</v>
      </c>
    </row>
    <row r="41" spans="1:29" s="1772" customFormat="1" ht="28.5" hidden="1">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648"/>
      <c r="Q41" s="1767" t="str">
        <f t="shared" si="11"/>
        <v>单套/主力户型建筑面积</v>
      </c>
      <c r="R41" s="1768" t="s">
        <v>28</v>
      </c>
      <c r="S41" s="1769">
        <f t="shared" si="12"/>
        <v>100</v>
      </c>
      <c r="T41" s="1768" t="s">
        <v>28</v>
      </c>
      <c r="U41" s="1769">
        <f t="shared" si="13"/>
        <v>100</v>
      </c>
      <c r="V41" s="1768" t="s">
        <v>28</v>
      </c>
      <c r="W41" s="1769">
        <f t="shared" si="14"/>
        <v>100</v>
      </c>
      <c r="X41" s="1770"/>
      <c r="Y41" s="3650"/>
      <c r="Z41" s="1771" t="str">
        <f t="shared" si="15"/>
        <v>单套/主力户型建筑面积</v>
      </c>
      <c r="AA41" s="1729">
        <f t="shared" si="3"/>
        <v>1</v>
      </c>
      <c r="AB41" s="1729">
        <f t="shared" si="4"/>
        <v>1</v>
      </c>
      <c r="AC41" s="1729">
        <f t="shared" si="5"/>
        <v>1</v>
      </c>
    </row>
    <row r="42" spans="1:29" ht="15">
      <c r="A42" s="1773"/>
      <c r="B42" s="1696" t="s">
        <v>2286</v>
      </c>
      <c r="C42" s="1756" t="s">
        <v>3634</v>
      </c>
      <c r="D42" s="1712">
        <v>100</v>
      </c>
      <c r="E42" s="1754" t="s">
        <v>2945</v>
      </c>
      <c r="F42" s="1755">
        <f>SUMIF(122:122,E42,123:123)-SUMIF(122:122,C42,123:123)+100</f>
        <v>106</v>
      </c>
      <c r="G42" s="1756" t="s">
        <v>2945</v>
      </c>
      <c r="H42" s="1712">
        <f>SUMIF(122:122,G42,123:123)-SUMIF(122:122,C42,123:123)+100</f>
        <v>106</v>
      </c>
      <c r="I42" s="1754" t="s">
        <v>2945</v>
      </c>
      <c r="J42" s="1712">
        <f>SUMIF(122:122,I42,123:123)-SUMIF(122:122,C42,123:123)+100</f>
        <v>106</v>
      </c>
      <c r="K42" s="1701">
        <v>6</v>
      </c>
      <c r="L42" s="3002"/>
      <c r="M42" s="2998"/>
      <c r="N42" s="2998"/>
      <c r="O42" s="2998"/>
      <c r="P42" s="3648"/>
      <c r="Q42" s="1616" t="str">
        <f t="shared" si="11"/>
        <v>内部装修</v>
      </c>
      <c r="R42" s="1726" t="s">
        <v>28</v>
      </c>
      <c r="S42" s="1727">
        <f t="shared" si="12"/>
        <v>106</v>
      </c>
      <c r="T42" s="1726" t="s">
        <v>28</v>
      </c>
      <c r="U42" s="1727">
        <f t="shared" si="13"/>
        <v>106</v>
      </c>
      <c r="V42" s="1726" t="s">
        <v>28</v>
      </c>
      <c r="W42" s="1727">
        <f t="shared" si="14"/>
        <v>106</v>
      </c>
      <c r="X42" s="1666"/>
      <c r="Y42" s="3650"/>
      <c r="Z42" s="1728" t="str">
        <f t="shared" si="15"/>
        <v>内部装修</v>
      </c>
      <c r="AA42" s="1729">
        <f t="shared" si="3"/>
        <v>0.94339622641509435</v>
      </c>
      <c r="AB42" s="1729">
        <f t="shared" si="4"/>
        <v>0.94339622641509435</v>
      </c>
      <c r="AC42" s="1729">
        <f t="shared" si="5"/>
        <v>0.94339622641509435</v>
      </c>
    </row>
    <row r="43" spans="1:29" ht="15" hidden="1">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648"/>
      <c r="Q43" s="1616" t="str">
        <f t="shared" si="11"/>
        <v>内部装修维护情况</v>
      </c>
      <c r="R43" s="1726" t="s">
        <v>28</v>
      </c>
      <c r="S43" s="1727">
        <f t="shared" si="12"/>
        <v>100</v>
      </c>
      <c r="T43" s="1726" t="s">
        <v>28</v>
      </c>
      <c r="U43" s="1727">
        <f t="shared" si="13"/>
        <v>100</v>
      </c>
      <c r="V43" s="1726" t="s">
        <v>28</v>
      </c>
      <c r="W43" s="1727">
        <f t="shared" si="14"/>
        <v>100</v>
      </c>
      <c r="X43" s="1666"/>
      <c r="Y43" s="3650"/>
      <c r="Z43" s="1728" t="str">
        <f t="shared" si="15"/>
        <v>内部装修维护情况</v>
      </c>
      <c r="AA43" s="1729">
        <f t="shared" si="3"/>
        <v>1</v>
      </c>
      <c r="AB43" s="1729">
        <f t="shared" si="4"/>
        <v>1</v>
      </c>
      <c r="AC43" s="1729">
        <f t="shared" si="5"/>
        <v>1</v>
      </c>
    </row>
    <row r="44" spans="1:29" s="1685" customFormat="1" ht="15.75" thickBot="1">
      <c r="A44" s="1776"/>
      <c r="B44" s="3165" t="s">
        <v>2941</v>
      </c>
      <c r="C44" s="1766">
        <v>1992</v>
      </c>
      <c r="D44" s="1698">
        <v>100</v>
      </c>
      <c r="E44" s="1766">
        <f>C44</f>
        <v>1992</v>
      </c>
      <c r="F44" s="1700">
        <f>SUMIF(126:126,E44,127:127)-SUMIF(126:126,C44,127:127)+100</f>
        <v>100</v>
      </c>
      <c r="G44" s="1766">
        <v>1989</v>
      </c>
      <c r="H44" s="1698">
        <f>SUMIF(126:126,G44,127:127)-SUMIF(126:126,C44,127:127)+100</f>
        <v>100</v>
      </c>
      <c r="I44" s="1766">
        <v>1989</v>
      </c>
      <c r="J44" s="1698">
        <f>SUMIF(126:126,I44,127:127)-SUMIF(126:126,C44,127:127)+100</f>
        <v>100</v>
      </c>
      <c r="K44" s="1710"/>
      <c r="L44" s="2997"/>
      <c r="M44" s="2970"/>
      <c r="N44" s="2970"/>
      <c r="O44" s="2970"/>
      <c r="P44" s="3648"/>
      <c r="Q44" s="1635" t="str">
        <f t="shared" si="11"/>
        <v>建成年代</v>
      </c>
      <c r="R44" s="1681" t="s">
        <v>28</v>
      </c>
      <c r="S44" s="1682">
        <f t="shared" si="12"/>
        <v>100</v>
      </c>
      <c r="T44" s="1681" t="s">
        <v>28</v>
      </c>
      <c r="U44" s="1682">
        <f t="shared" si="13"/>
        <v>100</v>
      </c>
      <c r="V44" s="1681" t="s">
        <v>28</v>
      </c>
      <c r="W44" s="1682">
        <f t="shared" si="14"/>
        <v>100</v>
      </c>
      <c r="X44" s="1683"/>
      <c r="Y44" s="3650"/>
      <c r="Z44" s="1694" t="str">
        <f t="shared" si="15"/>
        <v>建成年代</v>
      </c>
      <c r="AA44" s="1684">
        <f t="shared" si="3"/>
        <v>1</v>
      </c>
      <c r="AB44" s="1684">
        <f t="shared" si="4"/>
        <v>1</v>
      </c>
      <c r="AC44" s="1684">
        <f t="shared" si="5"/>
        <v>1</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648"/>
      <c r="Q45" s="1616">
        <f t="shared" si="11"/>
        <v>111</v>
      </c>
      <c r="R45" s="1726" t="s">
        <v>28</v>
      </c>
      <c r="S45" s="1727">
        <f t="shared" si="12"/>
        <v>100</v>
      </c>
      <c r="T45" s="1726" t="s">
        <v>28</v>
      </c>
      <c r="U45" s="1727">
        <f t="shared" si="13"/>
        <v>100</v>
      </c>
      <c r="V45" s="1726" t="s">
        <v>28</v>
      </c>
      <c r="W45" s="1727">
        <f t="shared" si="14"/>
        <v>100</v>
      </c>
      <c r="X45" s="1666"/>
      <c r="Y45" s="3650"/>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649"/>
      <c r="Q46" s="1616">
        <f t="shared" si="11"/>
        <v>111</v>
      </c>
      <c r="R46" s="1726" t="s">
        <v>27</v>
      </c>
      <c r="S46" s="1727">
        <f t="shared" si="12"/>
        <v>100</v>
      </c>
      <c r="T46" s="1726" t="s">
        <v>27</v>
      </c>
      <c r="U46" s="1727">
        <f t="shared" si="13"/>
        <v>100</v>
      </c>
      <c r="V46" s="1726" t="s">
        <v>27</v>
      </c>
      <c r="W46" s="1727">
        <f t="shared" si="14"/>
        <v>100</v>
      </c>
      <c r="X46" s="1666"/>
      <c r="Y46" s="3651"/>
      <c r="Z46" s="1728">
        <f t="shared" si="15"/>
        <v>111</v>
      </c>
      <c r="AA46" s="1729">
        <f t="shared" si="3"/>
        <v>1</v>
      </c>
      <c r="AB46" s="1729">
        <f t="shared" si="4"/>
        <v>1</v>
      </c>
      <c r="AC46" s="1729">
        <f t="shared" si="5"/>
        <v>1</v>
      </c>
    </row>
    <row r="47" spans="1:29" ht="15">
      <c r="A47" s="1782" t="s">
        <v>2288</v>
      </c>
      <c r="B47" s="1783"/>
      <c r="C47" s="1784" t="s">
        <v>26</v>
      </c>
      <c r="D47" s="1785"/>
      <c r="E47" s="1786">
        <f>Sheet1!R11</f>
        <v>18906</v>
      </c>
      <c r="F47" s="1787"/>
      <c r="G47" s="1788">
        <f>Sheet1!R32</f>
        <v>16057</v>
      </c>
      <c r="H47" s="1789"/>
      <c r="I47" s="1786">
        <f>Sheet1!R3</f>
        <v>15649</v>
      </c>
      <c r="J47" s="1789"/>
      <c r="K47" s="1790"/>
      <c r="L47" s="3003"/>
      <c r="N47" s="2998"/>
      <c r="P47" s="3657" t="str">
        <f>A47</f>
        <v>成交单价（元/平方米）</v>
      </c>
      <c r="Q47" s="3657"/>
      <c r="R47" s="3658">
        <f>E47</f>
        <v>18906</v>
      </c>
      <c r="S47" s="3658"/>
      <c r="T47" s="3658">
        <f>G47</f>
        <v>16057</v>
      </c>
      <c r="U47" s="3658"/>
      <c r="V47" s="3658">
        <f>I47</f>
        <v>15649</v>
      </c>
      <c r="W47" s="3658"/>
      <c r="X47" s="1792"/>
      <c r="Y47" s="1793"/>
      <c r="Z47" s="1792"/>
      <c r="AA47" s="1792"/>
      <c r="AB47" s="1792"/>
      <c r="AC47" s="1792"/>
    </row>
    <row r="48" spans="1:29" ht="15.75" thickBot="1">
      <c r="A48" s="1794" t="s">
        <v>2289</v>
      </c>
      <c r="B48" s="1795"/>
      <c r="C48" s="1796">
        <f>R49</f>
        <v>14362.7</v>
      </c>
      <c r="D48" s="1797" t="s">
        <v>2744</v>
      </c>
      <c r="E48" s="1798">
        <f>R48</f>
        <v>15807.3</v>
      </c>
      <c r="F48" s="1799"/>
      <c r="G48" s="1796">
        <f>T48</f>
        <v>13789.8</v>
      </c>
      <c r="H48" s="1799"/>
      <c r="I48" s="1798">
        <f>V48</f>
        <v>13490.9</v>
      </c>
      <c r="J48" s="1799"/>
      <c r="K48" s="2512">
        <f>F48+H48+J48</f>
        <v>0</v>
      </c>
      <c r="L48" s="3003"/>
      <c r="P48" s="3657" t="str">
        <f>A48</f>
        <v>比较价值（元/平方米）</v>
      </c>
      <c r="Q48" s="3657"/>
      <c r="R48" s="3658">
        <f>IF(E1="售价",ROUND(PRODUCT(R47,AA7:AA46),0),ROUND(PRODUCT(R47,AA7:AA46),1))</f>
        <v>15807.3</v>
      </c>
      <c r="S48" s="3658"/>
      <c r="T48" s="3661">
        <f>IF(E1="售价",ROUND(PRODUCT(T47,AB7:AB46),0),ROUND(PRODUCT(T47,AB7:AB46),1))</f>
        <v>13789.8</v>
      </c>
      <c r="U48" s="3662"/>
      <c r="V48" s="3658">
        <f>IF(E1="售价",ROUND(PRODUCT(V47,AC7:AC46),0),ROUND(PRODUCT(V47,AC7:AC46),1))</f>
        <v>13490.9</v>
      </c>
      <c r="W48" s="3658"/>
      <c r="X48" s="1792"/>
      <c r="Y48" s="1792"/>
      <c r="Z48" s="1792"/>
      <c r="AA48" s="1792"/>
      <c r="AB48" s="1792"/>
      <c r="AC48" s="1792"/>
    </row>
    <row r="49" spans="1:29" ht="15.75" thickBot="1">
      <c r="A49" s="1800" t="s">
        <v>2947</v>
      </c>
      <c r="B49" s="1801"/>
      <c r="C49" s="1802">
        <f>R49</f>
        <v>14362.7</v>
      </c>
      <c r="D49" s="1803"/>
      <c r="E49" s="1803"/>
      <c r="F49" s="1803"/>
      <c r="G49" s="1803"/>
      <c r="H49" s="1803"/>
      <c r="I49" s="1803"/>
      <c r="J49" s="1803"/>
      <c r="K49" s="1804"/>
      <c r="L49" s="3003"/>
      <c r="P49" s="3663" t="str">
        <f>A49</f>
        <v>估价对象住宅用房的比较价值（楼面单价，元/平方米）</v>
      </c>
      <c r="Q49" s="3664"/>
      <c r="R49" s="3665">
        <f>IF(E1="售价",ROUND(IF(D48="简单平均",AVERAGE(R48:V48),R48*F48+T48*H48+V48*J48),0),ROUND(IF(D48="简单平均",AVERAGE(R48:V48),R48*F48+T48*H48+V48*J48),1))</f>
        <v>14362.7</v>
      </c>
      <c r="S49" s="3665"/>
      <c r="T49" s="3665"/>
      <c r="U49" s="3665"/>
      <c r="V49" s="3665"/>
      <c r="W49" s="3665"/>
      <c r="X49" s="1792"/>
      <c r="Y49" s="1792"/>
      <c r="Z49" s="1792"/>
      <c r="AA49" s="1792"/>
      <c r="AB49" s="1792"/>
      <c r="AC49" s="1792"/>
    </row>
    <row r="50" spans="1:29">
      <c r="G50" s="3007"/>
    </row>
    <row r="52" spans="1:29" ht="13.5" customHeight="1">
      <c r="C52" s="383" t="s">
        <v>2290</v>
      </c>
      <c r="D52" s="1808"/>
      <c r="E52" s="1809">
        <f>IF(E47&lt;E48,E48/E47-1,E47/E48-1)</f>
        <v>0.19602968248847064</v>
      </c>
      <c r="F52" s="1810" t="str">
        <f>IF(OR(E52&gt;=0.3,E52&lt;=-0.3),"超过30%","")</f>
        <v/>
      </c>
      <c r="G52" s="1809">
        <f>IF(G47&lt;G48,G48/G47-1,G47/G48-1)</f>
        <v>0.16441137652467774</v>
      </c>
      <c r="H52" s="1810" t="str">
        <f>IF(OR(G52&gt;=0.3,G52&lt;=-0.3),"超过30%","")</f>
        <v/>
      </c>
      <c r="I52" s="1809">
        <f>IF(I47&lt;I48,I48/I47-1,I47/I48-1)</f>
        <v>0.15996708892660982</v>
      </c>
      <c r="J52" s="1810" t="str">
        <f>IF(OR(I52&gt;=0.3,I52&lt;=-0.3),"超过30%","")</f>
        <v/>
      </c>
    </row>
    <row r="53" spans="1:29" ht="13.5" customHeight="1">
      <c r="C53" s="383" t="s">
        <v>2291</v>
      </c>
      <c r="D53" s="1811"/>
      <c r="E53" s="1809">
        <f>IF(E48&lt;G48,G48/E48-1,E48/G48-1)</f>
        <v>0.14630378975764691</v>
      </c>
      <c r="F53" s="1810" t="str">
        <f>IF(OR(E53&gt;=0.2,E53&lt;=-0.2),"超过20%","")</f>
        <v/>
      </c>
      <c r="G53" s="1809">
        <f>IF(G48&lt;I48,I48/G48-1,G48/I48-1)</f>
        <v>2.2155675307058864E-2</v>
      </c>
      <c r="H53" s="1810" t="str">
        <f>IF(OR(G53&gt;=0.2,G53&lt;=-0.2),"超过20%","")</f>
        <v/>
      </c>
      <c r="I53" s="1809">
        <f>IF(I48&lt;E48,E48/I48-1,I48/E48-1)</f>
        <v>0.17170092432676842</v>
      </c>
      <c r="J53" s="1810" t="str">
        <f>IF(OR(I53&gt;=0.2,I53&lt;=-0.2),"超过20%","")</f>
        <v/>
      </c>
    </row>
    <row r="54" spans="1:29" s="1814" customFormat="1" ht="13.5" customHeight="1">
      <c r="C54" s="383" t="s">
        <v>2292</v>
      </c>
      <c r="D54" s="1811"/>
      <c r="E54" s="1809">
        <f>IF(E47&lt;G47,G47/E47-1,E47/G47-1)</f>
        <v>0.17743040418509071</v>
      </c>
      <c r="F54" s="1810" t="str">
        <f>IF(OR(E54&gt;=0.3,E54&lt;=-0.3),"超过30%","")</f>
        <v/>
      </c>
      <c r="G54" s="1809">
        <f>IF(G47&lt;I47,I47/G47-1,G47/I47-1)</f>
        <v>2.6071953479455567E-2</v>
      </c>
      <c r="H54" s="1810" t="str">
        <f>IF(OR(G54&gt;=0.3,G54&lt;=-0.3),"超过30%","")</f>
        <v/>
      </c>
      <c r="I54" s="1809">
        <f>IF(I47&lt;E47,E47/I47-1,I47/E47-1)</f>
        <v>0.20812831490830086</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2009-9</v>
      </c>
      <c r="D58" s="1826">
        <f>EDATE(C58,-1)</f>
        <v>40026</v>
      </c>
      <c r="E58" s="1826">
        <f t="shared" ref="E58:O58" si="16">EDATE(D58,-1)</f>
        <v>39995</v>
      </c>
      <c r="F58" s="1826">
        <f t="shared" si="16"/>
        <v>39965</v>
      </c>
      <c r="G58" s="1826">
        <f t="shared" si="16"/>
        <v>39934</v>
      </c>
      <c r="H58" s="1826">
        <f t="shared" si="16"/>
        <v>39904</v>
      </c>
      <c r="I58" s="1826">
        <f t="shared" si="16"/>
        <v>39873</v>
      </c>
      <c r="J58" s="1826">
        <f t="shared" si="16"/>
        <v>39845</v>
      </c>
      <c r="K58" s="1826">
        <f t="shared" si="16"/>
        <v>39814</v>
      </c>
      <c r="L58" s="1826">
        <f t="shared" si="16"/>
        <v>39783</v>
      </c>
      <c r="M58" s="1826">
        <f t="shared" si="16"/>
        <v>39753</v>
      </c>
      <c r="N58" s="1826">
        <f t="shared" si="16"/>
        <v>39722</v>
      </c>
      <c r="O58" s="1826">
        <f t="shared" si="16"/>
        <v>39692</v>
      </c>
      <c r="P58" s="1827"/>
    </row>
    <row r="59" spans="1:29" s="1685" customFormat="1" ht="15">
      <c r="A59" s="1829"/>
      <c r="B59" s="1830"/>
      <c r="C59" s="1831">
        <v>100</v>
      </c>
      <c r="D59" s="1832">
        <v>99.5</v>
      </c>
      <c r="E59" s="1832">
        <v>99</v>
      </c>
      <c r="F59" s="1832">
        <v>98.5</v>
      </c>
      <c r="G59" s="1832">
        <v>98</v>
      </c>
      <c r="H59" s="1832">
        <v>97.5</v>
      </c>
      <c r="I59" s="1832">
        <v>97</v>
      </c>
      <c r="J59" s="1832">
        <v>96.5</v>
      </c>
      <c r="K59" s="1832">
        <v>96</v>
      </c>
      <c r="L59" s="1832">
        <v>95.5</v>
      </c>
      <c r="M59" s="1833">
        <v>95</v>
      </c>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2264</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95</v>
      </c>
      <c r="E77" s="1863">
        <f>D77-$K15</f>
        <v>90</v>
      </c>
      <c r="F77" s="1863">
        <f>E77-$K15</f>
        <v>85</v>
      </c>
      <c r="G77" s="1863">
        <f>F77-$K15</f>
        <v>80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3167" t="s">
        <v>2937</v>
      </c>
      <c r="D88" s="468"/>
      <c r="E88" s="3167" t="s">
        <v>2939</v>
      </c>
      <c r="F88" s="3169" t="s">
        <v>2946</v>
      </c>
      <c r="G88" s="3167" t="s">
        <v>2938</v>
      </c>
      <c r="H88" s="3167"/>
      <c r="I88" s="3167"/>
      <c r="J88" s="468"/>
      <c r="K88" s="468"/>
      <c r="L88" s="468"/>
      <c r="M88" s="1891"/>
      <c r="N88" s="1843"/>
      <c r="O88" s="1843"/>
      <c r="P88" s="1853"/>
      <c r="Q88" s="1822"/>
    </row>
    <row r="89" spans="1:17" s="1685" customFormat="1" ht="15.75" thickBot="1">
      <c r="A89" s="1890"/>
      <c r="B89" s="1862"/>
      <c r="C89" s="1892">
        <v>100</v>
      </c>
      <c r="D89" s="1863">
        <f t="shared" ref="D89:M89" si="21">C89-$K26</f>
        <v>99.5</v>
      </c>
      <c r="E89" s="1863">
        <f t="shared" si="21"/>
        <v>99</v>
      </c>
      <c r="F89" s="1863">
        <f t="shared" si="21"/>
        <v>98.5</v>
      </c>
      <c r="G89" s="1863">
        <f t="shared" si="21"/>
        <v>98</v>
      </c>
      <c r="H89" s="1863">
        <f t="shared" si="21"/>
        <v>97.5</v>
      </c>
      <c r="I89" s="1863">
        <f t="shared" si="21"/>
        <v>97</v>
      </c>
      <c r="J89" s="1863">
        <f t="shared" si="21"/>
        <v>96.5</v>
      </c>
      <c r="K89" s="1863">
        <f t="shared" si="21"/>
        <v>96</v>
      </c>
      <c r="L89" s="1863">
        <f t="shared" si="21"/>
        <v>95.5</v>
      </c>
      <c r="M89" s="1863">
        <f t="shared" si="21"/>
        <v>95</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t="str">
        <f>B28</f>
        <v>楼层</v>
      </c>
      <c r="C92" s="468" t="str">
        <f>C28</f>
        <v>3/10（低层）</v>
      </c>
      <c r="D92" s="468">
        <f>E28</f>
        <v>4</v>
      </c>
      <c r="E92" s="468">
        <f>G28</f>
        <v>12</v>
      </c>
      <c r="F92" s="468">
        <f>I28</f>
        <v>2</v>
      </c>
      <c r="G92" s="1578"/>
      <c r="H92" s="1578"/>
      <c r="I92" s="1578"/>
      <c r="J92" s="1578"/>
      <c r="K92" s="473"/>
      <c r="L92" s="473"/>
      <c r="M92" s="1894"/>
      <c r="N92" s="1852"/>
      <c r="O92" s="1852"/>
      <c r="P92" s="1853"/>
      <c r="Q92" s="1822"/>
    </row>
    <row r="93" spans="1:17" ht="15.75" thickBot="1">
      <c r="A93" s="1854"/>
      <c r="B93" s="1862"/>
      <c r="C93" s="1875">
        <v>100</v>
      </c>
      <c r="D93" s="1856">
        <v>100</v>
      </c>
      <c r="E93" s="1856">
        <v>100.2</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66" t="s">
        <v>2934</v>
      </c>
      <c r="D100" s="3166" t="s">
        <v>2935</v>
      </c>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2323</v>
      </c>
      <c r="C102" s="579" t="str">
        <f>C103&amp;"(含)"&amp;"-"&amp;D103</f>
        <v>0(含)-60</v>
      </c>
      <c r="D102" s="579" t="str">
        <f t="shared" ref="D102:L102" si="23">D103&amp;"(含)"&amp;"-"&amp;E103</f>
        <v>60(含)-70</v>
      </c>
      <c r="E102" s="579" t="str">
        <f t="shared" si="23"/>
        <v>70(含)-80</v>
      </c>
      <c r="F102" s="579" t="str">
        <f t="shared" si="23"/>
        <v>80(含)-90</v>
      </c>
      <c r="G102" s="579" t="str">
        <f t="shared" si="23"/>
        <v>90(含)-100</v>
      </c>
      <c r="H102" s="579" t="str">
        <f t="shared" si="23"/>
        <v>100(含)-110</v>
      </c>
      <c r="I102" s="579" t="str">
        <f t="shared" si="23"/>
        <v>110(含)-120</v>
      </c>
      <c r="J102" s="579" t="str">
        <f t="shared" si="23"/>
        <v>120(含)-130</v>
      </c>
      <c r="K102" s="579" t="str">
        <f t="shared" si="23"/>
        <v>130(含)-140</v>
      </c>
      <c r="L102" s="579" t="str">
        <f t="shared" si="23"/>
        <v>140(含)-150</v>
      </c>
      <c r="M102" s="579" t="str">
        <f>M103&amp;"(含)"&amp;"-"&amp;P103</f>
        <v>150(含)-</v>
      </c>
      <c r="N102" s="1843"/>
      <c r="O102" s="1843"/>
      <c r="P102" s="1853"/>
      <c r="Q102" s="1822"/>
    </row>
    <row r="103" spans="1:17" s="1772" customFormat="1">
      <c r="A103" s="1900"/>
      <c r="B103" s="1901"/>
      <c r="C103" s="1902">
        <v>0</v>
      </c>
      <c r="D103" s="1902">
        <v>60</v>
      </c>
      <c r="E103" s="1902">
        <v>70</v>
      </c>
      <c r="F103" s="1902">
        <v>80</v>
      </c>
      <c r="G103" s="1902">
        <v>90</v>
      </c>
      <c r="H103" s="1902">
        <v>100</v>
      </c>
      <c r="I103" s="1902">
        <v>110</v>
      </c>
      <c r="J103" s="485">
        <v>120</v>
      </c>
      <c r="K103" s="485">
        <v>130</v>
      </c>
      <c r="L103" s="485">
        <v>140</v>
      </c>
      <c r="M103" s="1903">
        <v>150</v>
      </c>
      <c r="N103" s="1872"/>
      <c r="O103" s="1872"/>
      <c r="P103" s="1873"/>
      <c r="Q103" s="1874"/>
    </row>
    <row r="104" spans="1:17" s="1772" customFormat="1" ht="15.75" thickBot="1">
      <c r="A104" s="1870"/>
      <c r="B104" s="1862"/>
      <c r="C104" s="1875">
        <v>100</v>
      </c>
      <c r="D104" s="1856">
        <v>99</v>
      </c>
      <c r="E104" s="1856">
        <v>98</v>
      </c>
      <c r="F104" s="1856">
        <v>97</v>
      </c>
      <c r="G104" s="1856">
        <v>96</v>
      </c>
      <c r="H104" s="1856">
        <v>95</v>
      </c>
      <c r="I104" s="1856">
        <v>94</v>
      </c>
      <c r="J104" s="1856">
        <v>93</v>
      </c>
      <c r="K104" s="1856">
        <v>92</v>
      </c>
      <c r="L104" s="1856">
        <v>91</v>
      </c>
      <c r="M104" s="1856">
        <v>90</v>
      </c>
      <c r="N104" s="1858"/>
      <c r="O104" s="1858"/>
      <c r="P104" s="1873"/>
      <c r="Q104" s="1874"/>
    </row>
    <row r="105" spans="1:17" ht="15" thickTop="1">
      <c r="A105" s="1904"/>
      <c r="B105" s="1859" t="s">
        <v>2324</v>
      </c>
      <c r="C105" s="3167" t="s">
        <v>2940</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67" t="s">
        <v>3009</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3167" t="s">
        <v>2943</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3168" t="s">
        <v>2944</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67"/>
      <c r="D122" s="3167" t="s">
        <v>3011</v>
      </c>
      <c r="E122" s="3167" t="s">
        <v>3012</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94</v>
      </c>
      <c r="E123" s="1863">
        <f t="shared" si="29"/>
        <v>88</v>
      </c>
      <c r="F123" s="1863">
        <f t="shared" si="29"/>
        <v>82</v>
      </c>
      <c r="G123" s="1863">
        <f t="shared" si="29"/>
        <v>76</v>
      </c>
      <c r="H123" s="1863">
        <f t="shared" si="29"/>
        <v>70</v>
      </c>
      <c r="I123" s="1863">
        <f t="shared" si="29"/>
        <v>64</v>
      </c>
      <c r="J123" s="1863">
        <f t="shared" si="29"/>
        <v>58</v>
      </c>
      <c r="K123" s="1863">
        <f t="shared" si="29"/>
        <v>52</v>
      </c>
      <c r="L123" s="1863">
        <f t="shared" si="29"/>
        <v>46</v>
      </c>
      <c r="M123" s="1863">
        <f t="shared" si="29"/>
        <v>40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2001</v>
      </c>
      <c r="D126" s="468">
        <v>2004</v>
      </c>
      <c r="E126" s="468">
        <v>2007</v>
      </c>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100.9</v>
      </c>
      <c r="E127" s="1856">
        <v>101.8</v>
      </c>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O73"/>
  <sheetViews>
    <sheetView topLeftCell="I1" workbookViewId="0">
      <selection activeCell="M11" sqref="M11"/>
    </sheetView>
  </sheetViews>
  <sheetFormatPr defaultRowHeight="13.5"/>
  <cols>
    <col min="1" max="19" width="9" style="3163"/>
    <col min="20" max="20" width="9" style="3163" hidden="1" customWidth="1"/>
    <col min="21" max="21" width="9" style="3163"/>
    <col min="22" max="24" width="0" style="3163" hidden="1" customWidth="1"/>
    <col min="25" max="58" width="9" style="3163"/>
    <col min="59" max="59" width="17" style="3163" customWidth="1"/>
    <col min="60" max="16384" width="9" style="3163"/>
  </cols>
  <sheetData>
    <row r="1" spans="1:74" s="3192" customFormat="1" ht="14.25" customHeight="1">
      <c r="A1" s="3170"/>
      <c r="B1" s="3171"/>
      <c r="C1" s="3172"/>
      <c r="D1" s="3172"/>
      <c r="E1" s="3172"/>
      <c r="F1" s="3172"/>
      <c r="G1" s="3172"/>
      <c r="H1" s="3172"/>
      <c r="I1" s="3172"/>
      <c r="J1" s="3172"/>
      <c r="K1" s="3173"/>
      <c r="L1" s="3174"/>
      <c r="M1" s="3175"/>
      <c r="N1" s="3174"/>
      <c r="O1" s="3175"/>
      <c r="P1" s="3174"/>
      <c r="Q1" s="3175"/>
      <c r="R1" s="3175"/>
      <c r="S1" s="3174"/>
      <c r="T1" s="3176"/>
      <c r="U1" s="3174"/>
      <c r="V1" s="3173" t="s">
        <v>2903</v>
      </c>
      <c r="W1" s="3173"/>
      <c r="X1" s="3177"/>
      <c r="Y1" s="3174"/>
      <c r="Z1" s="3175" t="s">
        <v>2904</v>
      </c>
      <c r="AA1" s="3174"/>
      <c r="AB1" s="3174"/>
      <c r="AC1" s="3174"/>
      <c r="AD1" s="3178"/>
      <c r="AE1" s="3174"/>
      <c r="AF1" s="3171"/>
      <c r="AG1" s="3171"/>
      <c r="AH1" s="3179"/>
      <c r="AI1" s="3171"/>
      <c r="AJ1" s="3180"/>
      <c r="AK1" s="3171"/>
      <c r="AL1" s="3181"/>
      <c r="AM1" s="3182"/>
      <c r="AN1" s="3183" t="s">
        <v>2951</v>
      </c>
      <c r="AO1" s="3183" t="s">
        <v>2952</v>
      </c>
      <c r="AP1" s="3183"/>
      <c r="AQ1" s="3183"/>
      <c r="AR1" s="3160"/>
      <c r="AS1" s="3160" t="s">
        <v>2953</v>
      </c>
      <c r="AT1" s="3160"/>
      <c r="AU1" s="3160"/>
      <c r="AV1" s="3183"/>
      <c r="AW1" s="3184"/>
      <c r="AX1" s="3184"/>
      <c r="AY1" s="3185"/>
      <c r="AZ1" s="3184"/>
      <c r="BA1" s="3184"/>
      <c r="BB1" s="3185"/>
      <c r="BC1" s="3184"/>
      <c r="BD1" s="3186"/>
      <c r="BE1" s="3184"/>
      <c r="BF1" s="3187"/>
      <c r="BG1" s="3188"/>
      <c r="BH1" s="3184"/>
      <c r="BI1" s="3184"/>
      <c r="BJ1" s="3189" t="s">
        <v>2954</v>
      </c>
      <c r="BK1" s="3190" t="s">
        <v>2955</v>
      </c>
      <c r="BL1" s="3173"/>
      <c r="BM1" s="3191"/>
      <c r="BN1" s="3191"/>
      <c r="BO1" s="3191"/>
      <c r="BP1" s="3191"/>
      <c r="BQ1" s="3160"/>
      <c r="BR1" s="3160"/>
    </row>
    <row r="2" spans="1:74" s="3202" customFormat="1" ht="15.75">
      <c r="A2" s="3193" t="s">
        <v>565</v>
      </c>
      <c r="B2" s="3183" t="s">
        <v>2905</v>
      </c>
      <c r="C2" s="3193" t="s">
        <v>2906</v>
      </c>
      <c r="D2" s="3193" t="s">
        <v>2896</v>
      </c>
      <c r="E2" s="3193" t="s">
        <v>2907</v>
      </c>
      <c r="F2" s="3193" t="s">
        <v>2956</v>
      </c>
      <c r="G2" s="3193" t="s">
        <v>2957</v>
      </c>
      <c r="H2" s="3193" t="s">
        <v>2958</v>
      </c>
      <c r="I2" s="3193" t="s">
        <v>2959</v>
      </c>
      <c r="J2" s="3193" t="s">
        <v>2960</v>
      </c>
      <c r="K2" s="3183" t="s">
        <v>2908</v>
      </c>
      <c r="L2" s="3183" t="s">
        <v>2909</v>
      </c>
      <c r="M2" s="3183" t="s">
        <v>2961</v>
      </c>
      <c r="N2" s="3183" t="s">
        <v>2962</v>
      </c>
      <c r="O2" s="3183" t="s">
        <v>2963</v>
      </c>
      <c r="P2" s="3183" t="s">
        <v>2900</v>
      </c>
      <c r="Q2" s="3183" t="s">
        <v>2964</v>
      </c>
      <c r="R2" s="3183" t="s">
        <v>2965</v>
      </c>
      <c r="S2" s="3183" t="s">
        <v>2910</v>
      </c>
      <c r="T2" s="3194" t="s">
        <v>2911</v>
      </c>
      <c r="U2" s="3183" t="s">
        <v>2966</v>
      </c>
      <c r="V2" s="3183" t="s">
        <v>2912</v>
      </c>
      <c r="W2" s="3183" t="s">
        <v>2913</v>
      </c>
      <c r="X2" s="3194" t="s">
        <v>2761</v>
      </c>
      <c r="Y2" s="3183" t="s">
        <v>2967</v>
      </c>
      <c r="Z2" s="3183" t="s">
        <v>2968</v>
      </c>
      <c r="AA2" s="3183" t="s">
        <v>2969</v>
      </c>
      <c r="AB2" s="3183" t="s">
        <v>2914</v>
      </c>
      <c r="AC2" s="3183" t="s">
        <v>2970</v>
      </c>
      <c r="AD2" s="3181" t="s">
        <v>2971</v>
      </c>
      <c r="AE2" s="3183" t="s">
        <v>2897</v>
      </c>
      <c r="AF2" s="3183" t="s">
        <v>2915</v>
      </c>
      <c r="AG2" s="3183" t="s">
        <v>2916</v>
      </c>
      <c r="AH2" s="3183" t="s">
        <v>2972</v>
      </c>
      <c r="AI2" s="3183" t="s">
        <v>2973</v>
      </c>
      <c r="AJ2" s="3195" t="s">
        <v>2974</v>
      </c>
      <c r="AK2" s="3183" t="s">
        <v>2975</v>
      </c>
      <c r="AL2" s="3181" t="s">
        <v>2976</v>
      </c>
      <c r="AM2" s="3182" t="s">
        <v>2977</v>
      </c>
      <c r="AN2" s="3183" t="s">
        <v>2978</v>
      </c>
      <c r="AO2" s="3183" t="s">
        <v>2899</v>
      </c>
      <c r="AP2" s="3183" t="s">
        <v>2979</v>
      </c>
      <c r="AQ2" s="3183" t="s">
        <v>2980</v>
      </c>
      <c r="AR2" s="3160" t="s">
        <v>2981</v>
      </c>
      <c r="AS2" s="3160" t="s">
        <v>2968</v>
      </c>
      <c r="AT2" s="3160" t="s">
        <v>2969</v>
      </c>
      <c r="AU2" s="3160" t="s">
        <v>2982</v>
      </c>
      <c r="AV2" s="3181" t="s">
        <v>2983</v>
      </c>
      <c r="AW2" s="3196" t="s">
        <v>2984</v>
      </c>
      <c r="AX2" s="3197" t="s">
        <v>2985</v>
      </c>
      <c r="AY2" s="3198" t="s">
        <v>2986</v>
      </c>
      <c r="AZ2" s="3196" t="s">
        <v>2987</v>
      </c>
      <c r="BA2" s="3196" t="s">
        <v>2988</v>
      </c>
      <c r="BB2" s="3198" t="s">
        <v>2989</v>
      </c>
      <c r="BC2" s="3196" t="s">
        <v>2990</v>
      </c>
      <c r="BD2" s="3199" t="s">
        <v>2991</v>
      </c>
      <c r="BE2" s="3196" t="s">
        <v>2992</v>
      </c>
      <c r="BF2" s="3200" t="s">
        <v>2993</v>
      </c>
      <c r="BG2" s="3201" t="s">
        <v>2994</v>
      </c>
      <c r="BH2" s="3201" t="s">
        <v>2995</v>
      </c>
      <c r="BI2" s="3201" t="s">
        <v>2996</v>
      </c>
      <c r="BJ2" s="3189" t="s">
        <v>2997</v>
      </c>
      <c r="BK2" s="3190" t="s">
        <v>2998</v>
      </c>
      <c r="BL2" s="3160" t="s">
        <v>2999</v>
      </c>
      <c r="BM2" s="3191" t="s">
        <v>3000</v>
      </c>
      <c r="BN2" s="3191" t="s">
        <v>3001</v>
      </c>
      <c r="BO2" s="3191" t="s">
        <v>3002</v>
      </c>
      <c r="BP2" s="3191"/>
      <c r="BQ2" s="3160" t="s">
        <v>3003</v>
      </c>
      <c r="BR2" s="3160" t="s">
        <v>3004</v>
      </c>
    </row>
    <row r="3" spans="1:74" s="3321" customFormat="1" ht="12" customHeight="1">
      <c r="A3" s="3301" t="s">
        <v>3013</v>
      </c>
      <c r="B3" s="3301" t="s">
        <v>3014</v>
      </c>
      <c r="C3" s="3302" t="s">
        <v>3015</v>
      </c>
      <c r="D3" s="3302" t="s">
        <v>3016</v>
      </c>
      <c r="E3" s="3301" t="s">
        <v>650</v>
      </c>
      <c r="F3" s="3352" t="s">
        <v>3017</v>
      </c>
      <c r="G3" s="3301"/>
      <c r="H3" s="3301" t="s">
        <v>3018</v>
      </c>
      <c r="I3" s="3301" t="s">
        <v>3019</v>
      </c>
      <c r="J3" s="3302" t="s">
        <v>3020</v>
      </c>
      <c r="K3" s="3301" t="s">
        <v>3021</v>
      </c>
      <c r="L3" s="3301">
        <v>63.9</v>
      </c>
      <c r="M3" s="3301">
        <v>2</v>
      </c>
      <c r="N3" s="3301" t="s">
        <v>3022</v>
      </c>
      <c r="O3" s="3301"/>
      <c r="P3" s="3301" t="s">
        <v>3023</v>
      </c>
      <c r="Q3" s="3323">
        <v>1000000</v>
      </c>
      <c r="R3" s="3301">
        <v>15649</v>
      </c>
      <c r="S3" s="3306">
        <v>79.23</v>
      </c>
      <c r="T3" s="3307">
        <v>792300</v>
      </c>
      <c r="U3" s="3301">
        <v>12400</v>
      </c>
      <c r="V3" s="3308">
        <v>0.2</v>
      </c>
      <c r="W3" s="3306">
        <v>63.38</v>
      </c>
      <c r="X3" s="3309">
        <v>633800</v>
      </c>
      <c r="Y3" s="3310">
        <v>2009</v>
      </c>
      <c r="Z3" s="3310">
        <v>3</v>
      </c>
      <c r="AA3" s="3310">
        <v>3</v>
      </c>
      <c r="AB3" s="3301">
        <v>1500</v>
      </c>
      <c r="AC3" s="3301" t="s">
        <v>3024</v>
      </c>
      <c r="AD3" s="3301"/>
      <c r="AE3" s="3310" t="s">
        <v>3025</v>
      </c>
      <c r="AF3" s="3301" t="s">
        <v>3026</v>
      </c>
      <c r="AG3" s="3311" t="s">
        <v>2919</v>
      </c>
      <c r="AH3" s="3301"/>
      <c r="AI3" s="3311" t="s">
        <v>3027</v>
      </c>
      <c r="AJ3" s="3312"/>
      <c r="AK3" s="3301" t="s">
        <v>3028</v>
      </c>
      <c r="AL3" s="3310">
        <v>23</v>
      </c>
      <c r="AM3" s="3310" t="s">
        <v>3029</v>
      </c>
      <c r="AN3" s="3310" t="s">
        <v>3030</v>
      </c>
      <c r="AO3" s="3310"/>
      <c r="AP3" s="3311" t="s">
        <v>3031</v>
      </c>
      <c r="AQ3" s="3301" t="s">
        <v>3032</v>
      </c>
      <c r="AR3" s="3310"/>
      <c r="AS3" s="3310"/>
      <c r="AT3" s="3310"/>
      <c r="AU3" s="3310"/>
      <c r="AV3" s="3310"/>
      <c r="AW3" s="3310" t="s">
        <v>3033</v>
      </c>
      <c r="AX3" s="3310"/>
      <c r="AY3" s="3314"/>
      <c r="AZ3" s="3310" t="s">
        <v>3021</v>
      </c>
      <c r="BA3" s="3310"/>
      <c r="BB3" s="3310"/>
      <c r="BC3" s="3310"/>
      <c r="BD3" s="3315"/>
      <c r="BE3" s="3314" t="s">
        <v>3034</v>
      </c>
      <c r="BF3" s="3316"/>
      <c r="BG3" s="3317">
        <v>39848</v>
      </c>
      <c r="BH3" s="3310"/>
      <c r="BI3" s="3301" t="s">
        <v>3031</v>
      </c>
      <c r="BJ3" s="3319"/>
      <c r="BK3" s="3319"/>
      <c r="BL3" s="3301" t="s">
        <v>3035</v>
      </c>
      <c r="BM3" s="3310" t="s">
        <v>3036</v>
      </c>
      <c r="BN3" s="3310" t="s">
        <v>3037</v>
      </c>
      <c r="BO3" s="3310" t="s">
        <v>3038</v>
      </c>
      <c r="BP3" s="3310"/>
      <c r="BQ3" s="3310" t="e">
        <v>#DIV/0!</v>
      </c>
      <c r="BR3" s="3310" t="e">
        <v>#DIV/0!</v>
      </c>
      <c r="BS3" s="3320" t="s">
        <v>3039</v>
      </c>
      <c r="BT3" s="3320" t="s">
        <v>3040</v>
      </c>
      <c r="BV3" s="3322"/>
    </row>
    <row r="4" spans="1:74" s="3161" customFormat="1" ht="12" hidden="1" customHeight="1">
      <c r="A4" s="3219" t="s">
        <v>3041</v>
      </c>
      <c r="B4" s="3219" t="s">
        <v>3042</v>
      </c>
      <c r="C4" s="3220" t="s">
        <v>3043</v>
      </c>
      <c r="D4" s="3219">
        <v>13810514375</v>
      </c>
      <c r="E4" s="3219" t="s">
        <v>650</v>
      </c>
      <c r="F4" s="3219" t="s">
        <v>3044</v>
      </c>
      <c r="G4" s="3219"/>
      <c r="H4" s="3219" t="s">
        <v>3045</v>
      </c>
      <c r="I4" s="3219"/>
      <c r="J4" s="3219" t="s">
        <v>3046</v>
      </c>
      <c r="K4" s="3219" t="s">
        <v>3047</v>
      </c>
      <c r="L4" s="3219">
        <v>65.06</v>
      </c>
      <c r="M4" s="3219" t="s">
        <v>3048</v>
      </c>
      <c r="N4" s="3219" t="s">
        <v>3022</v>
      </c>
      <c r="O4" s="3219"/>
      <c r="P4" s="3219" t="s">
        <v>3023</v>
      </c>
      <c r="Q4" s="3222">
        <v>900000</v>
      </c>
      <c r="R4" s="3219">
        <v>13833</v>
      </c>
      <c r="S4" s="3223">
        <v>79.02</v>
      </c>
      <c r="T4" s="3224">
        <v>790200</v>
      </c>
      <c r="U4" s="3235">
        <v>12146</v>
      </c>
      <c r="V4" s="3225">
        <v>0.2</v>
      </c>
      <c r="W4" s="3223">
        <v>63.21</v>
      </c>
      <c r="X4" s="3226">
        <v>632100</v>
      </c>
      <c r="Y4" s="3192">
        <v>2009</v>
      </c>
      <c r="Z4" s="3219">
        <v>5</v>
      </c>
      <c r="AA4" s="3192">
        <v>7</v>
      </c>
      <c r="AB4" s="3219">
        <v>1500</v>
      </c>
      <c r="AC4" s="3219" t="s">
        <v>3049</v>
      </c>
      <c r="AD4" s="3236"/>
      <c r="AE4" s="3219" t="s">
        <v>3050</v>
      </c>
      <c r="AF4" s="3219" t="s">
        <v>3026</v>
      </c>
      <c r="AG4" s="3219" t="s">
        <v>2919</v>
      </c>
      <c r="AH4" s="3219"/>
      <c r="AI4" s="3219" t="s">
        <v>3051</v>
      </c>
      <c r="AJ4" s="3219"/>
      <c r="AK4" s="3237">
        <v>5</v>
      </c>
      <c r="AL4" s="3219">
        <v>39</v>
      </c>
      <c r="AM4" s="3219"/>
      <c r="AN4" s="3162" t="s">
        <v>3030</v>
      </c>
      <c r="AO4" s="3219" t="s">
        <v>3052</v>
      </c>
      <c r="AP4" s="3219" t="s">
        <v>3053</v>
      </c>
      <c r="AQ4" s="3219" t="s">
        <v>3032</v>
      </c>
      <c r="AR4" s="3192"/>
      <c r="AS4" s="3219"/>
      <c r="AT4" s="3219"/>
      <c r="AU4" s="3219"/>
      <c r="AV4" s="3219"/>
      <c r="AW4" s="3192"/>
      <c r="AX4" s="3238"/>
      <c r="AY4" s="3219"/>
      <c r="AZ4" s="3219" t="s">
        <v>3054</v>
      </c>
      <c r="BA4" s="3219"/>
      <c r="BB4" s="3219"/>
      <c r="BC4" s="3219"/>
      <c r="BD4" s="3219"/>
      <c r="BE4" s="3219"/>
      <c r="BF4" s="3219"/>
      <c r="BG4" s="3227"/>
      <c r="BH4" s="3219"/>
      <c r="BI4" s="3192" t="s">
        <v>3053</v>
      </c>
      <c r="BJ4" s="3239"/>
      <c r="BK4" s="3238"/>
      <c r="BL4" s="3219" t="s">
        <v>3055</v>
      </c>
      <c r="BM4" s="3219" t="s">
        <v>3036</v>
      </c>
      <c r="BN4" s="3219" t="s">
        <v>3056</v>
      </c>
      <c r="BO4" s="3219" t="s">
        <v>3038</v>
      </c>
      <c r="BP4" s="3219"/>
      <c r="BQ4" s="3192" t="e">
        <v>#DIV/0!</v>
      </c>
      <c r="BR4" s="3192" t="e">
        <v>#DIV/0!</v>
      </c>
      <c r="BS4" s="3233" t="s">
        <v>3057</v>
      </c>
      <c r="BT4" s="3233" t="s">
        <v>2918</v>
      </c>
      <c r="BU4" s="3234"/>
    </row>
    <row r="5" spans="1:74" s="3161" customFormat="1" ht="12" customHeight="1">
      <c r="A5" s="3219" t="s">
        <v>3058</v>
      </c>
      <c r="B5" s="3219" t="s">
        <v>3059</v>
      </c>
      <c r="C5" s="3240" t="s">
        <v>3060</v>
      </c>
      <c r="D5" s="3240" t="s">
        <v>3061</v>
      </c>
      <c r="E5" s="3219" t="s">
        <v>650</v>
      </c>
      <c r="F5" s="3219" t="s">
        <v>3062</v>
      </c>
      <c r="G5" s="3219"/>
      <c r="H5" s="3219" t="s">
        <v>3063</v>
      </c>
      <c r="I5" s="3219"/>
      <c r="J5" s="3219" t="s">
        <v>3064</v>
      </c>
      <c r="K5" s="3219" t="s">
        <v>3065</v>
      </c>
      <c r="L5" s="3219">
        <v>54.4</v>
      </c>
      <c r="M5" s="3219">
        <v>5</v>
      </c>
      <c r="N5" s="3219" t="s">
        <v>3022</v>
      </c>
      <c r="O5" s="3219"/>
      <c r="P5" s="3219" t="s">
        <v>3023</v>
      </c>
      <c r="Q5" s="3222">
        <v>880000</v>
      </c>
      <c r="R5" s="3219">
        <v>16176</v>
      </c>
      <c r="S5" s="3223">
        <v>70.42</v>
      </c>
      <c r="T5" s="3224">
        <v>704200</v>
      </c>
      <c r="U5" s="3219">
        <v>12946</v>
      </c>
      <c r="V5" s="3225">
        <v>0.2</v>
      </c>
      <c r="W5" s="3223">
        <v>56.33</v>
      </c>
      <c r="X5" s="3226">
        <v>563300</v>
      </c>
      <c r="Y5" s="3192">
        <v>2009</v>
      </c>
      <c r="Z5" s="3192">
        <v>5</v>
      </c>
      <c r="AA5" s="3219">
        <v>20</v>
      </c>
      <c r="AB5" s="3219">
        <v>1500</v>
      </c>
      <c r="AC5" s="3219" t="s">
        <v>3024</v>
      </c>
      <c r="AD5" s="3240"/>
      <c r="AE5" s="3219" t="s">
        <v>3025</v>
      </c>
      <c r="AF5" s="3219" t="s">
        <v>3035</v>
      </c>
      <c r="AG5" s="3219" t="s">
        <v>2919</v>
      </c>
      <c r="AH5" s="3219"/>
      <c r="AI5" s="3219" t="s">
        <v>3051</v>
      </c>
      <c r="AJ5" s="3227"/>
      <c r="AK5" s="3241" t="s">
        <v>3066</v>
      </c>
      <c r="AL5" s="3219">
        <v>23</v>
      </c>
      <c r="AM5" s="3192" t="s">
        <v>3067</v>
      </c>
      <c r="AN5" s="3162" t="s">
        <v>3028</v>
      </c>
      <c r="AO5" s="3219"/>
      <c r="AP5" s="3219" t="s">
        <v>3068</v>
      </c>
      <c r="AQ5" s="3219" t="s">
        <v>3032</v>
      </c>
      <c r="AR5" s="3219">
        <v>2009</v>
      </c>
      <c r="AS5" s="3219">
        <v>5</v>
      </c>
      <c r="AT5" s="3219">
        <v>20</v>
      </c>
      <c r="AU5" s="3219"/>
      <c r="AV5" s="3219"/>
      <c r="AW5" s="3219" t="s">
        <v>3069</v>
      </c>
      <c r="AX5" s="3219" t="s">
        <v>3070</v>
      </c>
      <c r="AY5" s="3220" t="s">
        <v>3071</v>
      </c>
      <c r="AZ5" s="3242" t="s">
        <v>3065</v>
      </c>
      <c r="BA5" s="3219"/>
      <c r="BB5" s="3220"/>
      <c r="BC5" s="3219"/>
      <c r="BD5" s="3243"/>
      <c r="BE5" s="3219">
        <v>13621137923</v>
      </c>
      <c r="BF5" s="3244"/>
      <c r="BG5" s="3227">
        <v>39938</v>
      </c>
      <c r="BH5" s="3219"/>
      <c r="BI5" s="3192" t="s">
        <v>3068</v>
      </c>
      <c r="BJ5" s="3232"/>
      <c r="BK5" s="3227"/>
      <c r="BL5" s="3192" t="s">
        <v>3035</v>
      </c>
      <c r="BM5" s="3192" t="s">
        <v>3036</v>
      </c>
      <c r="BN5" s="3192" t="s">
        <v>3056</v>
      </c>
      <c r="BO5" s="3219" t="s">
        <v>3072</v>
      </c>
      <c r="BP5" s="3219"/>
      <c r="BQ5" s="3192" t="e">
        <v>#DIV/0!</v>
      </c>
      <c r="BR5" s="3192" t="e">
        <v>#DIV/0!</v>
      </c>
      <c r="BS5" s="3233" t="s">
        <v>3073</v>
      </c>
      <c r="BT5" s="3233" t="s">
        <v>3040</v>
      </c>
      <c r="BU5" s="3234"/>
    </row>
    <row r="6" spans="1:74" s="3161" customFormat="1" ht="12" customHeight="1">
      <c r="A6" s="3219" t="s">
        <v>3074</v>
      </c>
      <c r="B6" s="3245" t="s">
        <v>3075</v>
      </c>
      <c r="C6" s="3220" t="s">
        <v>3076</v>
      </c>
      <c r="D6" s="3245">
        <v>13501335850</v>
      </c>
      <c r="E6" s="3245" t="s">
        <v>650</v>
      </c>
      <c r="F6" s="3245" t="s">
        <v>3077</v>
      </c>
      <c r="G6" s="3245"/>
      <c r="H6" s="3245" t="s">
        <v>3078</v>
      </c>
      <c r="I6" s="3245"/>
      <c r="J6" s="3220" t="s">
        <v>3079</v>
      </c>
      <c r="K6" s="3219" t="s">
        <v>3080</v>
      </c>
      <c r="L6" s="3246" t="s">
        <v>3081</v>
      </c>
      <c r="M6" s="3235">
        <v>7</v>
      </c>
      <c r="N6" s="3219" t="s">
        <v>3082</v>
      </c>
      <c r="O6" s="3235"/>
      <c r="P6" s="3245" t="s">
        <v>3023</v>
      </c>
      <c r="Q6" s="3222">
        <v>670000</v>
      </c>
      <c r="R6" s="3219">
        <v>15367</v>
      </c>
      <c r="S6" s="3223">
        <v>57.91</v>
      </c>
      <c r="T6" s="3224">
        <v>579100</v>
      </c>
      <c r="U6" s="3219">
        <v>13284</v>
      </c>
      <c r="V6" s="3225">
        <v>0.2</v>
      </c>
      <c r="W6" s="3223">
        <v>46.32</v>
      </c>
      <c r="X6" s="3226">
        <v>463200</v>
      </c>
      <c r="Y6" s="3219">
        <v>2009</v>
      </c>
      <c r="Z6" s="3192">
        <v>5</v>
      </c>
      <c r="AA6" s="3192">
        <v>22</v>
      </c>
      <c r="AB6" s="3219">
        <v>1500</v>
      </c>
      <c r="AC6" s="3219" t="s">
        <v>3024</v>
      </c>
      <c r="AD6" s="3220"/>
      <c r="AE6" s="3192" t="s">
        <v>3025</v>
      </c>
      <c r="AF6" s="3245" t="s">
        <v>3026</v>
      </c>
      <c r="AG6" s="3162" t="s">
        <v>2919</v>
      </c>
      <c r="AH6" s="3245"/>
      <c r="AI6" s="3219" t="s">
        <v>3051</v>
      </c>
      <c r="AJ6" s="3227"/>
      <c r="AK6" s="3237" t="s">
        <v>3066</v>
      </c>
      <c r="AL6" s="3219">
        <v>38</v>
      </c>
      <c r="AM6" s="3219" t="s">
        <v>3083</v>
      </c>
      <c r="AN6" s="3162" t="s">
        <v>3028</v>
      </c>
      <c r="AO6" s="3219"/>
      <c r="AP6" s="3162" t="s">
        <v>3084</v>
      </c>
      <c r="AQ6" s="3219" t="s">
        <v>3032</v>
      </c>
      <c r="AR6" s="3219"/>
      <c r="AS6" s="3219"/>
      <c r="AT6" s="3219"/>
      <c r="AU6" s="3219"/>
      <c r="AV6" s="3247" t="s">
        <v>2898</v>
      </c>
      <c r="AW6" s="3192" t="s">
        <v>3069</v>
      </c>
      <c r="AX6" s="3192"/>
      <c r="AY6" s="3228"/>
      <c r="AZ6" s="3219" t="s">
        <v>3080</v>
      </c>
      <c r="BA6" s="3248"/>
      <c r="BB6" s="3249"/>
      <c r="BC6" s="3248"/>
      <c r="BD6" s="3250"/>
      <c r="BE6" s="3192">
        <v>13601335088</v>
      </c>
      <c r="BF6" s="3230"/>
      <c r="BG6" s="3239">
        <v>39948</v>
      </c>
      <c r="BH6" s="3192"/>
      <c r="BI6" s="3219" t="s">
        <v>3084</v>
      </c>
      <c r="BJ6" s="3231"/>
      <c r="BK6" s="3231"/>
      <c r="BL6" s="3219"/>
      <c r="BM6" s="3219" t="s">
        <v>3036</v>
      </c>
      <c r="BN6" s="3219" t="s">
        <v>3056</v>
      </c>
      <c r="BO6" s="3219" t="s">
        <v>3072</v>
      </c>
      <c r="BP6" s="3219"/>
      <c r="BQ6" s="3192" t="e">
        <v>#DIV/0!</v>
      </c>
      <c r="BR6" s="3192" t="e">
        <v>#DIV/0!</v>
      </c>
      <c r="BS6" s="3233" t="s">
        <v>3085</v>
      </c>
      <c r="BT6" s="3233" t="s">
        <v>3040</v>
      </c>
      <c r="BU6" s="3234"/>
    </row>
    <row r="7" spans="1:74" s="3161" customFormat="1" ht="12" customHeight="1">
      <c r="A7" s="3219" t="s">
        <v>3086</v>
      </c>
      <c r="B7" s="3219" t="s">
        <v>3087</v>
      </c>
      <c r="C7" s="3220" t="s">
        <v>3088</v>
      </c>
      <c r="D7" s="3220" t="s">
        <v>3089</v>
      </c>
      <c r="E7" s="3219" t="s">
        <v>650</v>
      </c>
      <c r="F7" s="3219" t="s">
        <v>3090</v>
      </c>
      <c r="G7" s="3219"/>
      <c r="H7" s="3219" t="s">
        <v>3091</v>
      </c>
      <c r="I7" s="3219" t="s">
        <v>3092</v>
      </c>
      <c r="J7" s="3220" t="s">
        <v>3093</v>
      </c>
      <c r="K7" s="3219" t="s">
        <v>3094</v>
      </c>
      <c r="L7" s="3246" t="s">
        <v>3095</v>
      </c>
      <c r="M7" s="3220" t="s">
        <v>23</v>
      </c>
      <c r="N7" s="3219" t="s">
        <v>3096</v>
      </c>
      <c r="O7" s="3219"/>
      <c r="P7" s="3219" t="s">
        <v>3023</v>
      </c>
      <c r="Q7" s="3251">
        <v>730000</v>
      </c>
      <c r="R7" s="3219">
        <v>13748</v>
      </c>
      <c r="S7" s="3223">
        <v>75.599999999999994</v>
      </c>
      <c r="T7" s="3224">
        <v>756000</v>
      </c>
      <c r="U7" s="3219">
        <v>14238</v>
      </c>
      <c r="V7" s="3225">
        <v>0.2</v>
      </c>
      <c r="W7" s="3223">
        <v>60.48</v>
      </c>
      <c r="X7" s="3226">
        <v>604800</v>
      </c>
      <c r="Y7" s="3219">
        <v>2009</v>
      </c>
      <c r="Z7" s="3192">
        <v>6</v>
      </c>
      <c r="AA7" s="3192">
        <v>16</v>
      </c>
      <c r="AB7" s="3219">
        <v>1500</v>
      </c>
      <c r="AC7" s="3219" t="s">
        <v>3024</v>
      </c>
      <c r="AD7" s="3220"/>
      <c r="AE7" s="3219" t="s">
        <v>3025</v>
      </c>
      <c r="AF7" s="3219" t="s">
        <v>3035</v>
      </c>
      <c r="AG7" s="3162" t="s">
        <v>2919</v>
      </c>
      <c r="AH7" s="3219"/>
      <c r="AI7" s="3219" t="s">
        <v>3051</v>
      </c>
      <c r="AJ7" s="3227"/>
      <c r="AK7" s="3241" t="s">
        <v>3097</v>
      </c>
      <c r="AL7" s="3192">
        <v>22</v>
      </c>
      <c r="AM7" s="3219" t="s">
        <v>3098</v>
      </c>
      <c r="AN7" s="3192" t="s">
        <v>3028</v>
      </c>
      <c r="AO7" s="3219"/>
      <c r="AP7" s="3219" t="s">
        <v>3084</v>
      </c>
      <c r="AQ7" s="3192" t="s">
        <v>2922</v>
      </c>
      <c r="AR7" s="3219"/>
      <c r="AS7" s="3219"/>
      <c r="AT7" s="3219"/>
      <c r="AU7" s="3192"/>
      <c r="AV7" s="3192"/>
      <c r="AW7" s="3219" t="s">
        <v>3069</v>
      </c>
      <c r="AX7" s="3192"/>
      <c r="AY7" s="3228"/>
      <c r="AZ7" s="3219" t="s">
        <v>3094</v>
      </c>
      <c r="BA7" s="3192"/>
      <c r="BB7" s="3228"/>
      <c r="BC7" s="3192"/>
      <c r="BD7" s="3229"/>
      <c r="BE7" s="3192">
        <v>13521649291</v>
      </c>
      <c r="BF7" s="3230"/>
      <c r="BG7" s="3231">
        <v>39964</v>
      </c>
      <c r="BH7" s="3219"/>
      <c r="BI7" s="3192" t="s">
        <v>3084</v>
      </c>
      <c r="BJ7" s="3239"/>
      <c r="BK7" s="3232"/>
      <c r="BL7" s="3192" t="s">
        <v>3035</v>
      </c>
      <c r="BM7" s="3219" t="s">
        <v>3036</v>
      </c>
      <c r="BN7" s="3219" t="s">
        <v>3056</v>
      </c>
      <c r="BO7" s="3219" t="s">
        <v>3072</v>
      </c>
      <c r="BP7" s="3192"/>
      <c r="BQ7" s="3192" t="e">
        <v>#DIV/0!</v>
      </c>
      <c r="BR7" s="3192" t="e">
        <v>#DIV/0!</v>
      </c>
      <c r="BS7" s="3233" t="s">
        <v>3085</v>
      </c>
      <c r="BT7" s="3233" t="s">
        <v>3040</v>
      </c>
      <c r="BU7" s="3234"/>
    </row>
    <row r="8" spans="1:74" s="3161" customFormat="1" ht="12" customHeight="1">
      <c r="A8" s="3219" t="s">
        <v>3099</v>
      </c>
      <c r="B8" s="3219" t="s">
        <v>3100</v>
      </c>
      <c r="C8" s="3220" t="s">
        <v>3101</v>
      </c>
      <c r="D8" s="3219">
        <v>13522598920</v>
      </c>
      <c r="E8" s="3219" t="s">
        <v>3102</v>
      </c>
      <c r="F8" s="3219" t="s">
        <v>3103</v>
      </c>
      <c r="G8" s="3219"/>
      <c r="H8" s="3219" t="s">
        <v>3104</v>
      </c>
      <c r="I8" s="3219" t="s">
        <v>3105</v>
      </c>
      <c r="J8" s="3219" t="s">
        <v>3106</v>
      </c>
      <c r="K8" s="3219" t="s">
        <v>3107</v>
      </c>
      <c r="L8" s="3219">
        <v>58.01</v>
      </c>
      <c r="M8" s="3219">
        <v>6</v>
      </c>
      <c r="N8" s="3219" t="s">
        <v>3096</v>
      </c>
      <c r="O8" s="3219"/>
      <c r="P8" s="3219" t="s">
        <v>2917</v>
      </c>
      <c r="Q8" s="3219">
        <v>650000</v>
      </c>
      <c r="R8" s="3219">
        <v>11205</v>
      </c>
      <c r="S8" s="3223">
        <v>84.01</v>
      </c>
      <c r="T8" s="3224">
        <v>840100</v>
      </c>
      <c r="U8" s="3219">
        <v>14483</v>
      </c>
      <c r="V8" s="3225">
        <v>0.2</v>
      </c>
      <c r="W8" s="3223">
        <v>67.2</v>
      </c>
      <c r="X8" s="3226">
        <v>672000</v>
      </c>
      <c r="Y8" s="3219">
        <v>2009</v>
      </c>
      <c r="Z8" s="3219">
        <v>7</v>
      </c>
      <c r="AA8" s="3219">
        <v>13</v>
      </c>
      <c r="AB8" s="3219">
        <v>1500</v>
      </c>
      <c r="AC8" s="3219" t="s">
        <v>3024</v>
      </c>
      <c r="AD8" s="3220"/>
      <c r="AE8" s="3219" t="s">
        <v>3025</v>
      </c>
      <c r="AF8" s="3219" t="s">
        <v>3108</v>
      </c>
      <c r="AG8" s="3219" t="s">
        <v>2919</v>
      </c>
      <c r="AH8" s="3219">
        <v>14652</v>
      </c>
      <c r="AI8" s="3219" t="s">
        <v>2920</v>
      </c>
      <c r="AJ8" s="3219"/>
      <c r="AK8" s="3219" t="s">
        <v>3109</v>
      </c>
      <c r="AL8" s="3219">
        <v>27</v>
      </c>
      <c r="AM8" s="3219"/>
      <c r="AN8" s="3219" t="s">
        <v>3028</v>
      </c>
      <c r="AO8" s="3219"/>
      <c r="AP8" s="3219" t="s">
        <v>3084</v>
      </c>
      <c r="AQ8" s="3192" t="s">
        <v>2922</v>
      </c>
      <c r="AR8" s="3219"/>
      <c r="AS8" s="3219"/>
      <c r="AT8" s="3219"/>
      <c r="AU8" s="3219"/>
      <c r="AV8" s="3219"/>
      <c r="AW8" s="3219" t="s">
        <v>3110</v>
      </c>
      <c r="AX8" s="3219"/>
      <c r="AY8" s="3220"/>
      <c r="AZ8" s="3219" t="s">
        <v>3107</v>
      </c>
      <c r="BA8" s="3219"/>
      <c r="BB8" s="3220"/>
      <c r="BC8" s="3219"/>
      <c r="BD8" s="3243"/>
      <c r="BE8" s="3219">
        <v>13552570675</v>
      </c>
      <c r="BF8" s="3244"/>
      <c r="BG8" s="3227">
        <v>39976</v>
      </c>
      <c r="BH8" s="3219"/>
      <c r="BI8" s="3219" t="s">
        <v>3084</v>
      </c>
      <c r="BJ8" s="3238"/>
      <c r="BK8" s="3238"/>
      <c r="BL8" s="3219"/>
      <c r="BM8" s="3219"/>
      <c r="BN8" s="3219"/>
      <c r="BO8" s="3219"/>
      <c r="BP8" s="3219"/>
      <c r="BQ8" s="3192" t="e">
        <v>#DIV/0!</v>
      </c>
      <c r="BR8" s="3192" t="e">
        <v>#DIV/0!</v>
      </c>
      <c r="BS8" s="3233" t="s">
        <v>3085</v>
      </c>
      <c r="BT8" s="3233" t="s">
        <v>3040</v>
      </c>
      <c r="BU8" s="3234"/>
    </row>
    <row r="9" spans="1:74" s="3351" customFormat="1" ht="12" customHeight="1">
      <c r="A9" s="3330" t="s">
        <v>3111</v>
      </c>
      <c r="B9" s="3331" t="s">
        <v>3112</v>
      </c>
      <c r="C9" s="3332" t="s">
        <v>3113</v>
      </c>
      <c r="D9" s="3333" t="s">
        <v>3114</v>
      </c>
      <c r="E9" s="3331" t="s">
        <v>3102</v>
      </c>
      <c r="F9" s="3330" t="s">
        <v>3077</v>
      </c>
      <c r="G9" s="3331"/>
      <c r="H9" s="3331" t="s">
        <v>3115</v>
      </c>
      <c r="I9" s="3331" t="s">
        <v>3116</v>
      </c>
      <c r="J9" s="3331" t="s">
        <v>3020</v>
      </c>
      <c r="K9" s="3331" t="s">
        <v>3117</v>
      </c>
      <c r="L9" s="3334" t="s">
        <v>3118</v>
      </c>
      <c r="M9" s="3332" t="s">
        <v>3119</v>
      </c>
      <c r="N9" s="3331" t="s">
        <v>3096</v>
      </c>
      <c r="O9" s="3331"/>
      <c r="P9" s="3331" t="s">
        <v>3023</v>
      </c>
      <c r="Q9" s="3335">
        <v>700000</v>
      </c>
      <c r="R9" s="3331">
        <v>13208</v>
      </c>
      <c r="S9" s="3336">
        <v>91.63</v>
      </c>
      <c r="T9" s="3337">
        <v>916300</v>
      </c>
      <c r="U9" s="3331">
        <v>17289</v>
      </c>
      <c r="V9" s="3338">
        <v>0.2</v>
      </c>
      <c r="W9" s="3336">
        <v>73.3</v>
      </c>
      <c r="X9" s="3339">
        <v>733000</v>
      </c>
      <c r="Y9" s="3331">
        <v>2009</v>
      </c>
      <c r="Z9" s="3340">
        <v>8</v>
      </c>
      <c r="AA9" s="3340">
        <v>12</v>
      </c>
      <c r="AB9" s="3331">
        <v>1500</v>
      </c>
      <c r="AC9" s="3331" t="s">
        <v>3024</v>
      </c>
      <c r="AD9" s="3332"/>
      <c r="AE9" s="3331" t="s">
        <v>3025</v>
      </c>
      <c r="AF9" s="3331" t="s">
        <v>3035</v>
      </c>
      <c r="AG9" s="3218" t="s">
        <v>2919</v>
      </c>
      <c r="AH9" s="3331">
        <v>19811</v>
      </c>
      <c r="AI9" s="3331" t="s">
        <v>3051</v>
      </c>
      <c r="AJ9" s="3341"/>
      <c r="AK9" s="3342" t="s">
        <v>3120</v>
      </c>
      <c r="AL9" s="3340">
        <v>31</v>
      </c>
      <c r="AM9" s="3331"/>
      <c r="AN9" s="3340" t="s">
        <v>3121</v>
      </c>
      <c r="AO9" s="3331"/>
      <c r="AP9" s="3331" t="s">
        <v>3084</v>
      </c>
      <c r="AQ9" s="3340" t="s">
        <v>3032</v>
      </c>
      <c r="AR9" s="3331"/>
      <c r="AS9" s="3331"/>
      <c r="AT9" s="3331"/>
      <c r="AU9" s="3340"/>
      <c r="AV9" s="3340" t="s">
        <v>2898</v>
      </c>
      <c r="AW9" s="3340" t="s">
        <v>3069</v>
      </c>
      <c r="AX9" s="3340"/>
      <c r="AY9" s="3343"/>
      <c r="AZ9" s="3342" t="s">
        <v>3117</v>
      </c>
      <c r="BA9" s="3340"/>
      <c r="BB9" s="3343"/>
      <c r="BC9" s="3340"/>
      <c r="BD9" s="3344"/>
      <c r="BE9" s="3340">
        <v>13051276180</v>
      </c>
      <c r="BF9" s="3345"/>
      <c r="BG9" s="3346">
        <v>40029</v>
      </c>
      <c r="BH9" s="3331"/>
      <c r="BI9" s="3340" t="s">
        <v>3084</v>
      </c>
      <c r="BJ9" s="3347"/>
      <c r="BK9" s="3348"/>
      <c r="BL9" s="3340" t="s">
        <v>3035</v>
      </c>
      <c r="BM9" s="3331" t="s">
        <v>3036</v>
      </c>
      <c r="BN9" s="3331" t="s">
        <v>3056</v>
      </c>
      <c r="BO9" s="3331" t="s">
        <v>3072</v>
      </c>
      <c r="BP9" s="3340"/>
      <c r="BQ9" s="3340" t="e">
        <v>#DIV/0!</v>
      </c>
      <c r="BR9" s="3340" t="e">
        <v>#DIV/0!</v>
      </c>
      <c r="BS9" s="3349" t="s">
        <v>3085</v>
      </c>
      <c r="BT9" s="3349" t="s">
        <v>3040</v>
      </c>
      <c r="BU9" s="3350"/>
    </row>
    <row r="10" spans="1:74" s="3161" customFormat="1" ht="12" customHeight="1">
      <c r="A10" s="3245" t="s">
        <v>3122</v>
      </c>
      <c r="B10" s="3219" t="s">
        <v>3123</v>
      </c>
      <c r="C10" s="3220" t="s">
        <v>3124</v>
      </c>
      <c r="D10" s="3245">
        <v>13366022760</v>
      </c>
      <c r="E10" s="3219" t="s">
        <v>3102</v>
      </c>
      <c r="F10" s="3219" t="s">
        <v>3125</v>
      </c>
      <c r="G10" s="3219"/>
      <c r="H10" s="3219" t="s">
        <v>3126</v>
      </c>
      <c r="I10" s="3219"/>
      <c r="J10" s="3219" t="s">
        <v>3127</v>
      </c>
      <c r="K10" s="3219" t="s">
        <v>3128</v>
      </c>
      <c r="L10" s="3219">
        <v>57.12</v>
      </c>
      <c r="M10" s="3219">
        <v>6</v>
      </c>
      <c r="N10" s="3219" t="s">
        <v>3096</v>
      </c>
      <c r="O10" s="3219"/>
      <c r="P10" s="3219" t="s">
        <v>2917</v>
      </c>
      <c r="Q10" s="3219">
        <v>900000</v>
      </c>
      <c r="R10" s="3219">
        <v>15756</v>
      </c>
      <c r="S10" s="3223">
        <v>81.599999999999994</v>
      </c>
      <c r="T10" s="3224">
        <v>816000</v>
      </c>
      <c r="U10" s="3219">
        <v>14287</v>
      </c>
      <c r="V10" s="3225">
        <v>0.2</v>
      </c>
      <c r="W10" s="3223">
        <v>65.28</v>
      </c>
      <c r="X10" s="3226">
        <v>652800</v>
      </c>
      <c r="Y10" s="3219">
        <v>2009</v>
      </c>
      <c r="Z10" s="3219">
        <v>8</v>
      </c>
      <c r="AA10" s="3219">
        <v>25</v>
      </c>
      <c r="AB10" s="3219">
        <v>1500</v>
      </c>
      <c r="AC10" s="3219" t="s">
        <v>3040</v>
      </c>
      <c r="AD10" s="3220"/>
      <c r="AE10" s="3219" t="s">
        <v>3129</v>
      </c>
      <c r="AF10" s="3219" t="s">
        <v>3108</v>
      </c>
      <c r="AG10" s="3219" t="s">
        <v>2919</v>
      </c>
      <c r="AH10" s="3219"/>
      <c r="AI10" s="3219" t="s">
        <v>2920</v>
      </c>
      <c r="AJ10" s="3219"/>
      <c r="AK10" s="3237" t="s">
        <v>3120</v>
      </c>
      <c r="AL10" s="3219">
        <v>37</v>
      </c>
      <c r="AM10" s="3219"/>
      <c r="AN10" s="3219" t="s">
        <v>3130</v>
      </c>
      <c r="AO10" s="3219"/>
      <c r="AP10" s="3219" t="s">
        <v>3053</v>
      </c>
      <c r="AQ10" s="3192" t="s">
        <v>3032</v>
      </c>
      <c r="AR10" s="3219"/>
      <c r="AS10" s="3219"/>
      <c r="AT10" s="3219"/>
      <c r="AU10" s="3219"/>
      <c r="AV10" s="3219"/>
      <c r="AW10" s="3219" t="s">
        <v>3110</v>
      </c>
      <c r="AX10" s="3219"/>
      <c r="AY10" s="3220"/>
      <c r="AZ10" s="3219" t="s">
        <v>3128</v>
      </c>
      <c r="BA10" s="3219"/>
      <c r="BB10" s="3220"/>
      <c r="BC10" s="3219"/>
      <c r="BD10" s="3243"/>
      <c r="BE10" s="3219"/>
      <c r="BF10" s="3244"/>
      <c r="BG10" s="3227">
        <v>40038</v>
      </c>
      <c r="BH10" s="3219"/>
      <c r="BI10" s="3219" t="s">
        <v>3053</v>
      </c>
      <c r="BJ10" s="3238"/>
      <c r="BK10" s="3238"/>
      <c r="BL10" s="3219" t="s">
        <v>3131</v>
      </c>
      <c r="BM10" s="3219" t="s">
        <v>3132</v>
      </c>
      <c r="BN10" s="3219" t="s">
        <v>2924</v>
      </c>
      <c r="BO10" s="3219" t="s">
        <v>3133</v>
      </c>
      <c r="BP10" s="3219"/>
      <c r="BQ10" s="3192" t="e">
        <v>#DIV/0!</v>
      </c>
      <c r="BR10" s="3192" t="e">
        <v>#DIV/0!</v>
      </c>
      <c r="BS10" s="3233" t="s">
        <v>3057</v>
      </c>
      <c r="BT10" s="3233" t="s">
        <v>3040</v>
      </c>
      <c r="BU10" s="3234"/>
    </row>
    <row r="11" spans="1:74" s="3322" customFormat="1" ht="12" customHeight="1">
      <c r="A11" s="3300" t="s">
        <v>3134</v>
      </c>
      <c r="B11" s="3301" t="s">
        <v>3135</v>
      </c>
      <c r="C11" s="3302" t="s">
        <v>3136</v>
      </c>
      <c r="D11" s="3303" t="s">
        <v>3137</v>
      </c>
      <c r="E11" s="3301" t="s">
        <v>650</v>
      </c>
      <c r="F11" s="3300" t="s">
        <v>3077</v>
      </c>
      <c r="G11" s="3301"/>
      <c r="H11" s="3301" t="s">
        <v>3045</v>
      </c>
      <c r="I11" s="3301"/>
      <c r="J11" s="3301" t="s">
        <v>3138</v>
      </c>
      <c r="K11" s="3301" t="s">
        <v>3139</v>
      </c>
      <c r="L11" s="3304" t="s">
        <v>3140</v>
      </c>
      <c r="M11" s="3302" t="s">
        <v>22</v>
      </c>
      <c r="N11" s="3301" t="s">
        <v>3096</v>
      </c>
      <c r="O11" s="3302"/>
      <c r="P11" s="3301" t="s">
        <v>3023</v>
      </c>
      <c r="Q11" s="3305">
        <v>1230000</v>
      </c>
      <c r="R11" s="3301">
        <v>18906</v>
      </c>
      <c r="S11" s="3306">
        <v>108.17</v>
      </c>
      <c r="T11" s="3307">
        <v>1081700</v>
      </c>
      <c r="U11" s="3301">
        <v>16627</v>
      </c>
      <c r="V11" s="3308">
        <v>0.2</v>
      </c>
      <c r="W11" s="3306">
        <v>86.53</v>
      </c>
      <c r="X11" s="3309">
        <v>865300</v>
      </c>
      <c r="Y11" s="3301">
        <v>2009</v>
      </c>
      <c r="Z11" s="3310">
        <v>8</v>
      </c>
      <c r="AA11" s="3310">
        <v>21</v>
      </c>
      <c r="AB11" s="3301">
        <v>1500</v>
      </c>
      <c r="AC11" s="3301" t="s">
        <v>3024</v>
      </c>
      <c r="AD11" s="3302"/>
      <c r="AE11" s="3301" t="s">
        <v>3025</v>
      </c>
      <c r="AF11" s="3301" t="s">
        <v>3035</v>
      </c>
      <c r="AG11" s="3311" t="s">
        <v>2919</v>
      </c>
      <c r="AH11" s="3301"/>
      <c r="AI11" s="3301" t="s">
        <v>3051</v>
      </c>
      <c r="AJ11" s="3312"/>
      <c r="AK11" s="3313" t="s">
        <v>3120</v>
      </c>
      <c r="AL11" s="3310">
        <v>39</v>
      </c>
      <c r="AM11" s="3301"/>
      <c r="AN11" s="3310" t="s">
        <v>3028</v>
      </c>
      <c r="AO11" s="3301"/>
      <c r="AP11" s="3301" t="s">
        <v>3084</v>
      </c>
      <c r="AQ11" s="3310" t="s">
        <v>3032</v>
      </c>
      <c r="AR11" s="3301"/>
      <c r="AS11" s="3301"/>
      <c r="AT11" s="3301"/>
      <c r="AU11" s="3310"/>
      <c r="AV11" s="3310" t="s">
        <v>2898</v>
      </c>
      <c r="AW11" s="3310" t="s">
        <v>3069</v>
      </c>
      <c r="AX11" s="3310"/>
      <c r="AY11" s="3314"/>
      <c r="AZ11" s="3313" t="s">
        <v>3139</v>
      </c>
      <c r="BA11" s="3310"/>
      <c r="BB11" s="3314"/>
      <c r="BC11" s="3310"/>
      <c r="BD11" s="3315"/>
      <c r="BE11" s="3314" t="s">
        <v>3141</v>
      </c>
      <c r="BF11" s="3316"/>
      <c r="BG11" s="3317">
        <v>40043</v>
      </c>
      <c r="BH11" s="3301"/>
      <c r="BI11" s="3310" t="s">
        <v>3084</v>
      </c>
      <c r="BJ11" s="3318"/>
      <c r="BK11" s="3319"/>
      <c r="BL11" s="3310" t="s">
        <v>3035</v>
      </c>
      <c r="BM11" s="3301" t="s">
        <v>3036</v>
      </c>
      <c r="BN11" s="3301" t="s">
        <v>3056</v>
      </c>
      <c r="BO11" s="3301" t="s">
        <v>3072</v>
      </c>
      <c r="BP11" s="3310"/>
      <c r="BQ11" s="3310" t="e">
        <v>#DIV/0!</v>
      </c>
      <c r="BR11" s="3310" t="e">
        <v>#DIV/0!</v>
      </c>
      <c r="BS11" s="3320" t="s">
        <v>3085</v>
      </c>
      <c r="BT11" s="3320" t="s">
        <v>3040</v>
      </c>
      <c r="BU11" s="3321"/>
    </row>
    <row r="12" spans="1:74" s="3161" customFormat="1" ht="12" hidden="1" customHeight="1">
      <c r="A12" s="3245" t="s">
        <v>3142</v>
      </c>
      <c r="B12" s="3219" t="s">
        <v>3143</v>
      </c>
      <c r="C12" s="3240" t="s">
        <v>3144</v>
      </c>
      <c r="D12" s="3240" t="s">
        <v>3145</v>
      </c>
      <c r="E12" s="3219" t="s">
        <v>650</v>
      </c>
      <c r="F12" s="3219" t="s">
        <v>3146</v>
      </c>
      <c r="G12" s="3219"/>
      <c r="H12" s="3219" t="s">
        <v>3147</v>
      </c>
      <c r="I12" s="3219" t="s">
        <v>3092</v>
      </c>
      <c r="J12" s="3219" t="s">
        <v>3148</v>
      </c>
      <c r="K12" s="3219" t="s">
        <v>3149</v>
      </c>
      <c r="L12" s="3219">
        <v>56.92</v>
      </c>
      <c r="M12" s="3219">
        <v>3</v>
      </c>
      <c r="N12" s="3219" t="s">
        <v>3022</v>
      </c>
      <c r="O12" s="3219"/>
      <c r="P12" s="3219" t="s">
        <v>3023</v>
      </c>
      <c r="Q12" s="3222">
        <v>1100000</v>
      </c>
      <c r="R12" s="3219">
        <v>19325</v>
      </c>
      <c r="S12" s="3223">
        <v>97.61</v>
      </c>
      <c r="T12" s="3224">
        <v>976100</v>
      </c>
      <c r="U12" s="3219">
        <v>17150</v>
      </c>
      <c r="V12" s="3225">
        <v>0.2</v>
      </c>
      <c r="W12" s="3223">
        <v>78.08</v>
      </c>
      <c r="X12" s="3226">
        <v>780800</v>
      </c>
      <c r="Y12" s="3192">
        <v>2009</v>
      </c>
      <c r="Z12" s="3192">
        <v>9</v>
      </c>
      <c r="AA12" s="3219">
        <v>14</v>
      </c>
      <c r="AB12" s="3219">
        <v>1500</v>
      </c>
      <c r="AC12" s="3219" t="s">
        <v>3024</v>
      </c>
      <c r="AD12" s="3240"/>
      <c r="AE12" s="3219" t="s">
        <v>3150</v>
      </c>
      <c r="AF12" s="3219" t="s">
        <v>2923</v>
      </c>
      <c r="AG12" s="3219" t="s">
        <v>2919</v>
      </c>
      <c r="AH12" s="3219">
        <v>19325</v>
      </c>
      <c r="AI12" s="3219" t="s">
        <v>2920</v>
      </c>
      <c r="AJ12" s="3227"/>
      <c r="AK12" s="3241" t="s">
        <v>3151</v>
      </c>
      <c r="AL12" s="3219">
        <v>25</v>
      </c>
      <c r="AM12" s="3192"/>
      <c r="AN12" s="3162" t="s">
        <v>3028</v>
      </c>
      <c r="AO12" s="3219"/>
      <c r="AP12" s="3219" t="s">
        <v>3068</v>
      </c>
      <c r="AQ12" s="3219" t="s">
        <v>2922</v>
      </c>
      <c r="AR12" s="3219">
        <v>2009</v>
      </c>
      <c r="AS12" s="3219">
        <v>9</v>
      </c>
      <c r="AT12" s="3219">
        <v>14</v>
      </c>
      <c r="AU12" s="3219"/>
      <c r="AV12" s="3219"/>
      <c r="AW12" s="3219" t="s">
        <v>3069</v>
      </c>
      <c r="AX12" s="3219" t="s">
        <v>3070</v>
      </c>
      <c r="AY12" s="3220" t="s">
        <v>3152</v>
      </c>
      <c r="AZ12" s="3219" t="s">
        <v>3149</v>
      </c>
      <c r="BA12" s="3219"/>
      <c r="BB12" s="3220" t="s">
        <v>2898</v>
      </c>
      <c r="BC12" s="3219" t="s">
        <v>2898</v>
      </c>
      <c r="BD12" s="3243"/>
      <c r="BE12" s="3219"/>
      <c r="BF12" s="3244"/>
      <c r="BG12" s="3227">
        <v>40066</v>
      </c>
      <c r="BH12" s="3219"/>
      <c r="BI12" s="3192" t="s">
        <v>3073</v>
      </c>
      <c r="BJ12" s="3232"/>
      <c r="BK12" s="3227"/>
      <c r="BL12" s="3192" t="s">
        <v>3035</v>
      </c>
      <c r="BM12" s="3192" t="s">
        <v>3036</v>
      </c>
      <c r="BN12" s="3192" t="s">
        <v>3056</v>
      </c>
      <c r="BO12" s="3219" t="s">
        <v>3072</v>
      </c>
      <c r="BP12" s="3219"/>
      <c r="BQ12" s="3192" t="e">
        <v>#DIV/0!</v>
      </c>
      <c r="BR12" s="3192" t="e">
        <v>#DIV/0!</v>
      </c>
      <c r="BS12" s="3233" t="s">
        <v>3073</v>
      </c>
      <c r="BT12" s="3233" t="s">
        <v>3040</v>
      </c>
      <c r="BU12" s="3234"/>
    </row>
    <row r="13" spans="1:74" s="3161" customFormat="1" ht="12" hidden="1" customHeight="1">
      <c r="A13" s="3219" t="s">
        <v>3153</v>
      </c>
      <c r="B13" s="3219" t="s">
        <v>3154</v>
      </c>
      <c r="C13" s="3220" t="s">
        <v>3155</v>
      </c>
      <c r="D13" s="3220" t="s">
        <v>3156</v>
      </c>
      <c r="E13" s="3219" t="s">
        <v>650</v>
      </c>
      <c r="F13" s="3219" t="s">
        <v>3157</v>
      </c>
      <c r="G13" s="3219"/>
      <c r="H13" s="3219" t="s">
        <v>3158</v>
      </c>
      <c r="I13" s="3219" t="s">
        <v>2815</v>
      </c>
      <c r="J13" s="3220" t="s">
        <v>3159</v>
      </c>
      <c r="K13" s="3219" t="s">
        <v>2815</v>
      </c>
      <c r="L13" s="3246" t="s">
        <v>3160</v>
      </c>
      <c r="M13" s="3220" t="s">
        <v>2815</v>
      </c>
      <c r="N13" s="3219" t="s">
        <v>3022</v>
      </c>
      <c r="O13" s="3219"/>
      <c r="P13" s="3219" t="s">
        <v>3023</v>
      </c>
      <c r="Q13" s="3251">
        <v>800000</v>
      </c>
      <c r="R13" s="3219">
        <v>13652</v>
      </c>
      <c r="S13" s="3223">
        <v>69.89</v>
      </c>
      <c r="T13" s="3224">
        <v>698900</v>
      </c>
      <c r="U13" s="3219">
        <v>11928</v>
      </c>
      <c r="V13" s="3225">
        <v>0.2</v>
      </c>
      <c r="W13" s="3223">
        <v>55.91</v>
      </c>
      <c r="X13" s="3226">
        <v>559100</v>
      </c>
      <c r="Y13" s="3192">
        <v>2009</v>
      </c>
      <c r="Z13" s="3192">
        <v>1</v>
      </c>
      <c r="AA13" s="3192">
        <v>6</v>
      </c>
      <c r="AB13" s="3219">
        <v>1500</v>
      </c>
      <c r="AC13" s="3219" t="s">
        <v>3049</v>
      </c>
      <c r="AD13" s="3220" t="s">
        <v>2815</v>
      </c>
      <c r="AE13" s="3252" t="s">
        <v>3025</v>
      </c>
      <c r="AF13" s="3219" t="s">
        <v>2815</v>
      </c>
      <c r="AG13" s="3162" t="s">
        <v>2919</v>
      </c>
      <c r="AH13" s="3219" t="s">
        <v>2815</v>
      </c>
      <c r="AI13" s="3245" t="s">
        <v>3051</v>
      </c>
      <c r="AJ13" s="3227" t="s">
        <v>2815</v>
      </c>
      <c r="AK13" s="3237" t="s">
        <v>3030</v>
      </c>
      <c r="AL13" s="3192">
        <v>36</v>
      </c>
      <c r="AM13" s="3219"/>
      <c r="AN13" s="3162" t="s">
        <v>3030</v>
      </c>
      <c r="AO13" s="3219" t="s">
        <v>2815</v>
      </c>
      <c r="AP13" s="3219" t="s">
        <v>3161</v>
      </c>
      <c r="AQ13" s="3219" t="s">
        <v>3032</v>
      </c>
      <c r="AR13" s="3192"/>
      <c r="AS13" s="3192"/>
      <c r="AT13" s="3192"/>
      <c r="AU13" s="3192"/>
      <c r="AV13" s="3192"/>
      <c r="AW13" s="3219" t="s">
        <v>3162</v>
      </c>
      <c r="AX13" s="3192"/>
      <c r="AY13" s="3228"/>
      <c r="AZ13" s="3219" t="s">
        <v>3163</v>
      </c>
      <c r="BA13" s="3192"/>
      <c r="BB13" s="3228"/>
      <c r="BC13" s="3192"/>
      <c r="BD13" s="3229"/>
      <c r="BE13" s="3192" t="s">
        <v>2815</v>
      </c>
      <c r="BF13" s="3230"/>
      <c r="BG13" s="3231" t="s">
        <v>2815</v>
      </c>
      <c r="BH13" s="3219" t="s">
        <v>3035</v>
      </c>
      <c r="BI13" s="3192" t="s">
        <v>3161</v>
      </c>
      <c r="BJ13" s="3239" t="s">
        <v>2815</v>
      </c>
      <c r="BK13" s="3232"/>
      <c r="BL13" s="3219" t="s">
        <v>2923</v>
      </c>
      <c r="BM13" s="3219" t="s">
        <v>3036</v>
      </c>
      <c r="BN13" s="3219" t="s">
        <v>3037</v>
      </c>
      <c r="BO13" s="3192" t="s">
        <v>3072</v>
      </c>
      <c r="BP13" s="3192"/>
      <c r="BQ13" s="3192" t="e">
        <v>#DIV/0!</v>
      </c>
      <c r="BR13" s="3192" t="e">
        <v>#DIV/0!</v>
      </c>
      <c r="BS13" s="3233" t="s">
        <v>3164</v>
      </c>
      <c r="BT13" s="3233" t="s">
        <v>2918</v>
      </c>
      <c r="BU13" s="3234"/>
    </row>
    <row r="14" spans="1:74" s="3161" customFormat="1" ht="12" hidden="1" customHeight="1">
      <c r="A14" s="3219" t="s">
        <v>3165</v>
      </c>
      <c r="B14" s="3219" t="s">
        <v>3166</v>
      </c>
      <c r="C14" s="3220" t="s">
        <v>3167</v>
      </c>
      <c r="D14" s="3220" t="s">
        <v>3168</v>
      </c>
      <c r="E14" s="3219" t="s">
        <v>650</v>
      </c>
      <c r="F14" s="3219" t="s">
        <v>3146</v>
      </c>
      <c r="G14" s="3219"/>
      <c r="H14" s="3219" t="s">
        <v>3169</v>
      </c>
      <c r="I14" s="3219" t="s">
        <v>3092</v>
      </c>
      <c r="J14" s="3220" t="s">
        <v>3170</v>
      </c>
      <c r="K14" s="3219" t="s">
        <v>3171</v>
      </c>
      <c r="L14" s="3246" t="s">
        <v>3172</v>
      </c>
      <c r="M14" s="3220" t="s">
        <v>2815</v>
      </c>
      <c r="N14" s="3219" t="s">
        <v>3022</v>
      </c>
      <c r="O14" s="3219"/>
      <c r="P14" s="3219" t="s">
        <v>3023</v>
      </c>
      <c r="Q14" s="3251">
        <v>430000</v>
      </c>
      <c r="R14" s="3219">
        <v>8007</v>
      </c>
      <c r="S14" s="3223">
        <v>65.02</v>
      </c>
      <c r="T14" s="3224">
        <v>650200</v>
      </c>
      <c r="U14" s="3219">
        <v>12109</v>
      </c>
      <c r="V14" s="3225">
        <v>0.2</v>
      </c>
      <c r="W14" s="3223">
        <v>52.01</v>
      </c>
      <c r="X14" s="3226">
        <v>520100</v>
      </c>
      <c r="Y14" s="3192">
        <v>2009</v>
      </c>
      <c r="Z14" s="3192">
        <v>1</v>
      </c>
      <c r="AA14" s="3219">
        <v>9</v>
      </c>
      <c r="AB14" s="3219">
        <v>1500</v>
      </c>
      <c r="AC14" s="3219" t="s">
        <v>3049</v>
      </c>
      <c r="AD14" s="3220" t="s">
        <v>2815</v>
      </c>
      <c r="AE14" s="3252" t="s">
        <v>3025</v>
      </c>
      <c r="AF14" s="3219" t="s">
        <v>3026</v>
      </c>
      <c r="AG14" s="3219" t="s">
        <v>2919</v>
      </c>
      <c r="AH14" s="3219" t="s">
        <v>3173</v>
      </c>
      <c r="AI14" s="3219" t="s">
        <v>3051</v>
      </c>
      <c r="AJ14" s="3227" t="s">
        <v>2815</v>
      </c>
      <c r="AK14" s="3237" t="s">
        <v>3030</v>
      </c>
      <c r="AL14" s="3192">
        <v>23</v>
      </c>
      <c r="AM14" s="3219"/>
      <c r="AN14" s="3162" t="s">
        <v>3030</v>
      </c>
      <c r="AO14" s="3219" t="s">
        <v>2815</v>
      </c>
      <c r="AP14" s="3253" t="s">
        <v>3174</v>
      </c>
      <c r="AQ14" s="3192" t="s">
        <v>3032</v>
      </c>
      <c r="AR14" s="3192"/>
      <c r="AS14" s="3192"/>
      <c r="AT14" s="3192"/>
      <c r="AU14" s="3192"/>
      <c r="AV14" s="3192"/>
      <c r="AW14" s="3219" t="s">
        <v>3162</v>
      </c>
      <c r="AX14" s="3192"/>
      <c r="AY14" s="3228"/>
      <c r="AZ14" s="3219" t="s">
        <v>3171</v>
      </c>
      <c r="BA14" s="3192"/>
      <c r="BB14" s="3228"/>
      <c r="BC14" s="3192"/>
      <c r="BD14" s="3229"/>
      <c r="BE14" s="3192" t="s">
        <v>2815</v>
      </c>
      <c r="BF14" s="3230"/>
      <c r="BG14" s="3231" t="s">
        <v>2815</v>
      </c>
      <c r="BH14" s="3219"/>
      <c r="BI14" s="3219" t="s">
        <v>3174</v>
      </c>
      <c r="BJ14" s="3239" t="s">
        <v>2815</v>
      </c>
      <c r="BK14" s="3232"/>
      <c r="BL14" s="3219" t="s">
        <v>2923</v>
      </c>
      <c r="BM14" s="3219" t="s">
        <v>3036</v>
      </c>
      <c r="BN14" s="3219" t="s">
        <v>3037</v>
      </c>
      <c r="BO14" s="3192" t="s">
        <v>3072</v>
      </c>
      <c r="BP14" s="3192"/>
      <c r="BQ14" s="3192" t="e">
        <v>#DIV/0!</v>
      </c>
      <c r="BR14" s="3192" t="e">
        <v>#DIV/0!</v>
      </c>
      <c r="BS14" s="3233" t="s">
        <v>3175</v>
      </c>
      <c r="BT14" s="3233" t="s">
        <v>2918</v>
      </c>
      <c r="BU14" s="3234"/>
    </row>
    <row r="15" spans="1:74" s="3161" customFormat="1" ht="12" hidden="1" customHeight="1">
      <c r="A15" s="3219" t="s">
        <v>3176</v>
      </c>
      <c r="B15" s="3219" t="s">
        <v>3177</v>
      </c>
      <c r="C15" s="3220" t="s">
        <v>3178</v>
      </c>
      <c r="D15" s="3220" t="s">
        <v>3179</v>
      </c>
      <c r="E15" s="3245" t="s">
        <v>650</v>
      </c>
      <c r="F15" s="3245" t="s">
        <v>3157</v>
      </c>
      <c r="G15" s="3219"/>
      <c r="H15" s="3219" t="s">
        <v>3126</v>
      </c>
      <c r="I15" s="3245"/>
      <c r="J15" s="3219" t="s">
        <v>3180</v>
      </c>
      <c r="K15" s="3219"/>
      <c r="L15" s="3219">
        <v>58.73</v>
      </c>
      <c r="M15" s="3219">
        <v>11</v>
      </c>
      <c r="N15" s="3245" t="s">
        <v>3181</v>
      </c>
      <c r="O15" s="3219"/>
      <c r="P15" s="3219" t="s">
        <v>3023</v>
      </c>
      <c r="Q15" s="3222">
        <v>760000</v>
      </c>
      <c r="R15" s="3219">
        <v>12941</v>
      </c>
      <c r="S15" s="3223">
        <v>75.17</v>
      </c>
      <c r="T15" s="3224">
        <v>751700</v>
      </c>
      <c r="U15" s="3219">
        <v>12800</v>
      </c>
      <c r="V15" s="3225">
        <v>0.2</v>
      </c>
      <c r="W15" s="3223">
        <v>60.13</v>
      </c>
      <c r="X15" s="3226">
        <v>601300</v>
      </c>
      <c r="Y15" s="3192">
        <v>2009</v>
      </c>
      <c r="Z15" s="3192">
        <v>2</v>
      </c>
      <c r="AA15" s="3192">
        <v>24</v>
      </c>
      <c r="AB15" s="3219">
        <v>1500</v>
      </c>
      <c r="AC15" s="3219" t="s">
        <v>3049</v>
      </c>
      <c r="AD15" s="3220"/>
      <c r="AE15" s="3252" t="s">
        <v>3025</v>
      </c>
      <c r="AF15" s="3245" t="s">
        <v>3026</v>
      </c>
      <c r="AG15" s="3162" t="s">
        <v>2919</v>
      </c>
      <c r="AH15" s="3219"/>
      <c r="AI15" s="3162" t="s">
        <v>2920</v>
      </c>
      <c r="AJ15" s="3227"/>
      <c r="AK15" s="3237">
        <v>2</v>
      </c>
      <c r="AL15" s="3192">
        <v>36</v>
      </c>
      <c r="AM15" s="3192"/>
      <c r="AN15" s="3162" t="s">
        <v>3130</v>
      </c>
      <c r="AO15" s="3219"/>
      <c r="AP15" s="3219" t="s">
        <v>3161</v>
      </c>
      <c r="AQ15" s="3253" t="s">
        <v>2922</v>
      </c>
      <c r="AR15" s="3192"/>
      <c r="AS15" s="3192"/>
      <c r="AT15" s="3192"/>
      <c r="AU15" s="3192"/>
      <c r="AV15" s="3192"/>
      <c r="AW15" s="3219" t="s">
        <v>3162</v>
      </c>
      <c r="AX15" s="3192"/>
      <c r="AY15" s="3228"/>
      <c r="AZ15" s="3219" t="s">
        <v>3182</v>
      </c>
      <c r="BA15" s="3248"/>
      <c r="BB15" s="3249"/>
      <c r="BC15" s="3248"/>
      <c r="BD15" s="3250"/>
      <c r="BE15" s="3192"/>
      <c r="BF15" s="3230"/>
      <c r="BG15" s="3239"/>
      <c r="BH15" s="3219"/>
      <c r="BI15" s="3192" t="s">
        <v>3161</v>
      </c>
      <c r="BJ15" s="3239"/>
      <c r="BK15" s="3232"/>
      <c r="BL15" s="3219" t="s">
        <v>3035</v>
      </c>
      <c r="BM15" s="3192" t="s">
        <v>3036</v>
      </c>
      <c r="BN15" s="3192" t="s">
        <v>3056</v>
      </c>
      <c r="BO15" s="3219" t="s">
        <v>3038</v>
      </c>
      <c r="BP15" s="3192"/>
      <c r="BQ15" s="3192" t="e">
        <v>#DIV/0!</v>
      </c>
      <c r="BR15" s="3192" t="e">
        <v>#DIV/0!</v>
      </c>
      <c r="BS15" s="3233" t="s">
        <v>3164</v>
      </c>
      <c r="BT15" s="3233" t="s">
        <v>2918</v>
      </c>
      <c r="BU15" s="3234"/>
    </row>
    <row r="16" spans="1:74" s="3161" customFormat="1" ht="12" hidden="1" customHeight="1">
      <c r="A16" s="3219" t="s">
        <v>3183</v>
      </c>
      <c r="B16" s="3219" t="s">
        <v>3184</v>
      </c>
      <c r="C16" s="3220" t="s">
        <v>3185</v>
      </c>
      <c r="D16" s="3220" t="s">
        <v>3186</v>
      </c>
      <c r="E16" s="3219" t="s">
        <v>650</v>
      </c>
      <c r="F16" s="3245" t="s">
        <v>3187</v>
      </c>
      <c r="G16" s="3219"/>
      <c r="H16" s="3219" t="s">
        <v>3126</v>
      </c>
      <c r="I16" s="3219"/>
      <c r="J16" s="3220" t="s">
        <v>3188</v>
      </c>
      <c r="K16" s="3219" t="s">
        <v>3189</v>
      </c>
      <c r="L16" s="3244">
        <v>91.12</v>
      </c>
      <c r="M16" s="3219">
        <v>8</v>
      </c>
      <c r="N16" s="3219" t="s">
        <v>3190</v>
      </c>
      <c r="O16" s="3219"/>
      <c r="P16" s="3219" t="s">
        <v>3023</v>
      </c>
      <c r="Q16" s="3222">
        <v>820000</v>
      </c>
      <c r="R16" s="3219">
        <v>8999</v>
      </c>
      <c r="S16" s="3223">
        <v>103.9</v>
      </c>
      <c r="T16" s="3224">
        <v>1039000</v>
      </c>
      <c r="U16" s="3219">
        <v>11403</v>
      </c>
      <c r="V16" s="3225">
        <v>0.2</v>
      </c>
      <c r="W16" s="3223">
        <v>83.12</v>
      </c>
      <c r="X16" s="3226">
        <v>831200</v>
      </c>
      <c r="Y16" s="3192">
        <v>2009</v>
      </c>
      <c r="Z16" s="3192">
        <v>2</v>
      </c>
      <c r="AA16" s="3192">
        <v>13</v>
      </c>
      <c r="AB16" s="3219">
        <v>1500</v>
      </c>
      <c r="AC16" s="3219" t="s">
        <v>3049</v>
      </c>
      <c r="AD16" s="3254"/>
      <c r="AE16" s="3192" t="s">
        <v>3050</v>
      </c>
      <c r="AF16" s="3219" t="s">
        <v>3035</v>
      </c>
      <c r="AG16" s="3219" t="s">
        <v>2919</v>
      </c>
      <c r="AH16" s="3219"/>
      <c r="AI16" s="3219" t="s">
        <v>3051</v>
      </c>
      <c r="AJ16" s="3227"/>
      <c r="AK16" s="3237" t="s">
        <v>3121</v>
      </c>
      <c r="AL16" s="3192">
        <v>52</v>
      </c>
      <c r="AM16" s="3219"/>
      <c r="AN16" s="3192" t="s">
        <v>3121</v>
      </c>
      <c r="AO16" s="3192"/>
      <c r="AP16" s="3162" t="s">
        <v>3191</v>
      </c>
      <c r="AQ16" s="3253" t="s">
        <v>2922</v>
      </c>
      <c r="AR16" s="3192"/>
      <c r="AS16" s="3192"/>
      <c r="AT16" s="3192"/>
      <c r="AU16" s="3192"/>
      <c r="AV16" s="3192"/>
      <c r="AW16" s="3192" t="s">
        <v>3033</v>
      </c>
      <c r="AX16" s="3192"/>
      <c r="AY16" s="3228"/>
      <c r="AZ16" s="3192" t="s">
        <v>3189</v>
      </c>
      <c r="BA16" s="3192"/>
      <c r="BB16" s="3228"/>
      <c r="BC16" s="3192"/>
      <c r="BD16" s="3229"/>
      <c r="BE16" s="3192"/>
      <c r="BF16" s="3230"/>
      <c r="BG16" s="3231"/>
      <c r="BH16" s="3192"/>
      <c r="BI16" s="3192" t="s">
        <v>3191</v>
      </c>
      <c r="BJ16" s="3232"/>
      <c r="BK16" s="3232"/>
      <c r="BL16" s="3219" t="s">
        <v>3035</v>
      </c>
      <c r="BM16" s="3219" t="s">
        <v>3036</v>
      </c>
      <c r="BN16" s="3192" t="s">
        <v>3056</v>
      </c>
      <c r="BO16" s="3192" t="s">
        <v>3072</v>
      </c>
      <c r="BP16" s="3192"/>
      <c r="BQ16" s="3192" t="e">
        <v>#DIV/0!</v>
      </c>
      <c r="BR16" s="3192" t="e">
        <v>#DIV/0!</v>
      </c>
      <c r="BS16" s="3233" t="s">
        <v>3192</v>
      </c>
      <c r="BT16" s="3233" t="s">
        <v>2918</v>
      </c>
      <c r="BU16" s="3234"/>
    </row>
    <row r="17" spans="1:75" s="3161" customFormat="1" ht="12" hidden="1" customHeight="1">
      <c r="A17" s="3219" t="s">
        <v>3193</v>
      </c>
      <c r="B17" s="3255" t="s">
        <v>3194</v>
      </c>
      <c r="C17" s="3220" t="s">
        <v>3195</v>
      </c>
      <c r="D17" s="3220" t="s">
        <v>3196</v>
      </c>
      <c r="E17" s="3219" t="s">
        <v>650</v>
      </c>
      <c r="F17" s="3219" t="s">
        <v>3103</v>
      </c>
      <c r="G17" s="3219"/>
      <c r="H17" s="3219" t="s">
        <v>3115</v>
      </c>
      <c r="I17" s="3219" t="s">
        <v>3197</v>
      </c>
      <c r="J17" s="3220" t="s">
        <v>3198</v>
      </c>
      <c r="K17" s="3255" t="s">
        <v>3199</v>
      </c>
      <c r="L17" s="3219">
        <v>58.01</v>
      </c>
      <c r="M17" s="3220" t="s">
        <v>22</v>
      </c>
      <c r="N17" s="3219" t="s">
        <v>3022</v>
      </c>
      <c r="O17" s="3219"/>
      <c r="P17" s="3219" t="s">
        <v>3023</v>
      </c>
      <c r="Q17" s="3251">
        <v>820000</v>
      </c>
      <c r="R17" s="3219">
        <v>14135</v>
      </c>
      <c r="S17" s="3223">
        <v>77.55</v>
      </c>
      <c r="T17" s="3224">
        <v>775500</v>
      </c>
      <c r="U17" s="3219">
        <v>13370</v>
      </c>
      <c r="V17" s="3225">
        <v>0.2</v>
      </c>
      <c r="W17" s="3223">
        <v>62.04</v>
      </c>
      <c r="X17" s="3226">
        <v>620400</v>
      </c>
      <c r="Y17" s="3219">
        <v>2009</v>
      </c>
      <c r="Z17" s="3192">
        <v>2</v>
      </c>
      <c r="AA17" s="3192">
        <v>23</v>
      </c>
      <c r="AB17" s="3219">
        <v>1500</v>
      </c>
      <c r="AC17" s="3219" t="s">
        <v>3049</v>
      </c>
      <c r="AD17" s="3220"/>
      <c r="AE17" s="3219" t="s">
        <v>3025</v>
      </c>
      <c r="AF17" s="3219" t="s">
        <v>3026</v>
      </c>
      <c r="AG17" s="3162" t="s">
        <v>2919</v>
      </c>
      <c r="AH17" s="3219"/>
      <c r="AI17" s="3219" t="s">
        <v>3051</v>
      </c>
      <c r="AJ17" s="3227"/>
      <c r="AK17" s="3237" t="s">
        <v>3121</v>
      </c>
      <c r="AL17" s="3192">
        <v>31</v>
      </c>
      <c r="AM17" s="3219"/>
      <c r="AN17" s="3192" t="s">
        <v>3028</v>
      </c>
      <c r="AO17" s="3192"/>
      <c r="AP17" s="3162" t="s">
        <v>3191</v>
      </c>
      <c r="AQ17" s="3253" t="s">
        <v>2922</v>
      </c>
      <c r="AR17" s="3192"/>
      <c r="AS17" s="3192"/>
      <c r="AT17" s="3192"/>
      <c r="AU17" s="3192"/>
      <c r="AV17" s="3192"/>
      <c r="AW17" s="3192" t="s">
        <v>3200</v>
      </c>
      <c r="AX17" s="3192"/>
      <c r="AY17" s="3228"/>
      <c r="AZ17" s="3255" t="s">
        <v>3199</v>
      </c>
      <c r="BA17" s="3192"/>
      <c r="BB17" s="3228"/>
      <c r="BC17" s="3192"/>
      <c r="BD17" s="3229"/>
      <c r="BE17" s="3192">
        <v>15101086115</v>
      </c>
      <c r="BF17" s="3230"/>
      <c r="BG17" s="3231"/>
      <c r="BH17" s="3219" t="s">
        <v>3035</v>
      </c>
      <c r="BI17" s="3219" t="s">
        <v>3191</v>
      </c>
      <c r="BJ17" s="3239"/>
      <c r="BK17" s="3232"/>
      <c r="BL17" s="3219" t="s">
        <v>3055</v>
      </c>
      <c r="BM17" s="3219" t="s">
        <v>3036</v>
      </c>
      <c r="BN17" s="3219" t="s">
        <v>3056</v>
      </c>
      <c r="BO17" s="3219" t="s">
        <v>3038</v>
      </c>
      <c r="BP17" s="3192"/>
      <c r="BQ17" s="3192" t="e">
        <v>#DIV/0!</v>
      </c>
      <c r="BR17" s="3192" t="e">
        <v>#DIV/0!</v>
      </c>
      <c r="BS17" s="3233" t="s">
        <v>3192</v>
      </c>
      <c r="BT17" s="3233" t="s">
        <v>2918</v>
      </c>
      <c r="BU17" s="3234"/>
    </row>
    <row r="18" spans="1:75" s="3161" customFormat="1" ht="12" hidden="1" customHeight="1">
      <c r="A18" s="3219" t="s">
        <v>3201</v>
      </c>
      <c r="B18" s="3219" t="s">
        <v>3202</v>
      </c>
      <c r="C18" s="3220" t="s">
        <v>3203</v>
      </c>
      <c r="D18" s="3220" t="s">
        <v>3204</v>
      </c>
      <c r="E18" s="3219" t="s">
        <v>650</v>
      </c>
      <c r="F18" s="3221" t="s">
        <v>3205</v>
      </c>
      <c r="G18" s="3219"/>
      <c r="H18" s="3219" t="s">
        <v>3091</v>
      </c>
      <c r="I18" s="3219"/>
      <c r="J18" s="3220" t="s">
        <v>3206</v>
      </c>
      <c r="K18" s="3219" t="s">
        <v>3207</v>
      </c>
      <c r="L18" s="3219">
        <v>80.3</v>
      </c>
      <c r="M18" s="3219" t="s">
        <v>3109</v>
      </c>
      <c r="N18" s="3219" t="s">
        <v>3096</v>
      </c>
      <c r="O18" s="3219"/>
      <c r="P18" s="3219" t="s">
        <v>3023</v>
      </c>
      <c r="Q18" s="3222">
        <v>1180000</v>
      </c>
      <c r="R18" s="3219">
        <v>14695</v>
      </c>
      <c r="S18" s="3223">
        <v>112.42</v>
      </c>
      <c r="T18" s="3224">
        <v>1124200</v>
      </c>
      <c r="U18" s="3219">
        <v>14000</v>
      </c>
      <c r="V18" s="3225">
        <v>0.2</v>
      </c>
      <c r="W18" s="3223">
        <v>89.93</v>
      </c>
      <c r="X18" s="3226">
        <v>899300.00000000012</v>
      </c>
      <c r="Y18" s="3192">
        <v>2009</v>
      </c>
      <c r="Z18" s="3192">
        <v>3</v>
      </c>
      <c r="AA18" s="3192">
        <v>9</v>
      </c>
      <c r="AB18" s="3219">
        <v>1500</v>
      </c>
      <c r="AC18" s="3219" t="s">
        <v>3049</v>
      </c>
      <c r="AD18" s="3220"/>
      <c r="AE18" s="3252" t="s">
        <v>3025</v>
      </c>
      <c r="AF18" s="3219" t="s">
        <v>3026</v>
      </c>
      <c r="AG18" s="3219" t="s">
        <v>2919</v>
      </c>
      <c r="AH18" s="3219"/>
      <c r="AI18" s="3162" t="s">
        <v>3051</v>
      </c>
      <c r="AJ18" s="3227"/>
      <c r="AK18" s="3241" t="s">
        <v>3028</v>
      </c>
      <c r="AL18" s="3192">
        <v>48</v>
      </c>
      <c r="AM18" s="3192"/>
      <c r="AN18" s="3192" t="s">
        <v>3121</v>
      </c>
      <c r="AO18" s="3192"/>
      <c r="AP18" s="3219" t="s">
        <v>3053</v>
      </c>
      <c r="AQ18" s="3219" t="s">
        <v>3032</v>
      </c>
      <c r="AR18" s="3192"/>
      <c r="AS18" s="3192"/>
      <c r="AT18" s="3192"/>
      <c r="AU18" s="3192"/>
      <c r="AV18" s="3192"/>
      <c r="AW18" s="3192"/>
      <c r="AX18" s="3192"/>
      <c r="AY18" s="3228"/>
      <c r="AZ18" s="3192" t="s">
        <v>3207</v>
      </c>
      <c r="BA18" s="3192"/>
      <c r="BB18" s="3228"/>
      <c r="BC18" s="3192"/>
      <c r="BD18" s="3229"/>
      <c r="BE18" s="3192"/>
      <c r="BF18" s="3230"/>
      <c r="BG18" s="3231"/>
      <c r="BH18" s="3192"/>
      <c r="BI18" s="3192" t="s">
        <v>3053</v>
      </c>
      <c r="BJ18" s="3232"/>
      <c r="BK18" s="3232"/>
      <c r="BL18" s="3219" t="s">
        <v>3035</v>
      </c>
      <c r="BM18" s="3192" t="s">
        <v>3036</v>
      </c>
      <c r="BN18" s="3192" t="s">
        <v>3056</v>
      </c>
      <c r="BO18" s="3192" t="s">
        <v>3072</v>
      </c>
      <c r="BP18" s="3192"/>
      <c r="BQ18" s="3192" t="e">
        <v>#DIV/0!</v>
      </c>
      <c r="BR18" s="3192" t="e">
        <v>#DIV/0!</v>
      </c>
      <c r="BS18" s="3233" t="s">
        <v>3057</v>
      </c>
      <c r="BT18" s="3233" t="s">
        <v>2918</v>
      </c>
      <c r="BU18" s="3234"/>
    </row>
    <row r="19" spans="1:75" s="3161" customFormat="1" ht="12" hidden="1" customHeight="1">
      <c r="A19" s="3219" t="s">
        <v>3208</v>
      </c>
      <c r="B19" s="3219" t="s">
        <v>3209</v>
      </c>
      <c r="C19" s="3220" t="s">
        <v>3210</v>
      </c>
      <c r="D19" s="3220" t="s">
        <v>3211</v>
      </c>
      <c r="E19" s="3219" t="s">
        <v>650</v>
      </c>
      <c r="F19" s="3221" t="s">
        <v>3205</v>
      </c>
      <c r="G19" s="3219"/>
      <c r="H19" s="3219" t="s">
        <v>3091</v>
      </c>
      <c r="I19" s="3219"/>
      <c r="J19" s="3220" t="s">
        <v>3212</v>
      </c>
      <c r="K19" s="3219" t="s">
        <v>3213</v>
      </c>
      <c r="L19" s="3219">
        <v>86</v>
      </c>
      <c r="M19" s="3219" t="s">
        <v>3120</v>
      </c>
      <c r="N19" s="3219" t="s">
        <v>3022</v>
      </c>
      <c r="O19" s="3219"/>
      <c r="P19" s="3219" t="s">
        <v>3023</v>
      </c>
      <c r="Q19" s="3222">
        <v>1000000</v>
      </c>
      <c r="R19" s="3219">
        <v>11628</v>
      </c>
      <c r="S19" s="3223">
        <v>105.78</v>
      </c>
      <c r="T19" s="3224">
        <v>1057800</v>
      </c>
      <c r="U19" s="3219">
        <v>12300</v>
      </c>
      <c r="V19" s="3225">
        <v>0.2</v>
      </c>
      <c r="W19" s="3223">
        <v>84.62</v>
      </c>
      <c r="X19" s="3226">
        <v>846200</v>
      </c>
      <c r="Y19" s="3192">
        <v>2009</v>
      </c>
      <c r="Z19" s="3192">
        <v>3</v>
      </c>
      <c r="AA19" s="3192">
        <v>24</v>
      </c>
      <c r="AB19" s="3219">
        <v>1500</v>
      </c>
      <c r="AC19" s="3219" t="s">
        <v>3049</v>
      </c>
      <c r="AD19" s="3220"/>
      <c r="AE19" s="3192" t="s">
        <v>3025</v>
      </c>
      <c r="AF19" s="3219" t="s">
        <v>3026</v>
      </c>
      <c r="AG19" s="3219" t="s">
        <v>2919</v>
      </c>
      <c r="AH19" s="3219"/>
      <c r="AI19" s="3162" t="s">
        <v>3051</v>
      </c>
      <c r="AJ19" s="3227"/>
      <c r="AK19" s="3241" t="s">
        <v>3028</v>
      </c>
      <c r="AL19" s="3192">
        <v>48</v>
      </c>
      <c r="AM19" s="3192"/>
      <c r="AN19" s="3162" t="s">
        <v>3130</v>
      </c>
      <c r="AO19" s="3192"/>
      <c r="AP19" s="3219" t="s">
        <v>3053</v>
      </c>
      <c r="AQ19" s="3219" t="s">
        <v>3032</v>
      </c>
      <c r="AR19" s="3192"/>
      <c r="AS19" s="3192"/>
      <c r="AT19" s="3192"/>
      <c r="AU19" s="3192"/>
      <c r="AV19" s="3192"/>
      <c r="AW19" s="3192"/>
      <c r="AX19" s="3192"/>
      <c r="AY19" s="3228"/>
      <c r="AZ19" s="3192" t="s">
        <v>3213</v>
      </c>
      <c r="BA19" s="3192"/>
      <c r="BB19" s="3228"/>
      <c r="BC19" s="3192"/>
      <c r="BD19" s="3229"/>
      <c r="BE19" s="3192"/>
      <c r="BF19" s="3230"/>
      <c r="BG19" s="3231"/>
      <c r="BH19" s="3192"/>
      <c r="BI19" s="3192" t="s">
        <v>3053</v>
      </c>
      <c r="BJ19" s="3232"/>
      <c r="BK19" s="3232"/>
      <c r="BL19" s="3219" t="s">
        <v>3035</v>
      </c>
      <c r="BM19" s="3192" t="s">
        <v>3036</v>
      </c>
      <c r="BN19" s="3192" t="s">
        <v>3056</v>
      </c>
      <c r="BO19" s="3192" t="s">
        <v>3072</v>
      </c>
      <c r="BP19" s="3192"/>
      <c r="BQ19" s="3192" t="e">
        <v>#DIV/0!</v>
      </c>
      <c r="BR19" s="3192" t="e">
        <v>#DIV/0!</v>
      </c>
      <c r="BS19" s="3233" t="s">
        <v>3057</v>
      </c>
      <c r="BT19" s="3233" t="s">
        <v>2918</v>
      </c>
      <c r="BU19" s="3234"/>
    </row>
    <row r="20" spans="1:75" s="3161" customFormat="1" ht="12" hidden="1" customHeight="1">
      <c r="A20" s="3219" t="s">
        <v>3214</v>
      </c>
      <c r="B20" s="3219" t="s">
        <v>3215</v>
      </c>
      <c r="C20" s="3220" t="s">
        <v>3216</v>
      </c>
      <c r="D20" s="3219">
        <v>13601038910</v>
      </c>
      <c r="E20" s="3219" t="s">
        <v>650</v>
      </c>
      <c r="F20" s="3219" t="s">
        <v>3044</v>
      </c>
      <c r="G20" s="3219"/>
      <c r="H20" s="3219" t="s">
        <v>3217</v>
      </c>
      <c r="I20" s="3219" t="s">
        <v>3019</v>
      </c>
      <c r="J20" s="3219" t="s">
        <v>3218</v>
      </c>
      <c r="K20" s="3219" t="s">
        <v>3219</v>
      </c>
      <c r="L20" s="3219">
        <v>36</v>
      </c>
      <c r="M20" s="3219">
        <v>1</v>
      </c>
      <c r="N20" s="3219" t="s">
        <v>3220</v>
      </c>
      <c r="O20" s="3219"/>
      <c r="P20" s="3219" t="s">
        <v>3023</v>
      </c>
      <c r="Q20" s="3222">
        <v>550000</v>
      </c>
      <c r="R20" s="3219">
        <v>15278</v>
      </c>
      <c r="S20" s="3223">
        <v>46.08</v>
      </c>
      <c r="T20" s="3224">
        <v>460800</v>
      </c>
      <c r="U20" s="3235">
        <v>12800</v>
      </c>
      <c r="V20" s="3225">
        <v>0.2</v>
      </c>
      <c r="W20" s="3223">
        <v>36.86</v>
      </c>
      <c r="X20" s="3226">
        <v>368600</v>
      </c>
      <c r="Y20" s="3192">
        <v>2009</v>
      </c>
      <c r="Z20" s="3219">
        <v>3</v>
      </c>
      <c r="AA20" s="3192">
        <v>24</v>
      </c>
      <c r="AB20" s="3219">
        <v>1380</v>
      </c>
      <c r="AC20" s="3219" t="s">
        <v>3049</v>
      </c>
      <c r="AD20" s="3236"/>
      <c r="AE20" s="3219" t="s">
        <v>3050</v>
      </c>
      <c r="AF20" s="3219" t="s">
        <v>3026</v>
      </c>
      <c r="AG20" s="3219" t="s">
        <v>2919</v>
      </c>
      <c r="AH20" s="3219"/>
      <c r="AI20" s="3219" t="s">
        <v>3051</v>
      </c>
      <c r="AJ20" s="3219"/>
      <c r="AK20" s="3241" t="s">
        <v>3028</v>
      </c>
      <c r="AL20" s="3219">
        <v>24</v>
      </c>
      <c r="AM20" s="3219"/>
      <c r="AN20" s="3162" t="s">
        <v>3130</v>
      </c>
      <c r="AO20" s="3219"/>
      <c r="AP20" s="3219" t="s">
        <v>3053</v>
      </c>
      <c r="AQ20" s="3219" t="s">
        <v>3032</v>
      </c>
      <c r="AR20" s="3192"/>
      <c r="AS20" s="3219"/>
      <c r="AT20" s="3219"/>
      <c r="AU20" s="3219"/>
      <c r="AV20" s="3219"/>
      <c r="AW20" s="3192"/>
      <c r="AX20" s="3238"/>
      <c r="AY20" s="3219"/>
      <c r="AZ20" s="3219" t="s">
        <v>3221</v>
      </c>
      <c r="BA20" s="3219"/>
      <c r="BB20" s="3219"/>
      <c r="BC20" s="3219"/>
      <c r="BD20" s="3219"/>
      <c r="BE20" s="3219"/>
      <c r="BF20" s="3219"/>
      <c r="BG20" s="3227"/>
      <c r="BH20" s="3219"/>
      <c r="BI20" s="3192" t="s">
        <v>3053</v>
      </c>
      <c r="BJ20" s="3239"/>
      <c r="BK20" s="3238"/>
      <c r="BL20" s="3219" t="s">
        <v>3055</v>
      </c>
      <c r="BM20" s="3219" t="s">
        <v>3036</v>
      </c>
      <c r="BN20" s="3219" t="s">
        <v>3056</v>
      </c>
      <c r="BO20" s="3219" t="s">
        <v>3038</v>
      </c>
      <c r="BP20" s="3219"/>
      <c r="BQ20" s="3192" t="e">
        <v>#DIV/0!</v>
      </c>
      <c r="BR20" s="3192" t="e">
        <v>#DIV/0!</v>
      </c>
      <c r="BS20" s="3233" t="s">
        <v>3057</v>
      </c>
      <c r="BT20" s="3233" t="s">
        <v>2918</v>
      </c>
      <c r="BU20" s="3234"/>
    </row>
    <row r="21" spans="1:75" s="3161" customFormat="1" ht="12" hidden="1" customHeight="1">
      <c r="A21" s="3256" t="s">
        <v>3222</v>
      </c>
      <c r="B21" s="3256" t="s">
        <v>3223</v>
      </c>
      <c r="C21" s="3257" t="s">
        <v>3224</v>
      </c>
      <c r="D21" s="3258">
        <v>13641217580</v>
      </c>
      <c r="E21" s="3245" t="s">
        <v>650</v>
      </c>
      <c r="F21" s="3258" t="s">
        <v>3077</v>
      </c>
      <c r="G21" s="3256"/>
      <c r="H21" s="3256" t="s">
        <v>3225</v>
      </c>
      <c r="I21" s="3256"/>
      <c r="J21" s="3257" t="s">
        <v>3226</v>
      </c>
      <c r="K21" s="3256" t="s">
        <v>3227</v>
      </c>
      <c r="L21" s="3259">
        <v>62.7</v>
      </c>
      <c r="M21" s="3256">
        <v>3</v>
      </c>
      <c r="N21" s="3219" t="s">
        <v>3096</v>
      </c>
      <c r="O21" s="3260"/>
      <c r="P21" s="3256" t="s">
        <v>3023</v>
      </c>
      <c r="Q21" s="3261">
        <v>650000</v>
      </c>
      <c r="R21" s="3219">
        <v>10367</v>
      </c>
      <c r="S21" s="3223">
        <v>79.22</v>
      </c>
      <c r="T21" s="3224">
        <v>792200</v>
      </c>
      <c r="U21" s="3261">
        <v>12636</v>
      </c>
      <c r="V21" s="3262">
        <v>0.2</v>
      </c>
      <c r="W21" s="3223">
        <v>63.37</v>
      </c>
      <c r="X21" s="3226">
        <v>633700</v>
      </c>
      <c r="Y21" s="3263">
        <v>2009</v>
      </c>
      <c r="Z21" s="3263">
        <v>3</v>
      </c>
      <c r="AA21" s="3263">
        <v>26</v>
      </c>
      <c r="AB21" s="3219">
        <v>1500</v>
      </c>
      <c r="AC21" s="3256" t="s">
        <v>3049</v>
      </c>
      <c r="AD21" s="3257"/>
      <c r="AE21" s="3219" t="s">
        <v>3228</v>
      </c>
      <c r="AF21" s="3256" t="s">
        <v>3035</v>
      </c>
      <c r="AG21" s="3256" t="s">
        <v>2919</v>
      </c>
      <c r="AH21" s="3256"/>
      <c r="AI21" s="3264" t="s">
        <v>3051</v>
      </c>
      <c r="AJ21" s="3265"/>
      <c r="AK21" s="3237">
        <v>3</v>
      </c>
      <c r="AL21" s="3263">
        <v>43</v>
      </c>
      <c r="AM21" s="3219"/>
      <c r="AN21" s="3162" t="s">
        <v>3130</v>
      </c>
      <c r="AO21" s="3256"/>
      <c r="AP21" s="3192" t="s">
        <v>3084</v>
      </c>
      <c r="AQ21" s="3219" t="s">
        <v>3032</v>
      </c>
      <c r="AR21" s="3263"/>
      <c r="AS21" s="3263"/>
      <c r="AT21" s="3263"/>
      <c r="AU21" s="3256" t="s">
        <v>2898</v>
      </c>
      <c r="AV21" s="3256"/>
      <c r="AW21" s="3219"/>
      <c r="AX21" s="3256"/>
      <c r="AY21" s="3256"/>
      <c r="AZ21" s="3256" t="s">
        <v>3227</v>
      </c>
      <c r="BA21" s="3256"/>
      <c r="BB21" s="3256"/>
      <c r="BC21" s="3256"/>
      <c r="BD21" s="3256"/>
      <c r="BE21" s="3257"/>
      <c r="BF21" s="3256"/>
      <c r="BG21" s="3266"/>
      <c r="BH21" s="3256"/>
      <c r="BI21" s="3192" t="s">
        <v>3084</v>
      </c>
      <c r="BJ21" s="3266"/>
      <c r="BK21" s="3267"/>
      <c r="BL21" s="3256" t="s">
        <v>3035</v>
      </c>
      <c r="BM21" s="3256" t="s">
        <v>3036</v>
      </c>
      <c r="BN21" s="3256" t="s">
        <v>3056</v>
      </c>
      <c r="BO21" s="3192" t="s">
        <v>3072</v>
      </c>
      <c r="BP21" s="3256"/>
      <c r="BQ21" s="3192" t="e">
        <v>#DIV/0!</v>
      </c>
      <c r="BR21" s="3192" t="e">
        <v>#DIV/0!</v>
      </c>
      <c r="BS21" s="3233" t="s">
        <v>3085</v>
      </c>
      <c r="BT21" s="3233" t="s">
        <v>2918</v>
      </c>
      <c r="BU21" s="3234"/>
      <c r="BW21" s="3268"/>
    </row>
    <row r="22" spans="1:75" s="3161" customFormat="1" ht="12" hidden="1" customHeight="1">
      <c r="A22" s="3219" t="s">
        <v>3229</v>
      </c>
      <c r="B22" s="3219" t="s">
        <v>3230</v>
      </c>
      <c r="C22" s="3220" t="s">
        <v>3231</v>
      </c>
      <c r="D22" s="3220" t="s">
        <v>3232</v>
      </c>
      <c r="E22" s="3219" t="s">
        <v>650</v>
      </c>
      <c r="F22" s="3221" t="s">
        <v>3233</v>
      </c>
      <c r="G22" s="3219"/>
      <c r="H22" s="3219" t="s">
        <v>3091</v>
      </c>
      <c r="I22" s="3219" t="s">
        <v>3092</v>
      </c>
      <c r="J22" s="3220" t="s">
        <v>3234</v>
      </c>
      <c r="K22" s="3219" t="s">
        <v>3235</v>
      </c>
      <c r="L22" s="3269">
        <v>55.8</v>
      </c>
      <c r="M22" s="3219">
        <v>3</v>
      </c>
      <c r="N22" s="3219" t="s">
        <v>3096</v>
      </c>
      <c r="O22" s="3219"/>
      <c r="P22" s="3219" t="s">
        <v>3023</v>
      </c>
      <c r="Q22" s="3251">
        <v>830000</v>
      </c>
      <c r="R22" s="3219">
        <v>14875</v>
      </c>
      <c r="S22" s="3223">
        <v>72.540000000000006</v>
      </c>
      <c r="T22" s="3224">
        <v>725400.00000000012</v>
      </c>
      <c r="U22" s="3219">
        <v>13000</v>
      </c>
      <c r="V22" s="3225">
        <v>0.2</v>
      </c>
      <c r="W22" s="3223">
        <v>58.03</v>
      </c>
      <c r="X22" s="3226">
        <v>580300</v>
      </c>
      <c r="Y22" s="3219">
        <v>2009</v>
      </c>
      <c r="Z22" s="3219">
        <v>4</v>
      </c>
      <c r="AA22" s="3192">
        <v>2</v>
      </c>
      <c r="AB22" s="3219">
        <v>1500</v>
      </c>
      <c r="AC22" s="3219" t="s">
        <v>3049</v>
      </c>
      <c r="AD22" s="3220"/>
      <c r="AE22" s="3219" t="s">
        <v>3025</v>
      </c>
      <c r="AF22" s="3219" t="s">
        <v>3026</v>
      </c>
      <c r="AG22" s="3162" t="s">
        <v>2919</v>
      </c>
      <c r="AH22" s="3219"/>
      <c r="AI22" s="3162" t="s">
        <v>3051</v>
      </c>
      <c r="AJ22" s="3227"/>
      <c r="AK22" s="3237">
        <v>4</v>
      </c>
      <c r="AL22" s="3192">
        <v>31</v>
      </c>
      <c r="AM22" s="3219"/>
      <c r="AN22" s="3162" t="s">
        <v>3236</v>
      </c>
      <c r="AO22" s="3192"/>
      <c r="AP22" s="3248" t="s">
        <v>3084</v>
      </c>
      <c r="AQ22" s="3219" t="s">
        <v>2922</v>
      </c>
      <c r="AR22" s="3192"/>
      <c r="AS22" s="3192"/>
      <c r="AT22" s="3192"/>
      <c r="AU22" s="3192"/>
      <c r="AV22" s="3192"/>
      <c r="AW22" s="3219"/>
      <c r="AX22" s="3192"/>
      <c r="AY22" s="3228"/>
      <c r="AZ22" s="3219" t="s">
        <v>3235</v>
      </c>
      <c r="BA22" s="3192"/>
      <c r="BB22" s="3228"/>
      <c r="BC22" s="3192"/>
      <c r="BD22" s="3229"/>
      <c r="BE22" s="3192"/>
      <c r="BF22" s="3230"/>
      <c r="BG22" s="3239"/>
      <c r="BH22" s="3192"/>
      <c r="BI22" s="3248" t="s">
        <v>3084</v>
      </c>
      <c r="BJ22" s="3239"/>
      <c r="BK22" s="3232"/>
      <c r="BL22" s="3192" t="s">
        <v>3035</v>
      </c>
      <c r="BM22" s="3192" t="s">
        <v>3036</v>
      </c>
      <c r="BN22" s="3192" t="s">
        <v>3056</v>
      </c>
      <c r="BO22" s="3219" t="s">
        <v>3072</v>
      </c>
      <c r="BP22" s="3192"/>
      <c r="BQ22" s="3192" t="e">
        <v>#DIV/0!</v>
      </c>
      <c r="BR22" s="3192" t="e">
        <v>#DIV/0!</v>
      </c>
      <c r="BS22" s="3233" t="s">
        <v>3085</v>
      </c>
      <c r="BT22" s="3233" t="s">
        <v>2918</v>
      </c>
      <c r="BU22" s="3234"/>
    </row>
    <row r="23" spans="1:75" s="3161" customFormat="1" ht="12" hidden="1" customHeight="1">
      <c r="A23" s="3219" t="s">
        <v>3237</v>
      </c>
      <c r="B23" s="3219" t="s">
        <v>3238</v>
      </c>
      <c r="C23" s="3220" t="s">
        <v>3239</v>
      </c>
      <c r="D23" s="3220" t="s">
        <v>3240</v>
      </c>
      <c r="E23" s="3219" t="s">
        <v>650</v>
      </c>
      <c r="F23" s="3219" t="s">
        <v>3146</v>
      </c>
      <c r="G23" s="3219"/>
      <c r="H23" s="3219" t="s">
        <v>3126</v>
      </c>
      <c r="I23" s="3219"/>
      <c r="J23" s="3220" t="s">
        <v>3241</v>
      </c>
      <c r="K23" s="3219" t="s">
        <v>3242</v>
      </c>
      <c r="L23" s="3270">
        <v>71</v>
      </c>
      <c r="M23" s="3220" t="s">
        <v>3243</v>
      </c>
      <c r="N23" s="3219" t="s">
        <v>3244</v>
      </c>
      <c r="O23" s="3219"/>
      <c r="P23" s="3219" t="s">
        <v>3023</v>
      </c>
      <c r="Q23" s="3251">
        <v>1040000</v>
      </c>
      <c r="R23" s="3219">
        <v>14648</v>
      </c>
      <c r="S23" s="3223">
        <v>89.68</v>
      </c>
      <c r="T23" s="3224">
        <v>896800.00000000012</v>
      </c>
      <c r="U23" s="3219">
        <v>12631</v>
      </c>
      <c r="V23" s="3225">
        <v>0.2</v>
      </c>
      <c r="W23" s="3223">
        <v>71.739999999999995</v>
      </c>
      <c r="X23" s="3226">
        <v>717400</v>
      </c>
      <c r="Y23" s="3219">
        <v>2009</v>
      </c>
      <c r="Z23" s="3192">
        <v>4</v>
      </c>
      <c r="AA23" s="3192">
        <v>14</v>
      </c>
      <c r="AB23" s="3219">
        <v>1500</v>
      </c>
      <c r="AC23" s="3219" t="s">
        <v>2918</v>
      </c>
      <c r="AD23" s="3220"/>
      <c r="AE23" s="3219" t="s">
        <v>3025</v>
      </c>
      <c r="AF23" s="3219" t="s">
        <v>3035</v>
      </c>
      <c r="AG23" s="3162" t="s">
        <v>2919</v>
      </c>
      <c r="AH23" s="3219"/>
      <c r="AI23" s="3219"/>
      <c r="AJ23" s="3227"/>
      <c r="AK23" s="3237" t="s">
        <v>3130</v>
      </c>
      <c r="AL23" s="3192">
        <v>37</v>
      </c>
      <c r="AM23" s="3219"/>
      <c r="AN23" s="3192" t="s">
        <v>3028</v>
      </c>
      <c r="AO23" s="3219"/>
      <c r="AP23" s="3245" t="s">
        <v>3245</v>
      </c>
      <c r="AQ23" s="3219" t="s">
        <v>2922</v>
      </c>
      <c r="AR23" s="3219"/>
      <c r="AS23" s="3219"/>
      <c r="AT23" s="3219"/>
      <c r="AU23" s="3192"/>
      <c r="AV23" s="3192"/>
      <c r="AW23" s="3192" t="s">
        <v>3069</v>
      </c>
      <c r="AX23" s="3192"/>
      <c r="AY23" s="3228"/>
      <c r="AZ23" s="3219" t="s">
        <v>3242</v>
      </c>
      <c r="BA23" s="3192"/>
      <c r="BB23" s="3228"/>
      <c r="BC23" s="3192"/>
      <c r="BD23" s="3229"/>
      <c r="BE23" s="3192"/>
      <c r="BF23" s="3230"/>
      <c r="BG23" s="3231"/>
      <c r="BH23" s="3219"/>
      <c r="BI23" s="3248" t="s">
        <v>3245</v>
      </c>
      <c r="BJ23" s="3239"/>
      <c r="BK23" s="3232"/>
      <c r="BL23" s="3192" t="s">
        <v>3035</v>
      </c>
      <c r="BM23" s="3219" t="s">
        <v>3036</v>
      </c>
      <c r="BN23" s="3219" t="s">
        <v>3056</v>
      </c>
      <c r="BO23" s="3219" t="s">
        <v>3072</v>
      </c>
      <c r="BP23" s="3192"/>
      <c r="BQ23" s="3192" t="e">
        <v>#DIV/0!</v>
      </c>
      <c r="BR23" s="3192" t="e">
        <v>#DIV/0!</v>
      </c>
      <c r="BS23" s="3233" t="s">
        <v>3246</v>
      </c>
      <c r="BT23" s="3233" t="s">
        <v>2918</v>
      </c>
      <c r="BU23" s="3234"/>
    </row>
    <row r="24" spans="1:75" s="3161" customFormat="1" ht="12" hidden="1" customHeight="1">
      <c r="A24" s="3219" t="s">
        <v>3247</v>
      </c>
      <c r="B24" s="3219" t="s">
        <v>3248</v>
      </c>
      <c r="C24" s="3220" t="s">
        <v>3249</v>
      </c>
      <c r="D24" s="3220" t="s">
        <v>3250</v>
      </c>
      <c r="E24" s="3219" t="s">
        <v>650</v>
      </c>
      <c r="F24" s="3245" t="s">
        <v>3077</v>
      </c>
      <c r="G24" s="3219"/>
      <c r="H24" s="3219" t="s">
        <v>3063</v>
      </c>
      <c r="I24" s="3245" t="s">
        <v>3116</v>
      </c>
      <c r="J24" s="3219" t="s">
        <v>3251</v>
      </c>
      <c r="K24" s="3245" t="s">
        <v>3252</v>
      </c>
      <c r="L24" s="3271">
        <v>63.1</v>
      </c>
      <c r="M24" s="3219">
        <v>11</v>
      </c>
      <c r="N24" s="3219" t="s">
        <v>3096</v>
      </c>
      <c r="O24" s="3244"/>
      <c r="P24" s="3219" t="s">
        <v>3023</v>
      </c>
      <c r="Q24" s="3222">
        <v>630000</v>
      </c>
      <c r="R24" s="3219">
        <v>9984</v>
      </c>
      <c r="S24" s="3223">
        <v>72.84</v>
      </c>
      <c r="T24" s="3224">
        <v>728400</v>
      </c>
      <c r="U24" s="3219">
        <v>11544</v>
      </c>
      <c r="V24" s="3225">
        <v>0.2</v>
      </c>
      <c r="W24" s="3223">
        <v>58.27</v>
      </c>
      <c r="X24" s="3226">
        <v>582700</v>
      </c>
      <c r="Y24" s="3192">
        <v>2009</v>
      </c>
      <c r="Z24" s="3192">
        <v>4</v>
      </c>
      <c r="AA24" s="3219">
        <v>20</v>
      </c>
      <c r="AB24" s="3219">
        <v>1500</v>
      </c>
      <c r="AC24" s="3219" t="s">
        <v>3049</v>
      </c>
      <c r="AD24" s="3254"/>
      <c r="AE24" s="3192" t="s">
        <v>3025</v>
      </c>
      <c r="AF24" s="3219" t="s">
        <v>3026</v>
      </c>
      <c r="AG24" s="3162" t="s">
        <v>2919</v>
      </c>
      <c r="AH24" s="3219"/>
      <c r="AI24" s="3219" t="s">
        <v>3051</v>
      </c>
      <c r="AJ24" s="3227"/>
      <c r="AK24" s="3241" t="s">
        <v>3130</v>
      </c>
      <c r="AL24" s="3219">
        <v>41</v>
      </c>
      <c r="AM24" s="3219"/>
      <c r="AN24" s="3219" t="s">
        <v>3130</v>
      </c>
      <c r="AO24" s="3219"/>
      <c r="AP24" s="3248" t="s">
        <v>3084</v>
      </c>
      <c r="AQ24" s="3219" t="s">
        <v>2922</v>
      </c>
      <c r="AR24" s="3192"/>
      <c r="AS24" s="3192"/>
      <c r="AT24" s="3192"/>
      <c r="AU24" s="3192" t="s">
        <v>2898</v>
      </c>
      <c r="AV24" s="3192"/>
      <c r="AW24" s="3192"/>
      <c r="AX24" s="3192"/>
      <c r="AY24" s="3228"/>
      <c r="AZ24" s="3245" t="s">
        <v>3252</v>
      </c>
      <c r="BA24" s="3248"/>
      <c r="BB24" s="3249"/>
      <c r="BC24" s="3248"/>
      <c r="BD24" s="3250"/>
      <c r="BE24" s="3192"/>
      <c r="BF24" s="3230"/>
      <c r="BG24" s="3239"/>
      <c r="BH24" s="3219"/>
      <c r="BI24" s="3248" t="s">
        <v>3084</v>
      </c>
      <c r="BJ24" s="3227"/>
      <c r="BK24" s="3232"/>
      <c r="BL24" s="3219" t="s">
        <v>3035</v>
      </c>
      <c r="BM24" s="3192" t="s">
        <v>3036</v>
      </c>
      <c r="BN24" s="3192" t="s">
        <v>3056</v>
      </c>
      <c r="BO24" s="3192" t="s">
        <v>3072</v>
      </c>
      <c r="BP24" s="3192"/>
      <c r="BQ24" s="3192" t="e">
        <v>#DIV/0!</v>
      </c>
      <c r="BR24" s="3192" t="e">
        <v>#DIV/0!</v>
      </c>
      <c r="BS24" s="3233" t="s">
        <v>3085</v>
      </c>
      <c r="BT24" s="3233" t="s">
        <v>2918</v>
      </c>
      <c r="BU24" s="3234"/>
    </row>
    <row r="25" spans="1:75" s="3161" customFormat="1" ht="12" hidden="1" customHeight="1">
      <c r="A25" s="3219" t="s">
        <v>3253</v>
      </c>
      <c r="B25" s="3219" t="s">
        <v>3254</v>
      </c>
      <c r="C25" s="3220" t="s">
        <v>3255</v>
      </c>
      <c r="D25" s="3220" t="s">
        <v>3256</v>
      </c>
      <c r="E25" s="3219" t="s">
        <v>650</v>
      </c>
      <c r="F25" s="3245" t="s">
        <v>3257</v>
      </c>
      <c r="G25" s="3219"/>
      <c r="H25" s="3219" t="s">
        <v>3126</v>
      </c>
      <c r="I25" s="3245" t="s">
        <v>3258</v>
      </c>
      <c r="J25" s="3219" t="s">
        <v>3259</v>
      </c>
      <c r="K25" s="3245" t="s">
        <v>3260</v>
      </c>
      <c r="L25" s="3271">
        <v>61.9</v>
      </c>
      <c r="M25" s="3219">
        <v>5</v>
      </c>
      <c r="N25" s="3219" t="s">
        <v>3261</v>
      </c>
      <c r="O25" s="3244"/>
      <c r="P25" s="3219" t="s">
        <v>3023</v>
      </c>
      <c r="Q25" s="3222">
        <v>630000</v>
      </c>
      <c r="R25" s="3219">
        <v>10178</v>
      </c>
      <c r="S25" s="3223">
        <v>79.28</v>
      </c>
      <c r="T25" s="3224">
        <v>792800</v>
      </c>
      <c r="U25" s="3219">
        <v>12809</v>
      </c>
      <c r="V25" s="3225">
        <v>0.2</v>
      </c>
      <c r="W25" s="3223">
        <v>63.42</v>
      </c>
      <c r="X25" s="3226">
        <v>634200</v>
      </c>
      <c r="Y25" s="3192">
        <v>2009</v>
      </c>
      <c r="Z25" s="3192">
        <v>4</v>
      </c>
      <c r="AA25" s="3219">
        <v>30</v>
      </c>
      <c r="AB25" s="3219">
        <v>1500</v>
      </c>
      <c r="AC25" s="3219" t="s">
        <v>3049</v>
      </c>
      <c r="AD25" s="3254"/>
      <c r="AE25" s="3192" t="s">
        <v>3025</v>
      </c>
      <c r="AF25" s="3219" t="s">
        <v>3035</v>
      </c>
      <c r="AG25" s="3162" t="s">
        <v>2919</v>
      </c>
      <c r="AH25" s="3219"/>
      <c r="AI25" s="3219" t="s">
        <v>3051</v>
      </c>
      <c r="AJ25" s="3227"/>
      <c r="AK25" s="3241" t="s">
        <v>3130</v>
      </c>
      <c r="AL25" s="3219">
        <v>23</v>
      </c>
      <c r="AM25" s="3219"/>
      <c r="AN25" s="3219" t="s">
        <v>3066</v>
      </c>
      <c r="AO25" s="3219"/>
      <c r="AP25" s="3248" t="s">
        <v>3262</v>
      </c>
      <c r="AQ25" s="3219" t="s">
        <v>2922</v>
      </c>
      <c r="AR25" s="3192"/>
      <c r="AS25" s="3192"/>
      <c r="AT25" s="3192"/>
      <c r="AU25" s="3192" t="s">
        <v>2898</v>
      </c>
      <c r="AV25" s="3192"/>
      <c r="AW25" s="3192"/>
      <c r="AX25" s="3192"/>
      <c r="AY25" s="3228"/>
      <c r="AZ25" s="3245" t="s">
        <v>3260</v>
      </c>
      <c r="BA25" s="3248"/>
      <c r="BB25" s="3249"/>
      <c r="BC25" s="3248"/>
      <c r="BD25" s="3250"/>
      <c r="BE25" s="3192"/>
      <c r="BF25" s="3230"/>
      <c r="BG25" s="3239"/>
      <c r="BH25" s="3219"/>
      <c r="BI25" s="3248" t="s">
        <v>3262</v>
      </c>
      <c r="BJ25" s="3227"/>
      <c r="BK25" s="3232"/>
      <c r="BL25" s="3219" t="s">
        <v>3035</v>
      </c>
      <c r="BM25" s="3192" t="s">
        <v>3036</v>
      </c>
      <c r="BN25" s="3192" t="s">
        <v>3056</v>
      </c>
      <c r="BO25" s="3192" t="s">
        <v>3072</v>
      </c>
      <c r="BP25" s="3192"/>
      <c r="BQ25" s="3192" t="e">
        <v>#DIV/0!</v>
      </c>
      <c r="BR25" s="3192" t="e">
        <v>#DIV/0!</v>
      </c>
      <c r="BS25" s="3233" t="s">
        <v>3263</v>
      </c>
      <c r="BT25" s="3233" t="s">
        <v>2918</v>
      </c>
      <c r="BU25" s="3234"/>
    </row>
    <row r="26" spans="1:75" s="3161" customFormat="1" ht="12" hidden="1" customHeight="1">
      <c r="A26" s="3219" t="s">
        <v>3264</v>
      </c>
      <c r="B26" s="3219" t="s">
        <v>3265</v>
      </c>
      <c r="C26" s="3240" t="s">
        <v>3266</v>
      </c>
      <c r="D26" s="3240" t="s">
        <v>3267</v>
      </c>
      <c r="E26" s="3219" t="s">
        <v>650</v>
      </c>
      <c r="F26" s="3219" t="s">
        <v>3205</v>
      </c>
      <c r="G26" s="3219"/>
      <c r="H26" s="3219" t="s">
        <v>3126</v>
      </c>
      <c r="I26" s="3219" t="s">
        <v>3268</v>
      </c>
      <c r="J26" s="3219" t="s">
        <v>3269</v>
      </c>
      <c r="K26" s="3219" t="s">
        <v>3270</v>
      </c>
      <c r="L26" s="3219">
        <v>98.13</v>
      </c>
      <c r="M26" s="3219">
        <v>7</v>
      </c>
      <c r="N26" s="3219" t="s">
        <v>3261</v>
      </c>
      <c r="O26" s="3219"/>
      <c r="P26" s="3219" t="s">
        <v>3023</v>
      </c>
      <c r="Q26" s="3222">
        <v>880000</v>
      </c>
      <c r="R26" s="3219">
        <v>8968</v>
      </c>
      <c r="S26" s="3223">
        <v>123.74</v>
      </c>
      <c r="T26" s="3224">
        <v>1237400</v>
      </c>
      <c r="U26" s="3219">
        <v>12610</v>
      </c>
      <c r="V26" s="3225">
        <v>0.2</v>
      </c>
      <c r="W26" s="3223">
        <v>98.99</v>
      </c>
      <c r="X26" s="3226">
        <v>989900</v>
      </c>
      <c r="Y26" s="3192">
        <v>2009</v>
      </c>
      <c r="Z26" s="3192">
        <v>5</v>
      </c>
      <c r="AA26" s="3219">
        <v>7</v>
      </c>
      <c r="AB26" s="3219">
        <v>1500</v>
      </c>
      <c r="AC26" s="3219" t="s">
        <v>3049</v>
      </c>
      <c r="AD26" s="3240"/>
      <c r="AE26" s="3219" t="s">
        <v>3025</v>
      </c>
      <c r="AF26" s="3219" t="s">
        <v>2923</v>
      </c>
      <c r="AG26" s="3219" t="s">
        <v>2919</v>
      </c>
      <c r="AH26" s="3219"/>
      <c r="AI26" s="3219" t="s">
        <v>2920</v>
      </c>
      <c r="AJ26" s="3227"/>
      <c r="AK26" s="3241" t="s">
        <v>3066</v>
      </c>
      <c r="AL26" s="3219">
        <v>50</v>
      </c>
      <c r="AM26" s="3219"/>
      <c r="AN26" s="3162" t="s">
        <v>3030</v>
      </c>
      <c r="AO26" s="3219"/>
      <c r="AP26" s="3219" t="s">
        <v>3073</v>
      </c>
      <c r="AQ26" s="3219" t="s">
        <v>3032</v>
      </c>
      <c r="AR26" s="3219"/>
      <c r="AS26" s="3219"/>
      <c r="AT26" s="3219"/>
      <c r="AU26" s="3219"/>
      <c r="AV26" s="3219"/>
      <c r="AW26" s="3219"/>
      <c r="AX26" s="3219"/>
      <c r="AY26" s="3220"/>
      <c r="AZ26" s="3219" t="s">
        <v>3270</v>
      </c>
      <c r="BA26" s="3219"/>
      <c r="BB26" s="3220" t="s">
        <v>2898</v>
      </c>
      <c r="BC26" s="3219" t="s">
        <v>2898</v>
      </c>
      <c r="BD26" s="3243" t="s">
        <v>2898</v>
      </c>
      <c r="BE26" s="3219" t="s">
        <v>2898</v>
      </c>
      <c r="BF26" s="3244"/>
      <c r="BG26" s="3227"/>
      <c r="BH26" s="3219"/>
      <c r="BI26" s="3192" t="s">
        <v>3073</v>
      </c>
      <c r="BJ26" s="3232"/>
      <c r="BK26" s="3227"/>
      <c r="BL26" s="3192" t="s">
        <v>3035</v>
      </c>
      <c r="BM26" s="3192" t="s">
        <v>3036</v>
      </c>
      <c r="BN26" s="3192" t="s">
        <v>3056</v>
      </c>
      <c r="BO26" s="3219" t="s">
        <v>3072</v>
      </c>
      <c r="BP26" s="3219"/>
      <c r="BQ26" s="3192" t="e">
        <v>#DIV/0!</v>
      </c>
      <c r="BR26" s="3192" t="e">
        <v>#DIV/0!</v>
      </c>
      <c r="BS26" s="3233" t="s">
        <v>3073</v>
      </c>
      <c r="BT26" s="3233" t="s">
        <v>2918</v>
      </c>
      <c r="BU26" s="3234"/>
    </row>
    <row r="27" spans="1:75" s="3161" customFormat="1" ht="12" customHeight="1">
      <c r="A27" s="3219" t="s">
        <v>3271</v>
      </c>
      <c r="B27" s="3219" t="s">
        <v>3272</v>
      </c>
      <c r="C27" s="3240" t="s">
        <v>3273</v>
      </c>
      <c r="D27" s="3240" t="s">
        <v>3274</v>
      </c>
      <c r="E27" s="3219" t="s">
        <v>650</v>
      </c>
      <c r="F27" s="3219" t="s">
        <v>3146</v>
      </c>
      <c r="G27" s="3219"/>
      <c r="H27" s="3219" t="s">
        <v>3275</v>
      </c>
      <c r="I27" s="3219" t="s">
        <v>3276</v>
      </c>
      <c r="J27" s="3219" t="s">
        <v>3277</v>
      </c>
      <c r="K27" s="3219" t="s">
        <v>3272</v>
      </c>
      <c r="L27" s="3219">
        <v>54.5</v>
      </c>
      <c r="M27" s="3219">
        <v>5</v>
      </c>
      <c r="N27" s="3219" t="s">
        <v>3022</v>
      </c>
      <c r="O27" s="3219"/>
      <c r="P27" s="3219" t="s">
        <v>3023</v>
      </c>
      <c r="Q27" s="3222">
        <v>920000</v>
      </c>
      <c r="R27" s="3219">
        <v>16881</v>
      </c>
      <c r="S27" s="3223">
        <v>69.23</v>
      </c>
      <c r="T27" s="3224">
        <v>692300</v>
      </c>
      <c r="U27" s="3219">
        <v>12704</v>
      </c>
      <c r="V27" s="3225">
        <v>0.2</v>
      </c>
      <c r="W27" s="3223">
        <v>55.38</v>
      </c>
      <c r="X27" s="3226">
        <v>553800</v>
      </c>
      <c r="Y27" s="3192">
        <v>2009</v>
      </c>
      <c r="Z27" s="3192">
        <v>5</v>
      </c>
      <c r="AA27" s="3219">
        <v>13</v>
      </c>
      <c r="AB27" s="3219">
        <v>1500</v>
      </c>
      <c r="AC27" s="3219" t="s">
        <v>3049</v>
      </c>
      <c r="AD27" s="3240" t="s">
        <v>3278</v>
      </c>
      <c r="AE27" s="3219" t="s">
        <v>3025</v>
      </c>
      <c r="AF27" s="3219" t="s">
        <v>2923</v>
      </c>
      <c r="AG27" s="3219" t="s">
        <v>2919</v>
      </c>
      <c r="AH27" s="3219"/>
      <c r="AI27" s="3219" t="s">
        <v>2920</v>
      </c>
      <c r="AJ27" s="3227"/>
      <c r="AK27" s="3241" t="s">
        <v>3066</v>
      </c>
      <c r="AL27" s="3219">
        <v>24</v>
      </c>
      <c r="AM27" s="3219" t="s">
        <v>3279</v>
      </c>
      <c r="AN27" s="3162" t="s">
        <v>3121</v>
      </c>
      <c r="AO27" s="3219"/>
      <c r="AP27" s="3219" t="s">
        <v>3053</v>
      </c>
      <c r="AQ27" s="3219" t="s">
        <v>3032</v>
      </c>
      <c r="AR27" s="3219">
        <v>2009</v>
      </c>
      <c r="AS27" s="3219">
        <v>5</v>
      </c>
      <c r="AT27" s="3219">
        <v>13</v>
      </c>
      <c r="AU27" s="3219"/>
      <c r="AV27" s="3219"/>
      <c r="AW27" s="3219" t="s">
        <v>3200</v>
      </c>
      <c r="AX27" s="3219"/>
      <c r="AY27" s="3220"/>
      <c r="AZ27" s="3219" t="s">
        <v>3280</v>
      </c>
      <c r="BA27" s="3219"/>
      <c r="BB27" s="3220" t="s">
        <v>2898</v>
      </c>
      <c r="BC27" s="3219" t="s">
        <v>2898</v>
      </c>
      <c r="BD27" s="3243" t="s">
        <v>2898</v>
      </c>
      <c r="BE27" s="3219"/>
      <c r="BF27" s="3244"/>
      <c r="BG27" s="3227">
        <v>39925</v>
      </c>
      <c r="BH27" s="3219"/>
      <c r="BI27" s="3192" t="s">
        <v>3053</v>
      </c>
      <c r="BJ27" s="3232">
        <v>39939</v>
      </c>
      <c r="BK27" s="3227"/>
      <c r="BL27" s="3192" t="s">
        <v>3035</v>
      </c>
      <c r="BM27" s="3192" t="s">
        <v>3036</v>
      </c>
      <c r="BN27" s="3192" t="s">
        <v>3056</v>
      </c>
      <c r="BO27" s="3219" t="s">
        <v>3072</v>
      </c>
      <c r="BP27" s="3219"/>
      <c r="BQ27" s="3192" t="e">
        <v>#DIV/0!</v>
      </c>
      <c r="BR27" s="3192" t="e">
        <v>#DIV/0!</v>
      </c>
      <c r="BS27" s="3233" t="s">
        <v>3057</v>
      </c>
      <c r="BT27" s="3233" t="s">
        <v>2918</v>
      </c>
      <c r="BU27" s="3234"/>
    </row>
    <row r="28" spans="1:75" s="3161" customFormat="1" ht="12" hidden="1" customHeight="1">
      <c r="A28" s="3219" t="s">
        <v>3281</v>
      </c>
      <c r="B28" s="3219" t="s">
        <v>3282</v>
      </c>
      <c r="C28" s="3220" t="s">
        <v>3283</v>
      </c>
      <c r="D28" s="3220" t="s">
        <v>3284</v>
      </c>
      <c r="E28" s="3219" t="s">
        <v>650</v>
      </c>
      <c r="F28" s="3219" t="s">
        <v>3077</v>
      </c>
      <c r="G28" s="3219"/>
      <c r="H28" s="3219" t="s">
        <v>3115</v>
      </c>
      <c r="I28" s="3219" t="s">
        <v>3116</v>
      </c>
      <c r="J28" s="3220" t="s">
        <v>3259</v>
      </c>
      <c r="K28" s="3219" t="s">
        <v>3285</v>
      </c>
      <c r="L28" s="3246" t="s">
        <v>3286</v>
      </c>
      <c r="M28" s="3220" t="s">
        <v>23</v>
      </c>
      <c r="N28" s="3245" t="s">
        <v>3261</v>
      </c>
      <c r="O28" s="3219"/>
      <c r="P28" s="3219" t="s">
        <v>3023</v>
      </c>
      <c r="Q28" s="3251">
        <v>900000</v>
      </c>
      <c r="R28" s="3219">
        <v>12535</v>
      </c>
      <c r="S28" s="3223">
        <v>90.04</v>
      </c>
      <c r="T28" s="3224">
        <v>900400.00000000012</v>
      </c>
      <c r="U28" s="3219">
        <v>12541</v>
      </c>
      <c r="V28" s="3225">
        <v>0.2</v>
      </c>
      <c r="W28" s="3223">
        <v>72.03</v>
      </c>
      <c r="X28" s="3226">
        <v>720300</v>
      </c>
      <c r="Y28" s="3219">
        <v>2009</v>
      </c>
      <c r="Z28" s="3192">
        <v>5</v>
      </c>
      <c r="AA28" s="3192">
        <v>11</v>
      </c>
      <c r="AB28" s="3219">
        <v>1500</v>
      </c>
      <c r="AC28" s="3219" t="s">
        <v>3049</v>
      </c>
      <c r="AD28" s="3220"/>
      <c r="AE28" s="3219" t="s">
        <v>3025</v>
      </c>
      <c r="AF28" s="3219" t="s">
        <v>3035</v>
      </c>
      <c r="AG28" s="3162" t="s">
        <v>2919</v>
      </c>
      <c r="AH28" s="3219"/>
      <c r="AI28" s="3219" t="s">
        <v>3051</v>
      </c>
      <c r="AJ28" s="3227"/>
      <c r="AK28" s="3237">
        <v>5</v>
      </c>
      <c r="AL28" s="3192">
        <v>32</v>
      </c>
      <c r="AM28" s="3219"/>
      <c r="AN28" s="3162" t="s">
        <v>3121</v>
      </c>
      <c r="AO28" s="3219"/>
      <c r="AP28" s="3192" t="s">
        <v>3084</v>
      </c>
      <c r="AQ28" s="3219" t="s">
        <v>3032</v>
      </c>
      <c r="AR28" s="3219"/>
      <c r="AS28" s="3219"/>
      <c r="AT28" s="3219"/>
      <c r="AU28" s="3192"/>
      <c r="AV28" s="3192"/>
      <c r="AW28" s="3192"/>
      <c r="AX28" s="3192"/>
      <c r="AY28" s="3228"/>
      <c r="AZ28" s="3219" t="s">
        <v>3285</v>
      </c>
      <c r="BA28" s="3192"/>
      <c r="BB28" s="3228"/>
      <c r="BC28" s="3192"/>
      <c r="BD28" s="3229"/>
      <c r="BE28" s="3192"/>
      <c r="BF28" s="3230"/>
      <c r="BG28" s="3231"/>
      <c r="BH28" s="3219"/>
      <c r="BI28" s="3192" t="s">
        <v>3084</v>
      </c>
      <c r="BJ28" s="3239"/>
      <c r="BK28" s="3232"/>
      <c r="BL28" s="3192" t="s">
        <v>3035</v>
      </c>
      <c r="BM28" s="3219" t="s">
        <v>3036</v>
      </c>
      <c r="BN28" s="3219" t="s">
        <v>3056</v>
      </c>
      <c r="BO28" s="3219" t="s">
        <v>3072</v>
      </c>
      <c r="BP28" s="3192"/>
      <c r="BQ28" s="3192" t="e">
        <v>#DIV/0!</v>
      </c>
      <c r="BR28" s="3192" t="e">
        <v>#DIV/0!</v>
      </c>
      <c r="BS28" s="3233" t="s">
        <v>3085</v>
      </c>
      <c r="BT28" s="3233" t="s">
        <v>2918</v>
      </c>
      <c r="BU28" s="3234"/>
    </row>
    <row r="29" spans="1:75" s="3234" customFormat="1" ht="12" hidden="1" customHeight="1">
      <c r="A29" s="3245" t="s">
        <v>3287</v>
      </c>
      <c r="B29" s="3255" t="s">
        <v>3288</v>
      </c>
      <c r="C29" s="3220" t="s">
        <v>3289</v>
      </c>
      <c r="D29" s="3220" t="s">
        <v>3290</v>
      </c>
      <c r="E29" s="3219" t="s">
        <v>650</v>
      </c>
      <c r="F29" s="3219" t="s">
        <v>3291</v>
      </c>
      <c r="G29" s="3219"/>
      <c r="H29" s="3219" t="s">
        <v>3292</v>
      </c>
      <c r="I29" s="3219"/>
      <c r="J29" s="3219" t="s">
        <v>3293</v>
      </c>
      <c r="K29" s="3219" t="s">
        <v>3294</v>
      </c>
      <c r="L29" s="3219">
        <v>58</v>
      </c>
      <c r="M29" s="3219">
        <v>4</v>
      </c>
      <c r="N29" s="3219" t="s">
        <v>3022</v>
      </c>
      <c r="O29" s="3219"/>
      <c r="P29" s="3219" t="s">
        <v>3023</v>
      </c>
      <c r="Q29" s="3222">
        <v>820000</v>
      </c>
      <c r="R29" s="3219">
        <v>14138</v>
      </c>
      <c r="S29" s="3223">
        <v>76.37</v>
      </c>
      <c r="T29" s="3224">
        <v>763700</v>
      </c>
      <c r="U29" s="3219">
        <v>13168</v>
      </c>
      <c r="V29" s="3225">
        <v>0.2</v>
      </c>
      <c r="W29" s="3223">
        <v>61.09</v>
      </c>
      <c r="X29" s="3226">
        <v>610900</v>
      </c>
      <c r="Y29" s="3192">
        <v>2009</v>
      </c>
      <c r="Z29" s="3192">
        <v>5</v>
      </c>
      <c r="AA29" s="3192">
        <v>19</v>
      </c>
      <c r="AB29" s="3219">
        <v>1500</v>
      </c>
      <c r="AC29" s="3219" t="s">
        <v>3049</v>
      </c>
      <c r="AD29" s="3219"/>
      <c r="AE29" s="3192" t="s">
        <v>3025</v>
      </c>
      <c r="AF29" s="3219" t="s">
        <v>3026</v>
      </c>
      <c r="AG29" s="3219" t="s">
        <v>2919</v>
      </c>
      <c r="AH29" s="3219"/>
      <c r="AI29" s="3219" t="s">
        <v>3051</v>
      </c>
      <c r="AJ29" s="3227"/>
      <c r="AK29" s="3241" t="s">
        <v>3066</v>
      </c>
      <c r="AL29" s="3192">
        <v>23</v>
      </c>
      <c r="AM29" s="3219"/>
      <c r="AN29" s="3192" t="s">
        <v>3028</v>
      </c>
      <c r="AO29" s="3192"/>
      <c r="AP29" s="3192" t="s">
        <v>3295</v>
      </c>
      <c r="AQ29" s="3219" t="s">
        <v>3032</v>
      </c>
      <c r="AR29" s="3192">
        <v>2009</v>
      </c>
      <c r="AS29" s="3192">
        <v>5</v>
      </c>
      <c r="AT29" s="3192">
        <v>19</v>
      </c>
      <c r="AU29" s="3192"/>
      <c r="AV29" s="3192"/>
      <c r="AW29" s="3192" t="s">
        <v>3200</v>
      </c>
      <c r="AX29" s="3192"/>
      <c r="AY29" s="3228"/>
      <c r="AZ29" s="3192" t="s">
        <v>3294</v>
      </c>
      <c r="BA29" s="3192"/>
      <c r="BB29" s="3228"/>
      <c r="BC29" s="3192"/>
      <c r="BD29" s="3229"/>
      <c r="BE29" s="3192"/>
      <c r="BF29" s="3230"/>
      <c r="BG29" s="3231"/>
      <c r="BH29" s="3192"/>
      <c r="BI29" s="3192" t="s">
        <v>3295</v>
      </c>
      <c r="BJ29" s="3232"/>
      <c r="BK29" s="3232"/>
      <c r="BL29" s="3219"/>
      <c r="BM29" s="3192"/>
      <c r="BN29" s="3192"/>
      <c r="BO29" s="3192"/>
      <c r="BP29" s="3192"/>
      <c r="BQ29" s="3192" t="e">
        <v>#DIV/0!</v>
      </c>
      <c r="BR29" s="3192" t="e">
        <v>#DIV/0!</v>
      </c>
      <c r="BS29" s="3233" t="s">
        <v>3296</v>
      </c>
      <c r="BT29" s="3233" t="s">
        <v>2918</v>
      </c>
    </row>
    <row r="30" spans="1:75" s="3234" customFormat="1" ht="12" hidden="1" customHeight="1">
      <c r="A30" s="3245" t="s">
        <v>3297</v>
      </c>
      <c r="B30" s="3219" t="s">
        <v>3298</v>
      </c>
      <c r="C30" s="3220" t="s">
        <v>3299</v>
      </c>
      <c r="D30" s="3220" t="s">
        <v>3300</v>
      </c>
      <c r="E30" s="3219" t="s">
        <v>650</v>
      </c>
      <c r="F30" s="3219" t="s">
        <v>3301</v>
      </c>
      <c r="G30" s="3219"/>
      <c r="H30" s="3219" t="s">
        <v>3302</v>
      </c>
      <c r="I30" s="3219"/>
      <c r="J30" s="3220" t="s">
        <v>3303</v>
      </c>
      <c r="K30" s="3219" t="s">
        <v>3304</v>
      </c>
      <c r="L30" s="3219">
        <v>77.75</v>
      </c>
      <c r="M30" s="3219">
        <v>6</v>
      </c>
      <c r="N30" s="3219" t="s">
        <v>3261</v>
      </c>
      <c r="O30" s="3219"/>
      <c r="P30" s="3219" t="s">
        <v>3023</v>
      </c>
      <c r="Q30" s="3222">
        <v>940000</v>
      </c>
      <c r="R30" s="3219">
        <v>12090</v>
      </c>
      <c r="S30" s="3223">
        <v>101.2</v>
      </c>
      <c r="T30" s="3224">
        <v>1012000</v>
      </c>
      <c r="U30" s="3219">
        <v>13017</v>
      </c>
      <c r="V30" s="3225">
        <v>0.2</v>
      </c>
      <c r="W30" s="3223">
        <v>80.959999999999994</v>
      </c>
      <c r="X30" s="3226">
        <v>809599.99999999988</v>
      </c>
      <c r="Y30" s="3192">
        <v>2009</v>
      </c>
      <c r="Z30" s="3192">
        <v>5</v>
      </c>
      <c r="AA30" s="3192">
        <v>25</v>
      </c>
      <c r="AB30" s="3219">
        <v>1500</v>
      </c>
      <c r="AC30" s="3219" t="s">
        <v>3049</v>
      </c>
      <c r="AD30" s="3219"/>
      <c r="AE30" s="3192" t="s">
        <v>3025</v>
      </c>
      <c r="AF30" s="3219" t="s">
        <v>3026</v>
      </c>
      <c r="AG30" s="3219" t="s">
        <v>2919</v>
      </c>
      <c r="AH30" s="3219"/>
      <c r="AI30" s="3219" t="s">
        <v>3051</v>
      </c>
      <c r="AJ30" s="3227"/>
      <c r="AK30" s="3241" t="s">
        <v>3066</v>
      </c>
      <c r="AL30" s="3192">
        <v>28</v>
      </c>
      <c r="AM30" s="3219"/>
      <c r="AN30" s="3192" t="s">
        <v>3130</v>
      </c>
      <c r="AO30" s="3192"/>
      <c r="AP30" s="3192" t="s">
        <v>3295</v>
      </c>
      <c r="AQ30" s="3219" t="s">
        <v>3032</v>
      </c>
      <c r="AR30" s="3192"/>
      <c r="AS30" s="3192"/>
      <c r="AT30" s="3192"/>
      <c r="AU30" s="3192"/>
      <c r="AV30" s="3192"/>
      <c r="AW30" s="3192" t="s">
        <v>3200</v>
      </c>
      <c r="AX30" s="3192"/>
      <c r="AY30" s="3228"/>
      <c r="AZ30" s="3219" t="s">
        <v>3304</v>
      </c>
      <c r="BA30" s="3192"/>
      <c r="BB30" s="3228"/>
      <c r="BC30" s="3192"/>
      <c r="BD30" s="3229"/>
      <c r="BE30" s="3192"/>
      <c r="BF30" s="3230"/>
      <c r="BG30" s="3231"/>
      <c r="BH30" s="3192"/>
      <c r="BI30" s="3192" t="s">
        <v>3295</v>
      </c>
      <c r="BJ30" s="3232"/>
      <c r="BK30" s="3232"/>
      <c r="BL30" s="3219"/>
      <c r="BM30" s="3192"/>
      <c r="BN30" s="3192"/>
      <c r="BO30" s="3192"/>
      <c r="BP30" s="3192"/>
      <c r="BQ30" s="3192" t="e">
        <v>#DIV/0!</v>
      </c>
      <c r="BR30" s="3192" t="e">
        <v>#DIV/0!</v>
      </c>
      <c r="BS30" s="3233" t="s">
        <v>3296</v>
      </c>
      <c r="BT30" s="3233" t="s">
        <v>2918</v>
      </c>
    </row>
    <row r="31" spans="1:75" s="3234" customFormat="1" ht="12" customHeight="1">
      <c r="A31" s="3245" t="s">
        <v>3305</v>
      </c>
      <c r="B31" s="3255" t="s">
        <v>3306</v>
      </c>
      <c r="C31" s="3220" t="s">
        <v>3307</v>
      </c>
      <c r="D31" s="3220" t="s">
        <v>3308</v>
      </c>
      <c r="E31" s="3219" t="s">
        <v>650</v>
      </c>
      <c r="F31" s="3219" t="s">
        <v>3309</v>
      </c>
      <c r="G31" s="3219"/>
      <c r="H31" s="3219" t="s">
        <v>3310</v>
      </c>
      <c r="I31" s="3219" t="s">
        <v>3311</v>
      </c>
      <c r="J31" s="3220" t="s">
        <v>3312</v>
      </c>
      <c r="K31" s="3255" t="s">
        <v>3306</v>
      </c>
      <c r="L31" s="3219">
        <v>58.3</v>
      </c>
      <c r="M31" s="3219">
        <v>1</v>
      </c>
      <c r="N31" s="3219" t="s">
        <v>3261</v>
      </c>
      <c r="O31" s="3219"/>
      <c r="P31" s="3219" t="s">
        <v>3023</v>
      </c>
      <c r="Q31" s="3222">
        <v>1000000</v>
      </c>
      <c r="R31" s="3219">
        <v>17153</v>
      </c>
      <c r="S31" s="3223">
        <v>73.08</v>
      </c>
      <c r="T31" s="3224">
        <v>730800</v>
      </c>
      <c r="U31" s="3219">
        <v>12536</v>
      </c>
      <c r="V31" s="3225">
        <v>0.2</v>
      </c>
      <c r="W31" s="3223">
        <v>58.46</v>
      </c>
      <c r="X31" s="3226">
        <v>584600</v>
      </c>
      <c r="Y31" s="3192">
        <v>2009</v>
      </c>
      <c r="Z31" s="3192">
        <v>6</v>
      </c>
      <c r="AA31" s="3192">
        <v>17</v>
      </c>
      <c r="AB31" s="3219">
        <v>1500</v>
      </c>
      <c r="AC31" s="3219" t="s">
        <v>3049</v>
      </c>
      <c r="AD31" s="3220" t="s">
        <v>3313</v>
      </c>
      <c r="AE31" s="3192" t="s">
        <v>3025</v>
      </c>
      <c r="AF31" s="3219" t="s">
        <v>3026</v>
      </c>
      <c r="AG31" s="3219" t="s">
        <v>2919</v>
      </c>
      <c r="AH31" s="3219"/>
      <c r="AI31" s="3219" t="s">
        <v>3051</v>
      </c>
      <c r="AJ31" s="3227"/>
      <c r="AK31" s="3241" t="s">
        <v>3097</v>
      </c>
      <c r="AL31" s="3192">
        <v>25</v>
      </c>
      <c r="AM31" s="3219" t="s">
        <v>3314</v>
      </c>
      <c r="AN31" s="3192" t="s">
        <v>3028</v>
      </c>
      <c r="AO31" s="3192"/>
      <c r="AP31" s="3192" t="s">
        <v>3053</v>
      </c>
      <c r="AQ31" s="3192" t="s">
        <v>2922</v>
      </c>
      <c r="AR31" s="3192"/>
      <c r="AS31" s="3192"/>
      <c r="AT31" s="3192"/>
      <c r="AU31" s="3192"/>
      <c r="AV31" s="3192"/>
      <c r="AW31" s="3192" t="s">
        <v>3200</v>
      </c>
      <c r="AX31" s="3192"/>
      <c r="AY31" s="3228"/>
      <c r="AZ31" s="3219" t="s">
        <v>3315</v>
      </c>
      <c r="BA31" s="3192"/>
      <c r="BB31" s="3228"/>
      <c r="BC31" s="3192"/>
      <c r="BD31" s="3229"/>
      <c r="BE31" s="3192"/>
      <c r="BF31" s="3230"/>
      <c r="BG31" s="3231">
        <v>39959</v>
      </c>
      <c r="BH31" s="3192"/>
      <c r="BI31" s="3192" t="s">
        <v>3053</v>
      </c>
      <c r="BJ31" s="3232">
        <v>39969</v>
      </c>
      <c r="BK31" s="3232"/>
      <c r="BL31" s="3219"/>
      <c r="BM31" s="3192"/>
      <c r="BN31" s="3192"/>
      <c r="BO31" s="3192"/>
      <c r="BP31" s="3192"/>
      <c r="BQ31" s="3192" t="e">
        <v>#DIV/0!</v>
      </c>
      <c r="BR31" s="3192" t="e">
        <v>#DIV/0!</v>
      </c>
      <c r="BS31" s="3233" t="s">
        <v>3057</v>
      </c>
      <c r="BT31" s="3233" t="s">
        <v>2918</v>
      </c>
    </row>
    <row r="32" spans="1:75" s="3327" customFormat="1" ht="12" customHeight="1">
      <c r="A32" s="3301" t="s">
        <v>3316</v>
      </c>
      <c r="B32" s="3301" t="s">
        <v>3317</v>
      </c>
      <c r="C32" s="3303" t="s">
        <v>3318</v>
      </c>
      <c r="D32" s="3303" t="s">
        <v>3319</v>
      </c>
      <c r="E32" s="3301" t="s">
        <v>650</v>
      </c>
      <c r="F32" s="3301" t="s">
        <v>3320</v>
      </c>
      <c r="G32" s="3301"/>
      <c r="H32" s="3301" t="s">
        <v>3078</v>
      </c>
      <c r="I32" s="3301" t="s">
        <v>3321</v>
      </c>
      <c r="J32" s="3301" t="s">
        <v>3322</v>
      </c>
      <c r="K32" s="3301" t="s">
        <v>3317</v>
      </c>
      <c r="L32" s="3301">
        <v>84.7</v>
      </c>
      <c r="M32" s="3301">
        <v>12</v>
      </c>
      <c r="N32" s="3301" t="s">
        <v>3261</v>
      </c>
      <c r="O32" s="3301"/>
      <c r="P32" s="3301" t="s">
        <v>3023</v>
      </c>
      <c r="Q32" s="3323">
        <v>1360000</v>
      </c>
      <c r="R32" s="3301">
        <v>16057</v>
      </c>
      <c r="S32" s="3306">
        <v>116.94</v>
      </c>
      <c r="T32" s="3307">
        <v>1169400</v>
      </c>
      <c r="U32" s="3301">
        <v>13807</v>
      </c>
      <c r="V32" s="3308">
        <v>0.2</v>
      </c>
      <c r="W32" s="3306">
        <v>93.55</v>
      </c>
      <c r="X32" s="3309">
        <v>935500</v>
      </c>
      <c r="Y32" s="3310">
        <v>2009</v>
      </c>
      <c r="Z32" s="3310">
        <v>6</v>
      </c>
      <c r="AA32" s="3301">
        <v>26</v>
      </c>
      <c r="AB32" s="3301">
        <v>1500</v>
      </c>
      <c r="AC32" s="3301" t="s">
        <v>3049</v>
      </c>
      <c r="AD32" s="3303" t="s">
        <v>3323</v>
      </c>
      <c r="AE32" s="3301" t="s">
        <v>3025</v>
      </c>
      <c r="AF32" s="3301" t="s">
        <v>2923</v>
      </c>
      <c r="AG32" s="3301" t="s">
        <v>2919</v>
      </c>
      <c r="AH32" s="3301"/>
      <c r="AI32" s="3301" t="s">
        <v>2920</v>
      </c>
      <c r="AJ32" s="3312"/>
      <c r="AK32" s="3324" t="s">
        <v>3097</v>
      </c>
      <c r="AL32" s="3301">
        <v>43</v>
      </c>
      <c r="AM32" s="3301"/>
      <c r="AN32" s="3311" t="s">
        <v>3130</v>
      </c>
      <c r="AO32" s="3301"/>
      <c r="AP32" s="3301" t="s">
        <v>3068</v>
      </c>
      <c r="AQ32" s="3310" t="s">
        <v>2922</v>
      </c>
      <c r="AR32" s="3301">
        <v>2009</v>
      </c>
      <c r="AS32" s="3301">
        <v>6</v>
      </c>
      <c r="AT32" s="3301">
        <v>26</v>
      </c>
      <c r="AU32" s="3301"/>
      <c r="AV32" s="3301"/>
      <c r="AW32" s="3301" t="s">
        <v>3069</v>
      </c>
      <c r="AX32" s="3301" t="s">
        <v>3070</v>
      </c>
      <c r="AY32" s="3302" t="s">
        <v>3324</v>
      </c>
      <c r="AZ32" s="3301" t="s">
        <v>3325</v>
      </c>
      <c r="BA32" s="3301"/>
      <c r="BB32" s="3302" t="s">
        <v>2898</v>
      </c>
      <c r="BC32" s="3301" t="s">
        <v>2898</v>
      </c>
      <c r="BD32" s="3325" t="s">
        <v>2898</v>
      </c>
      <c r="BE32" s="3301"/>
      <c r="BF32" s="3326"/>
      <c r="BG32" s="3312">
        <v>39973</v>
      </c>
      <c r="BH32" s="3301"/>
      <c r="BI32" s="3310" t="s">
        <v>3068</v>
      </c>
      <c r="BJ32" s="3319">
        <v>39975</v>
      </c>
      <c r="BK32" s="3312"/>
      <c r="BL32" s="3310" t="s">
        <v>3035</v>
      </c>
      <c r="BM32" s="3310"/>
      <c r="BN32" s="3310"/>
      <c r="BO32" s="3301"/>
      <c r="BP32" s="3301"/>
      <c r="BQ32" s="3310" t="e">
        <v>#DIV/0!</v>
      </c>
      <c r="BR32" s="3310" t="e">
        <v>#DIV/0!</v>
      </c>
      <c r="BS32" s="3320" t="s">
        <v>3073</v>
      </c>
      <c r="BT32" s="3320" t="s">
        <v>2918</v>
      </c>
      <c r="BU32" s="3321"/>
    </row>
    <row r="33" spans="1:249" s="3161" customFormat="1" ht="12" hidden="1" customHeight="1">
      <c r="A33" s="3219" t="s">
        <v>3326</v>
      </c>
      <c r="B33" s="3245" t="s">
        <v>3327</v>
      </c>
      <c r="C33" s="3220" t="s">
        <v>3328</v>
      </c>
      <c r="D33" s="3245">
        <v>13161566178</v>
      </c>
      <c r="E33" s="3219" t="s">
        <v>650</v>
      </c>
      <c r="F33" s="3245" t="s">
        <v>3329</v>
      </c>
      <c r="G33" s="3219"/>
      <c r="H33" s="3219"/>
      <c r="I33" s="3219"/>
      <c r="J33" s="3219" t="s">
        <v>3330</v>
      </c>
      <c r="K33" s="3245" t="s">
        <v>3331</v>
      </c>
      <c r="L33" s="3220" t="s">
        <v>3332</v>
      </c>
      <c r="M33" s="3219">
        <v>5</v>
      </c>
      <c r="N33" s="3219" t="s">
        <v>3082</v>
      </c>
      <c r="O33" s="3219"/>
      <c r="P33" s="3219" t="s">
        <v>2917</v>
      </c>
      <c r="Q33" s="3273">
        <v>630000</v>
      </c>
      <c r="R33" s="3219">
        <v>15108</v>
      </c>
      <c r="S33" s="3223">
        <v>54.83</v>
      </c>
      <c r="T33" s="3224">
        <v>548300</v>
      </c>
      <c r="U33" s="3219">
        <v>13149</v>
      </c>
      <c r="V33" s="3225">
        <v>0.2</v>
      </c>
      <c r="W33" s="3223">
        <v>43.86</v>
      </c>
      <c r="X33" s="3226">
        <v>438600</v>
      </c>
      <c r="Y33" s="3219">
        <v>2009</v>
      </c>
      <c r="Z33" s="3219">
        <v>6</v>
      </c>
      <c r="AA33" s="3192">
        <v>9</v>
      </c>
      <c r="AB33" s="3219">
        <v>1500</v>
      </c>
      <c r="AC33" s="3219" t="s">
        <v>3049</v>
      </c>
      <c r="AD33" s="3240"/>
      <c r="AE33" s="3252" t="s">
        <v>3025</v>
      </c>
      <c r="AF33" s="3219" t="s">
        <v>3035</v>
      </c>
      <c r="AG33" s="3162" t="s">
        <v>3333</v>
      </c>
      <c r="AH33" s="3219"/>
      <c r="AI33" s="3219" t="s">
        <v>3051</v>
      </c>
      <c r="AJ33" s="3227"/>
      <c r="AK33" s="3237">
        <v>6</v>
      </c>
      <c r="AL33" s="3219">
        <v>37</v>
      </c>
      <c r="AM33" s="3219"/>
      <c r="AN33" s="3192" t="s">
        <v>3121</v>
      </c>
      <c r="AO33" s="3219"/>
      <c r="AP33" s="3162" t="s">
        <v>3084</v>
      </c>
      <c r="AQ33" s="3192" t="s">
        <v>2922</v>
      </c>
      <c r="AR33" s="3192"/>
      <c r="AS33" s="3192"/>
      <c r="AT33" s="3192"/>
      <c r="AU33" s="3219"/>
      <c r="AV33" s="3219"/>
      <c r="AW33" s="3192"/>
      <c r="AX33" s="3219"/>
      <c r="AY33" s="3220"/>
      <c r="AZ33" s="3219" t="s">
        <v>3331</v>
      </c>
      <c r="BA33" s="3219"/>
      <c r="BB33" s="3219"/>
      <c r="BC33" s="3219"/>
      <c r="BD33" s="3219"/>
      <c r="BE33" s="3219"/>
      <c r="BF33" s="3219"/>
      <c r="BG33" s="3231"/>
      <c r="BH33" s="3219"/>
      <c r="BI33" s="3192" t="s">
        <v>3084</v>
      </c>
      <c r="BJ33" s="3232"/>
      <c r="BK33" s="3232" t="s">
        <v>2815</v>
      </c>
      <c r="BL33" s="3219" t="s">
        <v>3035</v>
      </c>
      <c r="BM33" s="3219" t="s">
        <v>3036</v>
      </c>
      <c r="BN33" s="3192" t="s">
        <v>3056</v>
      </c>
      <c r="BO33" s="3192" t="s">
        <v>3072</v>
      </c>
      <c r="BP33" s="3219"/>
      <c r="BQ33" s="3192" t="e">
        <v>#DIV/0!</v>
      </c>
      <c r="BR33" s="3192" t="e">
        <v>#DIV/0!</v>
      </c>
      <c r="BS33" s="3233" t="s">
        <v>3085</v>
      </c>
      <c r="BT33" s="3233" t="s">
        <v>2918</v>
      </c>
      <c r="BU33" s="3234"/>
      <c r="CF33" s="3161" t="s">
        <v>3334</v>
      </c>
      <c r="CG33" s="3161" t="s">
        <v>3334</v>
      </c>
      <c r="CH33" s="3161" t="s">
        <v>3334</v>
      </c>
      <c r="CI33" s="3161" t="s">
        <v>3334</v>
      </c>
      <c r="CJ33" s="3161" t="s">
        <v>3334</v>
      </c>
      <c r="CK33" s="3161" t="s">
        <v>3334</v>
      </c>
      <c r="CL33" s="3161" t="s">
        <v>3334</v>
      </c>
      <c r="CM33" s="3161" t="s">
        <v>3334</v>
      </c>
      <c r="CN33" s="3161" t="s">
        <v>3334</v>
      </c>
      <c r="CO33" s="3161" t="s">
        <v>3334</v>
      </c>
      <c r="CP33" s="3161" t="s">
        <v>3334</v>
      </c>
      <c r="CQ33" s="3161" t="s">
        <v>3334</v>
      </c>
      <c r="CR33" s="3161" t="s">
        <v>3334</v>
      </c>
      <c r="CS33" s="3161" t="s">
        <v>3334</v>
      </c>
      <c r="CT33" s="3161" t="s">
        <v>3334</v>
      </c>
      <c r="CU33" s="3161" t="s">
        <v>3334</v>
      </c>
      <c r="CV33" s="3161" t="s">
        <v>3334</v>
      </c>
      <c r="CW33" s="3161" t="s">
        <v>3334</v>
      </c>
      <c r="CX33" s="3161" t="s">
        <v>3334</v>
      </c>
      <c r="CY33" s="3161" t="s">
        <v>3334</v>
      </c>
      <c r="CZ33" s="3161" t="s">
        <v>3334</v>
      </c>
      <c r="DA33" s="3161" t="s">
        <v>3334</v>
      </c>
      <c r="DB33" s="3161" t="s">
        <v>3334</v>
      </c>
      <c r="DC33" s="3161" t="s">
        <v>3334</v>
      </c>
      <c r="DD33" s="3161" t="s">
        <v>3334</v>
      </c>
      <c r="DE33" s="3161" t="s">
        <v>3334</v>
      </c>
      <c r="DF33" s="3161" t="s">
        <v>3334</v>
      </c>
      <c r="DG33" s="3161" t="s">
        <v>3334</v>
      </c>
      <c r="DH33" s="3161" t="s">
        <v>3334</v>
      </c>
      <c r="DI33" s="3161" t="s">
        <v>3334</v>
      </c>
      <c r="DJ33" s="3161" t="s">
        <v>3334</v>
      </c>
      <c r="DK33" s="3161" t="s">
        <v>3334</v>
      </c>
      <c r="DL33" s="3161" t="s">
        <v>3334</v>
      </c>
      <c r="DM33" s="3161" t="s">
        <v>3334</v>
      </c>
      <c r="DN33" s="3161" t="s">
        <v>3334</v>
      </c>
      <c r="DO33" s="3161" t="s">
        <v>3334</v>
      </c>
      <c r="DP33" s="3161" t="s">
        <v>3334</v>
      </c>
      <c r="DQ33" s="3161" t="s">
        <v>3334</v>
      </c>
      <c r="DR33" s="3161" t="s">
        <v>3334</v>
      </c>
      <c r="DS33" s="3161" t="s">
        <v>3334</v>
      </c>
      <c r="DT33" s="3161" t="s">
        <v>3334</v>
      </c>
      <c r="DU33" s="3161" t="s">
        <v>3334</v>
      </c>
      <c r="DV33" s="3161" t="s">
        <v>3334</v>
      </c>
      <c r="DW33" s="3161" t="s">
        <v>3334</v>
      </c>
      <c r="DX33" s="3161" t="s">
        <v>3334</v>
      </c>
      <c r="DY33" s="3161" t="s">
        <v>3334</v>
      </c>
      <c r="DZ33" s="3161" t="s">
        <v>3334</v>
      </c>
      <c r="EA33" s="3161" t="s">
        <v>3334</v>
      </c>
      <c r="EB33" s="3161" t="s">
        <v>3334</v>
      </c>
      <c r="EC33" s="3161" t="s">
        <v>3334</v>
      </c>
      <c r="ED33" s="3161" t="s">
        <v>3334</v>
      </c>
      <c r="EE33" s="3161" t="s">
        <v>3334</v>
      </c>
      <c r="EF33" s="3161" t="s">
        <v>3334</v>
      </c>
      <c r="EG33" s="3161" t="s">
        <v>3334</v>
      </c>
      <c r="EH33" s="3161" t="s">
        <v>3334</v>
      </c>
      <c r="EI33" s="3161" t="s">
        <v>3334</v>
      </c>
      <c r="EJ33" s="3161" t="s">
        <v>3334</v>
      </c>
      <c r="EK33" s="3161" t="s">
        <v>3334</v>
      </c>
      <c r="EL33" s="3161" t="s">
        <v>3334</v>
      </c>
      <c r="EM33" s="3161" t="s">
        <v>3334</v>
      </c>
      <c r="EN33" s="3161" t="s">
        <v>3334</v>
      </c>
      <c r="EO33" s="3161" t="s">
        <v>3334</v>
      </c>
      <c r="EP33" s="3161" t="s">
        <v>3334</v>
      </c>
      <c r="EQ33" s="3161" t="s">
        <v>3334</v>
      </c>
      <c r="ER33" s="3161" t="s">
        <v>3334</v>
      </c>
      <c r="ES33" s="3161" t="s">
        <v>3334</v>
      </c>
      <c r="ET33" s="3161" t="s">
        <v>3334</v>
      </c>
      <c r="EU33" s="3161" t="s">
        <v>3334</v>
      </c>
      <c r="EV33" s="3161" t="s">
        <v>3334</v>
      </c>
      <c r="EW33" s="3161" t="s">
        <v>3334</v>
      </c>
      <c r="EX33" s="3161" t="s">
        <v>3334</v>
      </c>
      <c r="EY33" s="3161" t="s">
        <v>3334</v>
      </c>
      <c r="EZ33" s="3161" t="s">
        <v>3334</v>
      </c>
      <c r="FA33" s="3161" t="s">
        <v>3334</v>
      </c>
      <c r="FB33" s="3161" t="s">
        <v>3334</v>
      </c>
      <c r="FC33" s="3161" t="s">
        <v>3334</v>
      </c>
      <c r="FD33" s="3161" t="s">
        <v>3334</v>
      </c>
      <c r="FE33" s="3161" t="s">
        <v>3334</v>
      </c>
      <c r="FF33" s="3161" t="s">
        <v>3334</v>
      </c>
      <c r="FG33" s="3161" t="s">
        <v>3334</v>
      </c>
      <c r="FH33" s="3161" t="s">
        <v>3334</v>
      </c>
      <c r="FI33" s="3161" t="s">
        <v>3334</v>
      </c>
      <c r="FJ33" s="3161" t="s">
        <v>3334</v>
      </c>
      <c r="FK33" s="3161" t="s">
        <v>3334</v>
      </c>
      <c r="FL33" s="3161" t="s">
        <v>3334</v>
      </c>
      <c r="FM33" s="3161" t="s">
        <v>3334</v>
      </c>
      <c r="FN33" s="3161" t="s">
        <v>3334</v>
      </c>
      <c r="FO33" s="3161" t="s">
        <v>3334</v>
      </c>
      <c r="FP33" s="3161" t="s">
        <v>3334</v>
      </c>
      <c r="FQ33" s="3161" t="s">
        <v>3334</v>
      </c>
      <c r="FR33" s="3161" t="s">
        <v>3334</v>
      </c>
      <c r="FS33" s="3161" t="s">
        <v>3334</v>
      </c>
      <c r="FT33" s="3161" t="s">
        <v>3334</v>
      </c>
      <c r="FU33" s="3161" t="s">
        <v>3334</v>
      </c>
      <c r="FV33" s="3161" t="s">
        <v>3334</v>
      </c>
      <c r="FW33" s="3161" t="s">
        <v>3334</v>
      </c>
      <c r="FX33" s="3161" t="s">
        <v>3334</v>
      </c>
      <c r="FY33" s="3161" t="s">
        <v>3334</v>
      </c>
      <c r="FZ33" s="3161" t="s">
        <v>3334</v>
      </c>
      <c r="GA33" s="3161" t="s">
        <v>3334</v>
      </c>
      <c r="GB33" s="3161" t="s">
        <v>3334</v>
      </c>
      <c r="GC33" s="3161" t="s">
        <v>3334</v>
      </c>
      <c r="GD33" s="3161" t="s">
        <v>3334</v>
      </c>
      <c r="GE33" s="3161" t="s">
        <v>3334</v>
      </c>
      <c r="GF33" s="3161" t="s">
        <v>3334</v>
      </c>
      <c r="GG33" s="3161" t="s">
        <v>3334</v>
      </c>
      <c r="GH33" s="3161" t="s">
        <v>3334</v>
      </c>
      <c r="GI33" s="3161" t="s">
        <v>3334</v>
      </c>
      <c r="GJ33" s="3161" t="s">
        <v>3334</v>
      </c>
      <c r="GK33" s="3161" t="s">
        <v>3334</v>
      </c>
      <c r="GL33" s="3161" t="s">
        <v>3334</v>
      </c>
      <c r="GM33" s="3161" t="s">
        <v>3334</v>
      </c>
      <c r="GN33" s="3161" t="s">
        <v>3334</v>
      </c>
      <c r="GO33" s="3161" t="s">
        <v>3334</v>
      </c>
      <c r="GP33" s="3161" t="s">
        <v>3334</v>
      </c>
      <c r="GQ33" s="3161" t="s">
        <v>3334</v>
      </c>
      <c r="GR33" s="3161" t="s">
        <v>3334</v>
      </c>
      <c r="GS33" s="3161" t="s">
        <v>3334</v>
      </c>
      <c r="GT33" s="3161" t="s">
        <v>3334</v>
      </c>
      <c r="GU33" s="3161" t="s">
        <v>3334</v>
      </c>
      <c r="GV33" s="3161" t="s">
        <v>3334</v>
      </c>
      <c r="GW33" s="3161" t="s">
        <v>3334</v>
      </c>
      <c r="GX33" s="3161" t="s">
        <v>3334</v>
      </c>
      <c r="GY33" s="3161" t="s">
        <v>3334</v>
      </c>
      <c r="GZ33" s="3161" t="s">
        <v>3334</v>
      </c>
      <c r="HA33" s="3161" t="s">
        <v>3334</v>
      </c>
      <c r="HB33" s="3161" t="s">
        <v>3334</v>
      </c>
      <c r="HC33" s="3161" t="s">
        <v>3334</v>
      </c>
      <c r="HD33" s="3161" t="s">
        <v>3334</v>
      </c>
      <c r="HE33" s="3161" t="s">
        <v>3334</v>
      </c>
      <c r="HF33" s="3161" t="s">
        <v>3334</v>
      </c>
      <c r="HG33" s="3161" t="s">
        <v>3334</v>
      </c>
      <c r="HH33" s="3161" t="s">
        <v>3334</v>
      </c>
      <c r="HI33" s="3161" t="s">
        <v>3334</v>
      </c>
      <c r="HJ33" s="3161" t="s">
        <v>3334</v>
      </c>
      <c r="HK33" s="3161" t="s">
        <v>3334</v>
      </c>
      <c r="HL33" s="3161" t="s">
        <v>3334</v>
      </c>
      <c r="HM33" s="3161" t="s">
        <v>3334</v>
      </c>
      <c r="HN33" s="3161" t="s">
        <v>3334</v>
      </c>
      <c r="HO33" s="3161" t="s">
        <v>3334</v>
      </c>
      <c r="HP33" s="3161" t="s">
        <v>3334</v>
      </c>
      <c r="HQ33" s="3161" t="s">
        <v>3334</v>
      </c>
      <c r="HR33" s="3161" t="s">
        <v>3334</v>
      </c>
      <c r="HS33" s="3161" t="s">
        <v>3334</v>
      </c>
      <c r="HT33" s="3161" t="s">
        <v>3334</v>
      </c>
      <c r="HU33" s="3161" t="s">
        <v>3334</v>
      </c>
      <c r="HV33" s="3161" t="s">
        <v>3334</v>
      </c>
      <c r="HW33" s="3161" t="s">
        <v>3334</v>
      </c>
      <c r="HX33" s="3161" t="s">
        <v>3334</v>
      </c>
      <c r="HY33" s="3161" t="s">
        <v>3334</v>
      </c>
      <c r="HZ33" s="3161" t="s">
        <v>3334</v>
      </c>
      <c r="IA33" s="3161" t="s">
        <v>3334</v>
      </c>
      <c r="IB33" s="3161" t="s">
        <v>3334</v>
      </c>
      <c r="IC33" s="3161" t="s">
        <v>3334</v>
      </c>
      <c r="ID33" s="3161" t="s">
        <v>3334</v>
      </c>
      <c r="IE33" s="3161" t="s">
        <v>3334</v>
      </c>
      <c r="IF33" s="3161" t="s">
        <v>3334</v>
      </c>
      <c r="IG33" s="3161" t="s">
        <v>3334</v>
      </c>
      <c r="IH33" s="3161" t="s">
        <v>3334</v>
      </c>
      <c r="II33" s="3161" t="s">
        <v>3334</v>
      </c>
      <c r="IJ33" s="3161" t="s">
        <v>3334</v>
      </c>
      <c r="IK33" s="3161" t="s">
        <v>3334</v>
      </c>
      <c r="IL33" s="3161" t="s">
        <v>3334</v>
      </c>
      <c r="IM33" s="3161" t="s">
        <v>3334</v>
      </c>
      <c r="IN33" s="3161" t="s">
        <v>3334</v>
      </c>
      <c r="IO33" s="3161" t="s">
        <v>3334</v>
      </c>
    </row>
    <row r="34" spans="1:249" s="3161" customFormat="1" ht="12" hidden="1" customHeight="1">
      <c r="A34" s="3219" t="s">
        <v>3335</v>
      </c>
      <c r="B34" s="3219" t="s">
        <v>3336</v>
      </c>
      <c r="C34" s="3220" t="s">
        <v>3337</v>
      </c>
      <c r="D34" s="3220" t="s">
        <v>3338</v>
      </c>
      <c r="E34" s="3219" t="s">
        <v>650</v>
      </c>
      <c r="F34" s="3219" t="s">
        <v>3339</v>
      </c>
      <c r="G34" s="3219"/>
      <c r="H34" s="3219" t="s">
        <v>3292</v>
      </c>
      <c r="I34" s="3219" t="s">
        <v>3105</v>
      </c>
      <c r="J34" s="3220" t="s">
        <v>3340</v>
      </c>
      <c r="K34" s="3219" t="s">
        <v>3341</v>
      </c>
      <c r="L34" s="3246" t="s">
        <v>3342</v>
      </c>
      <c r="M34" s="3220" t="s">
        <v>23</v>
      </c>
      <c r="N34" s="3219" t="s">
        <v>3096</v>
      </c>
      <c r="O34" s="3219"/>
      <c r="P34" s="3219" t="s">
        <v>3023</v>
      </c>
      <c r="Q34" s="3251">
        <v>930000</v>
      </c>
      <c r="R34" s="3219">
        <v>16697</v>
      </c>
      <c r="S34" s="3223">
        <v>83.11</v>
      </c>
      <c r="T34" s="3224">
        <v>831100</v>
      </c>
      <c r="U34" s="3219">
        <v>14922</v>
      </c>
      <c r="V34" s="3225">
        <v>0.2</v>
      </c>
      <c r="W34" s="3223">
        <v>66.48</v>
      </c>
      <c r="X34" s="3226">
        <v>664800</v>
      </c>
      <c r="Y34" s="3219">
        <v>2009</v>
      </c>
      <c r="Z34" s="3192">
        <v>6</v>
      </c>
      <c r="AA34" s="3192">
        <v>17</v>
      </c>
      <c r="AB34" s="3219">
        <v>1500</v>
      </c>
      <c r="AC34" s="3219" t="s">
        <v>3049</v>
      </c>
      <c r="AD34" s="3220"/>
      <c r="AE34" s="3219" t="s">
        <v>3025</v>
      </c>
      <c r="AF34" s="3219" t="s">
        <v>3035</v>
      </c>
      <c r="AG34" s="3162" t="s">
        <v>2919</v>
      </c>
      <c r="AH34" s="3219" t="s">
        <v>2898</v>
      </c>
      <c r="AI34" s="3219" t="s">
        <v>2920</v>
      </c>
      <c r="AJ34" s="3227"/>
      <c r="AK34" s="3241" t="s">
        <v>3097</v>
      </c>
      <c r="AL34" s="3192">
        <v>23</v>
      </c>
      <c r="AM34" s="3219"/>
      <c r="AN34" s="3192" t="s">
        <v>3028</v>
      </c>
      <c r="AO34" s="3219"/>
      <c r="AP34" s="3162" t="s">
        <v>3084</v>
      </c>
      <c r="AQ34" s="3192" t="s">
        <v>2922</v>
      </c>
      <c r="AR34" s="3219"/>
      <c r="AS34" s="3219"/>
      <c r="AT34" s="3219"/>
      <c r="AU34" s="3192"/>
      <c r="AV34" s="3192" t="s">
        <v>2898</v>
      </c>
      <c r="AW34" s="3192"/>
      <c r="AX34" s="3192"/>
      <c r="AY34" s="3228"/>
      <c r="AZ34" s="3219" t="s">
        <v>3341</v>
      </c>
      <c r="BA34" s="3192"/>
      <c r="BB34" s="3228"/>
      <c r="BC34" s="3192"/>
      <c r="BD34" s="3229"/>
      <c r="BE34" s="3192"/>
      <c r="BF34" s="3230"/>
      <c r="BG34" s="3231"/>
      <c r="BH34" s="3219"/>
      <c r="BI34" s="3192" t="s">
        <v>3084</v>
      </c>
      <c r="BJ34" s="3239"/>
      <c r="BK34" s="3232"/>
      <c r="BL34" s="3192" t="s">
        <v>3035</v>
      </c>
      <c r="BM34" s="3219" t="s">
        <v>3036</v>
      </c>
      <c r="BN34" s="3219" t="s">
        <v>3056</v>
      </c>
      <c r="BO34" s="3219" t="s">
        <v>3072</v>
      </c>
      <c r="BP34" s="3192"/>
      <c r="BQ34" s="3192" t="e">
        <v>#DIV/0!</v>
      </c>
      <c r="BR34" s="3192" t="e">
        <v>#DIV/0!</v>
      </c>
      <c r="BS34" s="3233" t="s">
        <v>3085</v>
      </c>
      <c r="BT34" s="3233" t="s">
        <v>2918</v>
      </c>
      <c r="BU34" s="3234"/>
    </row>
    <row r="35" spans="1:249" s="3161" customFormat="1" ht="12" hidden="1" customHeight="1">
      <c r="A35" s="3219" t="s">
        <v>3343</v>
      </c>
      <c r="B35" s="3219" t="s">
        <v>3344</v>
      </c>
      <c r="C35" s="3220" t="s">
        <v>3345</v>
      </c>
      <c r="D35" s="3220" t="s">
        <v>3346</v>
      </c>
      <c r="E35" s="3219" t="s">
        <v>650</v>
      </c>
      <c r="F35" s="3219" t="s">
        <v>3320</v>
      </c>
      <c r="G35" s="3219"/>
      <c r="H35" s="3219" t="s">
        <v>3347</v>
      </c>
      <c r="I35" s="3219"/>
      <c r="J35" s="3220" t="s">
        <v>3348</v>
      </c>
      <c r="K35" s="3219" t="s">
        <v>3349</v>
      </c>
      <c r="L35" s="3270">
        <v>50</v>
      </c>
      <c r="M35" s="3220" t="s">
        <v>3350</v>
      </c>
      <c r="N35" s="3219" t="s">
        <v>3082</v>
      </c>
      <c r="O35" s="3219"/>
      <c r="P35" s="3219" t="s">
        <v>2917</v>
      </c>
      <c r="Q35" s="3251">
        <v>850000</v>
      </c>
      <c r="R35" s="3219">
        <v>17000</v>
      </c>
      <c r="S35" s="3223">
        <v>73.28</v>
      </c>
      <c r="T35" s="3224">
        <v>732800</v>
      </c>
      <c r="U35" s="3219">
        <v>14657</v>
      </c>
      <c r="V35" s="3225">
        <v>0.2</v>
      </c>
      <c r="W35" s="3223">
        <v>58.62</v>
      </c>
      <c r="X35" s="3226">
        <v>586200</v>
      </c>
      <c r="Y35" s="3219">
        <v>2009</v>
      </c>
      <c r="Z35" s="3192">
        <v>6</v>
      </c>
      <c r="AA35" s="3192">
        <v>12</v>
      </c>
      <c r="AB35" s="3219">
        <v>1500</v>
      </c>
      <c r="AC35" s="3219" t="s">
        <v>2918</v>
      </c>
      <c r="AD35" s="3220"/>
      <c r="AE35" s="3219" t="s">
        <v>3025</v>
      </c>
      <c r="AF35" s="3219" t="s">
        <v>3035</v>
      </c>
      <c r="AG35" s="3162" t="s">
        <v>2919</v>
      </c>
      <c r="AH35" s="3219" t="s">
        <v>2898</v>
      </c>
      <c r="AI35" s="3219"/>
      <c r="AJ35" s="3227"/>
      <c r="AK35" s="3237" t="s">
        <v>3097</v>
      </c>
      <c r="AL35" s="3192">
        <v>41</v>
      </c>
      <c r="AM35" s="3219"/>
      <c r="AN35" s="3192" t="s">
        <v>3121</v>
      </c>
      <c r="AO35" s="3219"/>
      <c r="AP35" s="3219" t="s">
        <v>3245</v>
      </c>
      <c r="AQ35" s="3192" t="s">
        <v>2922</v>
      </c>
      <c r="AR35" s="3219"/>
      <c r="AS35" s="3219"/>
      <c r="AT35" s="3219"/>
      <c r="AU35" s="3192"/>
      <c r="AV35" s="3192" t="s">
        <v>2898</v>
      </c>
      <c r="AW35" s="3192" t="s">
        <v>3069</v>
      </c>
      <c r="AX35" s="3192"/>
      <c r="AY35" s="3228"/>
      <c r="AZ35" s="3219" t="s">
        <v>3351</v>
      </c>
      <c r="BA35" s="3192"/>
      <c r="BB35" s="3228"/>
      <c r="BC35" s="3192"/>
      <c r="BD35" s="3229"/>
      <c r="BE35" s="3192"/>
      <c r="BF35" s="3230"/>
      <c r="BG35" s="3231"/>
      <c r="BH35" s="3219"/>
      <c r="BI35" s="3192" t="s">
        <v>3245</v>
      </c>
      <c r="BJ35" s="3239"/>
      <c r="BK35" s="3232"/>
      <c r="BL35" s="3192" t="s">
        <v>3035</v>
      </c>
      <c r="BM35" s="3219" t="s">
        <v>3036</v>
      </c>
      <c r="BN35" s="3219" t="s">
        <v>3056</v>
      </c>
      <c r="BO35" s="3219" t="s">
        <v>3072</v>
      </c>
      <c r="BP35" s="3192"/>
      <c r="BQ35" s="3192" t="e">
        <v>#DIV/0!</v>
      </c>
      <c r="BR35" s="3192" t="e">
        <v>#DIV/0!</v>
      </c>
      <c r="BS35" s="3233" t="s">
        <v>3246</v>
      </c>
      <c r="BT35" s="3233" t="s">
        <v>2918</v>
      </c>
      <c r="BU35" s="3234"/>
    </row>
    <row r="36" spans="1:249" s="3161" customFormat="1" ht="12" hidden="1" customHeight="1">
      <c r="A36" s="3219" t="s">
        <v>3352</v>
      </c>
      <c r="B36" s="3219" t="s">
        <v>3353</v>
      </c>
      <c r="C36" s="3220" t="s">
        <v>3354</v>
      </c>
      <c r="D36" s="3245">
        <v>13691164842</v>
      </c>
      <c r="E36" s="3219" t="s">
        <v>650</v>
      </c>
      <c r="F36" s="3245" t="s">
        <v>3077</v>
      </c>
      <c r="G36" s="3219"/>
      <c r="H36" s="3219" t="s">
        <v>3355</v>
      </c>
      <c r="I36" s="3219"/>
      <c r="J36" s="3220" t="s">
        <v>3356</v>
      </c>
      <c r="K36" s="3219" t="s">
        <v>3357</v>
      </c>
      <c r="L36" s="3274">
        <v>54.3</v>
      </c>
      <c r="M36" s="3235">
        <v>3</v>
      </c>
      <c r="N36" s="3245" t="s">
        <v>3022</v>
      </c>
      <c r="O36" s="3219"/>
      <c r="P36" s="3219" t="s">
        <v>2917</v>
      </c>
      <c r="Q36" s="3275">
        <v>470000</v>
      </c>
      <c r="R36" s="3219">
        <v>8656</v>
      </c>
      <c r="S36" s="3223">
        <v>82.19</v>
      </c>
      <c r="T36" s="3224">
        <v>821900</v>
      </c>
      <c r="U36" s="3251">
        <v>15137</v>
      </c>
      <c r="V36" s="3225">
        <v>0.2</v>
      </c>
      <c r="W36" s="3223">
        <v>65.75</v>
      </c>
      <c r="X36" s="3226">
        <v>657500</v>
      </c>
      <c r="Y36" s="3192">
        <v>2009</v>
      </c>
      <c r="Z36" s="3276">
        <v>6</v>
      </c>
      <c r="AA36" s="3276">
        <v>15</v>
      </c>
      <c r="AB36" s="3219">
        <v>1500</v>
      </c>
      <c r="AC36" s="3219" t="s">
        <v>3049</v>
      </c>
      <c r="AD36" s="3240"/>
      <c r="AE36" s="3253" t="s">
        <v>3025</v>
      </c>
      <c r="AF36" s="3219" t="s">
        <v>3026</v>
      </c>
      <c r="AG36" s="3162" t="s">
        <v>2919</v>
      </c>
      <c r="AH36" s="3219"/>
      <c r="AI36" s="3162" t="s">
        <v>3051</v>
      </c>
      <c r="AJ36" s="3277"/>
      <c r="AK36" s="3241" t="s">
        <v>3097</v>
      </c>
      <c r="AL36" s="3192">
        <v>26</v>
      </c>
      <c r="AM36" s="3219"/>
      <c r="AN36" s="3162" t="s">
        <v>3028</v>
      </c>
      <c r="AO36" s="3219"/>
      <c r="AP36" s="3245" t="s">
        <v>3295</v>
      </c>
      <c r="AQ36" s="3192" t="s">
        <v>2922</v>
      </c>
      <c r="AR36" s="3192"/>
      <c r="AS36" s="3192"/>
      <c r="AT36" s="3192"/>
      <c r="AU36" s="3219"/>
      <c r="AV36" s="3219"/>
      <c r="AW36" s="3192"/>
      <c r="AX36" s="3219"/>
      <c r="AY36" s="3219"/>
      <c r="AZ36" s="3219" t="s">
        <v>3357</v>
      </c>
      <c r="BA36" s="3219"/>
      <c r="BB36" s="3219"/>
      <c r="BC36" s="3219"/>
      <c r="BD36" s="3219"/>
      <c r="BE36" s="3245"/>
      <c r="BF36" s="3219"/>
      <c r="BG36" s="3231"/>
      <c r="BH36" s="3219"/>
      <c r="BI36" s="3219" t="s">
        <v>3295</v>
      </c>
      <c r="BJ36" s="3232"/>
      <c r="BK36" s="3232"/>
      <c r="BL36" s="3219"/>
      <c r="BM36" s="3219"/>
      <c r="BN36" s="3219"/>
      <c r="BO36" s="3219"/>
      <c r="BP36" s="3219"/>
      <c r="BQ36" s="3192" t="e">
        <v>#DIV/0!</v>
      </c>
      <c r="BR36" s="3192" t="e">
        <v>#DIV/0!</v>
      </c>
      <c r="BS36" s="3233" t="s">
        <v>3296</v>
      </c>
      <c r="BT36" s="3233" t="s">
        <v>2918</v>
      </c>
      <c r="BU36" s="3234"/>
    </row>
    <row r="37" spans="1:249" s="3161" customFormat="1" ht="12" customHeight="1">
      <c r="A37" s="3219" t="s">
        <v>3358</v>
      </c>
      <c r="B37" s="3219" t="s">
        <v>3359</v>
      </c>
      <c r="C37" s="3240" t="s">
        <v>3360</v>
      </c>
      <c r="D37" s="3240" t="s">
        <v>3361</v>
      </c>
      <c r="E37" s="3219" t="s">
        <v>650</v>
      </c>
      <c r="F37" s="3219" t="s">
        <v>3146</v>
      </c>
      <c r="G37" s="3219"/>
      <c r="H37" s="3219" t="s">
        <v>3347</v>
      </c>
      <c r="I37" s="3219" t="s">
        <v>3362</v>
      </c>
      <c r="J37" s="3219" t="s">
        <v>3363</v>
      </c>
      <c r="K37" s="3219" t="s">
        <v>3359</v>
      </c>
      <c r="L37" s="3219">
        <v>42.1</v>
      </c>
      <c r="M37" s="3219" t="s">
        <v>14</v>
      </c>
      <c r="N37" s="3219" t="s">
        <v>3082</v>
      </c>
      <c r="O37" s="3219"/>
      <c r="P37" s="3219" t="s">
        <v>3023</v>
      </c>
      <c r="Q37" s="3222">
        <v>900000</v>
      </c>
      <c r="R37" s="3219">
        <v>21378</v>
      </c>
      <c r="S37" s="3223">
        <v>71.349999999999994</v>
      </c>
      <c r="T37" s="3224">
        <v>713500</v>
      </c>
      <c r="U37" s="3219">
        <v>16948</v>
      </c>
      <c r="V37" s="3225">
        <v>0.2</v>
      </c>
      <c r="W37" s="3223">
        <v>57.08</v>
      </c>
      <c r="X37" s="3226">
        <v>570800</v>
      </c>
      <c r="Y37" s="3192">
        <v>2009</v>
      </c>
      <c r="Z37" s="3192">
        <v>7</v>
      </c>
      <c r="AA37" s="3219">
        <v>28</v>
      </c>
      <c r="AB37" s="3219">
        <v>1500</v>
      </c>
      <c r="AC37" s="3219" t="s">
        <v>2918</v>
      </c>
      <c r="AD37" s="3240" t="s">
        <v>3364</v>
      </c>
      <c r="AE37" s="3219" t="s">
        <v>3025</v>
      </c>
      <c r="AF37" s="3219" t="s">
        <v>3035</v>
      </c>
      <c r="AG37" s="3219" t="s">
        <v>2919</v>
      </c>
      <c r="AH37" s="3219">
        <v>21377</v>
      </c>
      <c r="AI37" s="3219" t="s">
        <v>3051</v>
      </c>
      <c r="AJ37" s="3227"/>
      <c r="AK37" s="3241" t="s">
        <v>3109</v>
      </c>
      <c r="AL37" s="3219">
        <v>30</v>
      </c>
      <c r="AM37" s="3219"/>
      <c r="AN37" s="3162" t="s">
        <v>3066</v>
      </c>
      <c r="AO37" s="3219"/>
      <c r="AP37" s="3219" t="s">
        <v>3068</v>
      </c>
      <c r="AQ37" s="3192" t="s">
        <v>2922</v>
      </c>
      <c r="AR37" s="3219"/>
      <c r="AS37" s="3219"/>
      <c r="AT37" s="3219"/>
      <c r="AU37" s="3219"/>
      <c r="AV37" s="3219" t="s">
        <v>2898</v>
      </c>
      <c r="AW37" s="3219" t="s">
        <v>3069</v>
      </c>
      <c r="AX37" s="3219"/>
      <c r="AY37" s="3220"/>
      <c r="AZ37" s="3219" t="s">
        <v>3365</v>
      </c>
      <c r="BA37" s="3219"/>
      <c r="BB37" s="3220"/>
      <c r="BC37" s="3219"/>
      <c r="BD37" s="3243"/>
      <c r="BE37" s="3219"/>
      <c r="BF37" s="3244"/>
      <c r="BG37" s="3227">
        <v>39995</v>
      </c>
      <c r="BH37" s="3219"/>
      <c r="BI37" s="3192" t="s">
        <v>3068</v>
      </c>
      <c r="BJ37" s="3232">
        <v>40008</v>
      </c>
      <c r="BK37" s="3227"/>
      <c r="BL37" s="3192" t="s">
        <v>3035</v>
      </c>
      <c r="BM37" s="3192" t="s">
        <v>3036</v>
      </c>
      <c r="BN37" s="3192" t="s">
        <v>3056</v>
      </c>
      <c r="BO37" s="3219" t="s">
        <v>3072</v>
      </c>
      <c r="BP37" s="3219"/>
      <c r="BQ37" s="3192" t="e">
        <v>#DIV/0!</v>
      </c>
      <c r="BR37" s="3192" t="e">
        <v>#DIV/0!</v>
      </c>
      <c r="BS37" s="3233" t="s">
        <v>3073</v>
      </c>
      <c r="BT37" s="3233" t="s">
        <v>2918</v>
      </c>
      <c r="BU37" s="3234"/>
      <c r="BV37" s="3278"/>
    </row>
    <row r="38" spans="1:249" s="3161" customFormat="1" ht="12" hidden="1" customHeight="1">
      <c r="A38" s="3219" t="s">
        <v>3366</v>
      </c>
      <c r="B38" s="3219" t="s">
        <v>3367</v>
      </c>
      <c r="C38" s="3220" t="s">
        <v>3368</v>
      </c>
      <c r="D38" s="3220" t="s">
        <v>3369</v>
      </c>
      <c r="E38" s="3245" t="s">
        <v>650</v>
      </c>
      <c r="F38" s="3219" t="s">
        <v>3103</v>
      </c>
      <c r="G38" s="3219"/>
      <c r="H38" s="3219" t="s">
        <v>3091</v>
      </c>
      <c r="I38" s="3219"/>
      <c r="J38" s="3219" t="s">
        <v>3370</v>
      </c>
      <c r="K38" s="3219" t="s">
        <v>3371</v>
      </c>
      <c r="L38" s="3270">
        <v>58.01</v>
      </c>
      <c r="M38" s="3220" t="s">
        <v>22</v>
      </c>
      <c r="N38" s="3219" t="s">
        <v>3022</v>
      </c>
      <c r="O38" s="3219"/>
      <c r="P38" s="3219" t="s">
        <v>3023</v>
      </c>
      <c r="Q38" s="3251">
        <v>1000000</v>
      </c>
      <c r="R38" s="3219">
        <v>17238</v>
      </c>
      <c r="S38" s="3223">
        <v>88.89</v>
      </c>
      <c r="T38" s="3224">
        <v>888900</v>
      </c>
      <c r="U38" s="3219">
        <v>15324</v>
      </c>
      <c r="V38" s="3225">
        <v>0.2</v>
      </c>
      <c r="W38" s="3223">
        <v>71.11</v>
      </c>
      <c r="X38" s="3226">
        <v>711100</v>
      </c>
      <c r="Y38" s="3219">
        <v>2009</v>
      </c>
      <c r="Z38" s="3192">
        <v>7</v>
      </c>
      <c r="AA38" s="3192">
        <v>9</v>
      </c>
      <c r="AB38" s="3219">
        <v>1500</v>
      </c>
      <c r="AC38" s="3219" t="s">
        <v>2918</v>
      </c>
      <c r="AD38" s="3220"/>
      <c r="AE38" s="3219" t="s">
        <v>3025</v>
      </c>
      <c r="AF38" s="3219" t="s">
        <v>3035</v>
      </c>
      <c r="AG38" s="3162" t="s">
        <v>2919</v>
      </c>
      <c r="AH38" s="3219">
        <v>17238</v>
      </c>
      <c r="AI38" s="3219"/>
      <c r="AJ38" s="3227"/>
      <c r="AK38" s="3237" t="s">
        <v>3109</v>
      </c>
      <c r="AL38" s="3192">
        <v>28</v>
      </c>
      <c r="AM38" s="3219"/>
      <c r="AN38" s="3192" t="s">
        <v>3236</v>
      </c>
      <c r="AO38" s="3219"/>
      <c r="AP38" s="3219" t="s">
        <v>3245</v>
      </c>
      <c r="AQ38" s="3192" t="s">
        <v>2922</v>
      </c>
      <c r="AR38" s="3219"/>
      <c r="AS38" s="3219"/>
      <c r="AT38" s="3219"/>
      <c r="AU38" s="3192"/>
      <c r="AV38" s="3192" t="s">
        <v>2898</v>
      </c>
      <c r="AW38" s="3192" t="s">
        <v>3069</v>
      </c>
      <c r="AX38" s="3192"/>
      <c r="AY38" s="3228"/>
      <c r="AZ38" s="3237" t="s">
        <v>3371</v>
      </c>
      <c r="BA38" s="3192"/>
      <c r="BB38" s="3228"/>
      <c r="BC38" s="3192"/>
      <c r="BD38" s="3229"/>
      <c r="BE38" s="3192"/>
      <c r="BF38" s="3230"/>
      <c r="BG38" s="3231"/>
      <c r="BH38" s="3219"/>
      <c r="BI38" s="3192" t="s">
        <v>3245</v>
      </c>
      <c r="BJ38" s="3239"/>
      <c r="BK38" s="3232"/>
      <c r="BL38" s="3192" t="s">
        <v>3035</v>
      </c>
      <c r="BM38" s="3219" t="s">
        <v>3036</v>
      </c>
      <c r="BN38" s="3219" t="s">
        <v>3056</v>
      </c>
      <c r="BO38" s="3219" t="s">
        <v>3072</v>
      </c>
      <c r="BP38" s="3192"/>
      <c r="BQ38" s="3192" t="e">
        <v>#DIV/0!</v>
      </c>
      <c r="BR38" s="3192" t="e">
        <v>#DIV/0!</v>
      </c>
      <c r="BS38" s="3233" t="s">
        <v>3246</v>
      </c>
      <c r="BT38" s="3233" t="s">
        <v>2918</v>
      </c>
      <c r="BU38" s="3234"/>
    </row>
    <row r="39" spans="1:249" s="3161" customFormat="1" ht="12" hidden="1" customHeight="1">
      <c r="A39" s="3219" t="s">
        <v>3372</v>
      </c>
      <c r="B39" s="3219" t="s">
        <v>3373</v>
      </c>
      <c r="C39" s="3220" t="s">
        <v>3374</v>
      </c>
      <c r="D39" s="3220" t="s">
        <v>3375</v>
      </c>
      <c r="E39" s="3245" t="s">
        <v>650</v>
      </c>
      <c r="F39" s="3219" t="s">
        <v>3077</v>
      </c>
      <c r="G39" s="3219"/>
      <c r="H39" s="3219" t="s">
        <v>3376</v>
      </c>
      <c r="I39" s="3219"/>
      <c r="J39" s="3219" t="s">
        <v>3377</v>
      </c>
      <c r="K39" s="3219" t="s">
        <v>3378</v>
      </c>
      <c r="L39" s="3270">
        <v>58.1</v>
      </c>
      <c r="M39" s="3220" t="s">
        <v>22</v>
      </c>
      <c r="N39" s="3219" t="s">
        <v>3022</v>
      </c>
      <c r="O39" s="3219"/>
      <c r="P39" s="3219" t="s">
        <v>3023</v>
      </c>
      <c r="Q39" s="3251">
        <v>1080000</v>
      </c>
      <c r="R39" s="3219">
        <v>18589</v>
      </c>
      <c r="S39" s="3223">
        <v>96.1</v>
      </c>
      <c r="T39" s="3224">
        <v>961000</v>
      </c>
      <c r="U39" s="3219">
        <v>16542</v>
      </c>
      <c r="V39" s="3225">
        <v>0.2</v>
      </c>
      <c r="W39" s="3223">
        <v>76.88</v>
      </c>
      <c r="X39" s="3226">
        <v>768800</v>
      </c>
      <c r="Y39" s="3219">
        <v>2009</v>
      </c>
      <c r="Z39" s="3192">
        <v>7</v>
      </c>
      <c r="AA39" s="3192">
        <v>17</v>
      </c>
      <c r="AB39" s="3219">
        <v>1500</v>
      </c>
      <c r="AC39" s="3219" t="s">
        <v>2918</v>
      </c>
      <c r="AD39" s="3220"/>
      <c r="AE39" s="3219" t="s">
        <v>3025</v>
      </c>
      <c r="AF39" s="3219" t="s">
        <v>3035</v>
      </c>
      <c r="AG39" s="3162" t="s">
        <v>2919</v>
      </c>
      <c r="AH39" s="3219">
        <v>18588</v>
      </c>
      <c r="AI39" s="3219"/>
      <c r="AJ39" s="3227"/>
      <c r="AK39" s="3237" t="s">
        <v>3109</v>
      </c>
      <c r="AL39" s="3192">
        <v>46</v>
      </c>
      <c r="AM39" s="3219"/>
      <c r="AN39" s="3192" t="s">
        <v>3236</v>
      </c>
      <c r="AO39" s="3219"/>
      <c r="AP39" s="3219" t="s">
        <v>3245</v>
      </c>
      <c r="AQ39" s="3192" t="s">
        <v>2922</v>
      </c>
      <c r="AR39" s="3219"/>
      <c r="AS39" s="3219"/>
      <c r="AT39" s="3219"/>
      <c r="AU39" s="3192"/>
      <c r="AV39" s="3192" t="s">
        <v>2898</v>
      </c>
      <c r="AW39" s="3192" t="s">
        <v>3069</v>
      </c>
      <c r="AX39" s="3192"/>
      <c r="AY39" s="3228"/>
      <c r="AZ39" s="3237" t="s">
        <v>3378</v>
      </c>
      <c r="BA39" s="3192"/>
      <c r="BB39" s="3228"/>
      <c r="BC39" s="3192"/>
      <c r="BD39" s="3229"/>
      <c r="BE39" s="3192"/>
      <c r="BF39" s="3230"/>
      <c r="BG39" s="3231"/>
      <c r="BH39" s="3219"/>
      <c r="BI39" s="3192" t="s">
        <v>3245</v>
      </c>
      <c r="BJ39" s="3239"/>
      <c r="BK39" s="3232"/>
      <c r="BL39" s="3192" t="s">
        <v>3035</v>
      </c>
      <c r="BM39" s="3219" t="s">
        <v>3036</v>
      </c>
      <c r="BN39" s="3219" t="s">
        <v>3056</v>
      </c>
      <c r="BO39" s="3219" t="s">
        <v>3072</v>
      </c>
      <c r="BP39" s="3192"/>
      <c r="BQ39" s="3192" t="e">
        <v>#DIV/0!</v>
      </c>
      <c r="BR39" s="3192" t="e">
        <v>#DIV/0!</v>
      </c>
      <c r="BS39" s="3233" t="s">
        <v>3246</v>
      </c>
      <c r="BT39" s="3233" t="s">
        <v>2918</v>
      </c>
      <c r="BU39" s="3234"/>
    </row>
    <row r="40" spans="1:249" s="3161" customFormat="1" ht="12" hidden="1" customHeight="1">
      <c r="A40" s="3219" t="s">
        <v>3379</v>
      </c>
      <c r="B40" s="3219" t="s">
        <v>3380</v>
      </c>
      <c r="C40" s="3220" t="s">
        <v>3381</v>
      </c>
      <c r="D40" s="3220" t="s">
        <v>3382</v>
      </c>
      <c r="E40" s="3245" t="s">
        <v>650</v>
      </c>
      <c r="F40" s="3219" t="s">
        <v>3187</v>
      </c>
      <c r="G40" s="3219"/>
      <c r="H40" s="3219" t="s">
        <v>3126</v>
      </c>
      <c r="I40" s="3219"/>
      <c r="J40" s="3219" t="s">
        <v>3383</v>
      </c>
      <c r="K40" s="3219" t="s">
        <v>3384</v>
      </c>
      <c r="L40" s="3270">
        <v>91.12</v>
      </c>
      <c r="M40" s="3220" t="s">
        <v>23</v>
      </c>
      <c r="N40" s="3219" t="s">
        <v>3190</v>
      </c>
      <c r="O40" s="3219"/>
      <c r="P40" s="3219" t="s">
        <v>3023</v>
      </c>
      <c r="Q40" s="3251">
        <v>1000000</v>
      </c>
      <c r="R40" s="3219">
        <v>10975</v>
      </c>
      <c r="S40" s="3223">
        <v>141.30000000000001</v>
      </c>
      <c r="T40" s="3224">
        <v>1413000</v>
      </c>
      <c r="U40" s="3219">
        <v>15508</v>
      </c>
      <c r="V40" s="3225">
        <v>0.2</v>
      </c>
      <c r="W40" s="3223">
        <v>113.04</v>
      </c>
      <c r="X40" s="3226">
        <v>1130400</v>
      </c>
      <c r="Y40" s="3219">
        <v>2009</v>
      </c>
      <c r="Z40" s="3192">
        <v>7</v>
      </c>
      <c r="AA40" s="3192">
        <v>22</v>
      </c>
      <c r="AB40" s="3219">
        <v>1500</v>
      </c>
      <c r="AC40" s="3219" t="s">
        <v>2918</v>
      </c>
      <c r="AD40" s="3220"/>
      <c r="AE40" s="3219" t="s">
        <v>3025</v>
      </c>
      <c r="AF40" s="3219" t="s">
        <v>3035</v>
      </c>
      <c r="AG40" s="3162" t="s">
        <v>2919</v>
      </c>
      <c r="AH40" s="3219">
        <v>17559</v>
      </c>
      <c r="AI40" s="3219"/>
      <c r="AJ40" s="3227"/>
      <c r="AK40" s="3237" t="s">
        <v>3109</v>
      </c>
      <c r="AL40" s="3192">
        <v>51</v>
      </c>
      <c r="AM40" s="3219"/>
      <c r="AN40" s="3192" t="s">
        <v>3236</v>
      </c>
      <c r="AO40" s="3219"/>
      <c r="AP40" s="3219" t="s">
        <v>3245</v>
      </c>
      <c r="AQ40" s="3192" t="s">
        <v>2922</v>
      </c>
      <c r="AR40" s="3219"/>
      <c r="AS40" s="3219"/>
      <c r="AT40" s="3219"/>
      <c r="AU40" s="3192"/>
      <c r="AV40" s="3192" t="s">
        <v>2898</v>
      </c>
      <c r="AW40" s="3192" t="s">
        <v>3069</v>
      </c>
      <c r="AX40" s="3192"/>
      <c r="AY40" s="3228"/>
      <c r="AZ40" s="3237" t="s">
        <v>3384</v>
      </c>
      <c r="BA40" s="3192"/>
      <c r="BB40" s="3228"/>
      <c r="BC40" s="3192"/>
      <c r="BD40" s="3229"/>
      <c r="BE40" s="3192"/>
      <c r="BF40" s="3230"/>
      <c r="BG40" s="3231"/>
      <c r="BH40" s="3219"/>
      <c r="BI40" s="3192" t="s">
        <v>3245</v>
      </c>
      <c r="BJ40" s="3239"/>
      <c r="BK40" s="3232"/>
      <c r="BL40" s="3192" t="s">
        <v>3035</v>
      </c>
      <c r="BM40" s="3219" t="s">
        <v>3036</v>
      </c>
      <c r="BN40" s="3219" t="s">
        <v>3056</v>
      </c>
      <c r="BO40" s="3219" t="s">
        <v>3072</v>
      </c>
      <c r="BP40" s="3192"/>
      <c r="BQ40" s="3192" t="e">
        <v>#DIV/0!</v>
      </c>
      <c r="BR40" s="3192" t="e">
        <v>#DIV/0!</v>
      </c>
      <c r="BS40" s="3233" t="s">
        <v>3246</v>
      </c>
      <c r="BT40" s="3233" t="s">
        <v>2918</v>
      </c>
      <c r="BU40" s="3234"/>
    </row>
    <row r="41" spans="1:249" s="3161" customFormat="1" ht="12" hidden="1" customHeight="1">
      <c r="A41" s="3219" t="s">
        <v>3385</v>
      </c>
      <c r="B41" s="3219" t="s">
        <v>3386</v>
      </c>
      <c r="C41" s="3220" t="s">
        <v>3387</v>
      </c>
      <c r="D41" s="3220" t="s">
        <v>3388</v>
      </c>
      <c r="E41" s="3245" t="s">
        <v>650</v>
      </c>
      <c r="F41" s="3219" t="s">
        <v>3157</v>
      </c>
      <c r="G41" s="3219"/>
      <c r="H41" s="3219" t="s">
        <v>3275</v>
      </c>
      <c r="I41" s="3219"/>
      <c r="J41" s="3219" t="s">
        <v>3389</v>
      </c>
      <c r="K41" s="3219" t="s">
        <v>3390</v>
      </c>
      <c r="L41" s="3270">
        <v>60.2</v>
      </c>
      <c r="M41" s="3220" t="s">
        <v>3119</v>
      </c>
      <c r="N41" s="3219" t="s">
        <v>3391</v>
      </c>
      <c r="O41" s="3219"/>
      <c r="P41" s="3219" t="s">
        <v>3023</v>
      </c>
      <c r="Q41" s="3251">
        <v>480000</v>
      </c>
      <c r="R41" s="3219">
        <v>7973</v>
      </c>
      <c r="S41" s="3223">
        <v>101.16</v>
      </c>
      <c r="T41" s="3224">
        <v>1011600</v>
      </c>
      <c r="U41" s="3219">
        <v>16804</v>
      </c>
      <c r="V41" s="3225">
        <v>0.2</v>
      </c>
      <c r="W41" s="3223">
        <v>80.92</v>
      </c>
      <c r="X41" s="3226">
        <v>809200</v>
      </c>
      <c r="Y41" s="3219">
        <v>2009</v>
      </c>
      <c r="Z41" s="3192">
        <v>7</v>
      </c>
      <c r="AA41" s="3192">
        <v>23</v>
      </c>
      <c r="AB41" s="3219">
        <v>1500</v>
      </c>
      <c r="AC41" s="3219" t="s">
        <v>2918</v>
      </c>
      <c r="AD41" s="3220"/>
      <c r="AE41" s="3219" t="s">
        <v>3025</v>
      </c>
      <c r="AF41" s="3219" t="s">
        <v>3035</v>
      </c>
      <c r="AG41" s="3162" t="s">
        <v>2919</v>
      </c>
      <c r="AH41" s="3219">
        <v>19102</v>
      </c>
      <c r="AI41" s="3219"/>
      <c r="AJ41" s="3227"/>
      <c r="AK41" s="3237" t="s">
        <v>3109</v>
      </c>
      <c r="AL41" s="3192">
        <v>29</v>
      </c>
      <c r="AM41" s="3219"/>
      <c r="AN41" s="3192" t="s">
        <v>3236</v>
      </c>
      <c r="AO41" s="3219"/>
      <c r="AP41" s="3219" t="s">
        <v>3245</v>
      </c>
      <c r="AQ41" s="3192" t="s">
        <v>2922</v>
      </c>
      <c r="AR41" s="3219"/>
      <c r="AS41" s="3219"/>
      <c r="AT41" s="3219"/>
      <c r="AU41" s="3192"/>
      <c r="AV41" s="3192" t="s">
        <v>2898</v>
      </c>
      <c r="AW41" s="3192" t="s">
        <v>3069</v>
      </c>
      <c r="AX41" s="3192"/>
      <c r="AY41" s="3228"/>
      <c r="AZ41" s="3237" t="s">
        <v>3390</v>
      </c>
      <c r="BA41" s="3192"/>
      <c r="BB41" s="3228"/>
      <c r="BC41" s="3192"/>
      <c r="BD41" s="3229"/>
      <c r="BE41" s="3192"/>
      <c r="BF41" s="3230"/>
      <c r="BG41" s="3231"/>
      <c r="BH41" s="3219"/>
      <c r="BI41" s="3192" t="s">
        <v>3245</v>
      </c>
      <c r="BJ41" s="3239"/>
      <c r="BK41" s="3232"/>
      <c r="BL41" s="3192" t="s">
        <v>3035</v>
      </c>
      <c r="BM41" s="3219" t="s">
        <v>3036</v>
      </c>
      <c r="BN41" s="3219" t="s">
        <v>3056</v>
      </c>
      <c r="BO41" s="3219" t="s">
        <v>3072</v>
      </c>
      <c r="BP41" s="3192"/>
      <c r="BQ41" s="3192" t="e">
        <v>#DIV/0!</v>
      </c>
      <c r="BR41" s="3192" t="e">
        <v>#DIV/0!</v>
      </c>
      <c r="BS41" s="3233" t="s">
        <v>3246</v>
      </c>
      <c r="BT41" s="3233" t="s">
        <v>2918</v>
      </c>
      <c r="BU41" s="3234"/>
    </row>
    <row r="42" spans="1:249" s="3234" customFormat="1" ht="12" hidden="1" customHeight="1">
      <c r="A42" s="3245" t="s">
        <v>3392</v>
      </c>
      <c r="B42" s="3219" t="s">
        <v>3393</v>
      </c>
      <c r="C42" s="3220" t="s">
        <v>3394</v>
      </c>
      <c r="D42" s="3240" t="s">
        <v>3395</v>
      </c>
      <c r="E42" s="3219" t="s">
        <v>650</v>
      </c>
      <c r="F42" s="3219" t="s">
        <v>3309</v>
      </c>
      <c r="G42" s="3219"/>
      <c r="H42" s="3219" t="s">
        <v>3045</v>
      </c>
      <c r="I42" s="3219"/>
      <c r="J42" s="3220" t="s">
        <v>3396</v>
      </c>
      <c r="K42" s="3219" t="s">
        <v>3397</v>
      </c>
      <c r="L42" s="3220" t="s">
        <v>3398</v>
      </c>
      <c r="M42" s="3219">
        <v>11</v>
      </c>
      <c r="N42" s="3219" t="s">
        <v>3096</v>
      </c>
      <c r="O42" s="3219"/>
      <c r="P42" s="3219" t="s">
        <v>3023</v>
      </c>
      <c r="Q42" s="3222">
        <v>880000</v>
      </c>
      <c r="R42" s="3219">
        <v>14396</v>
      </c>
      <c r="S42" s="3223">
        <v>91.03</v>
      </c>
      <c r="T42" s="3224">
        <v>910300</v>
      </c>
      <c r="U42" s="3219">
        <v>14892</v>
      </c>
      <c r="V42" s="3225">
        <v>0.2</v>
      </c>
      <c r="W42" s="3223">
        <v>72.819999999999993</v>
      </c>
      <c r="X42" s="3226">
        <v>728199.99999999988</v>
      </c>
      <c r="Y42" s="3192">
        <v>2009</v>
      </c>
      <c r="Z42" s="3192">
        <v>8</v>
      </c>
      <c r="AA42" s="3192">
        <v>3</v>
      </c>
      <c r="AB42" s="3219">
        <v>1500</v>
      </c>
      <c r="AC42" s="3219" t="s">
        <v>3049</v>
      </c>
      <c r="AD42" s="3220"/>
      <c r="AE42" s="3192" t="s">
        <v>3025</v>
      </c>
      <c r="AF42" s="3219" t="s">
        <v>3035</v>
      </c>
      <c r="AG42" s="3219" t="s">
        <v>2919</v>
      </c>
      <c r="AH42" s="3219"/>
      <c r="AI42" s="3219" t="s">
        <v>3051</v>
      </c>
      <c r="AJ42" s="3227"/>
      <c r="AK42" s="3241" t="s">
        <v>3120</v>
      </c>
      <c r="AL42" s="3192">
        <v>39</v>
      </c>
      <c r="AM42" s="3219"/>
      <c r="AN42" s="3192" t="s">
        <v>3030</v>
      </c>
      <c r="AO42" s="3192"/>
      <c r="AP42" s="3192" t="s">
        <v>3084</v>
      </c>
      <c r="AQ42" s="3192" t="s">
        <v>3032</v>
      </c>
      <c r="AR42" s="3192"/>
      <c r="AS42" s="3192"/>
      <c r="AT42" s="3192"/>
      <c r="AU42" s="3192"/>
      <c r="AV42" s="3192"/>
      <c r="AW42" s="3192"/>
      <c r="AX42" s="3192"/>
      <c r="AY42" s="3228"/>
      <c r="AZ42" s="3192" t="s">
        <v>3397</v>
      </c>
      <c r="BA42" s="3192"/>
      <c r="BB42" s="3228"/>
      <c r="BC42" s="3192"/>
      <c r="BD42" s="3229"/>
      <c r="BE42" s="3192"/>
      <c r="BF42" s="3228"/>
      <c r="BG42" s="3231"/>
      <c r="BH42" s="3192"/>
      <c r="BI42" s="3192" t="s">
        <v>3084</v>
      </c>
      <c r="BJ42" s="3232"/>
      <c r="BK42" s="3232"/>
      <c r="BL42" s="3219" t="s">
        <v>3035</v>
      </c>
      <c r="BM42" s="3192" t="s">
        <v>3036</v>
      </c>
      <c r="BN42" s="3192" t="s">
        <v>3037</v>
      </c>
      <c r="BO42" s="3192" t="s">
        <v>3399</v>
      </c>
      <c r="BP42" s="3192"/>
      <c r="BQ42" s="3192" t="e">
        <v>#DIV/0!</v>
      </c>
      <c r="BR42" s="3192" t="e">
        <v>#DIV/0!</v>
      </c>
      <c r="BS42" s="3233" t="s">
        <v>3085</v>
      </c>
      <c r="BT42" s="3233" t="s">
        <v>2918</v>
      </c>
    </row>
    <row r="43" spans="1:249" s="3161" customFormat="1" ht="12" hidden="1" customHeight="1">
      <c r="A43" s="3245" t="s">
        <v>3400</v>
      </c>
      <c r="B43" s="3219" t="s">
        <v>3401</v>
      </c>
      <c r="C43" s="3220" t="s">
        <v>3402</v>
      </c>
      <c r="D43" s="3240" t="s">
        <v>3403</v>
      </c>
      <c r="E43" s="3245" t="s">
        <v>650</v>
      </c>
      <c r="F43" s="3219" t="s">
        <v>3103</v>
      </c>
      <c r="G43" s="3219"/>
      <c r="H43" s="3219" t="s">
        <v>3091</v>
      </c>
      <c r="I43" s="3219" t="s">
        <v>3404</v>
      </c>
      <c r="J43" s="3219" t="s">
        <v>3106</v>
      </c>
      <c r="K43" s="3219" t="s">
        <v>3298</v>
      </c>
      <c r="L43" s="3270">
        <v>77.75</v>
      </c>
      <c r="M43" s="3220" t="s">
        <v>24</v>
      </c>
      <c r="N43" s="3219" t="s">
        <v>3261</v>
      </c>
      <c r="O43" s="3219"/>
      <c r="P43" s="3219" t="s">
        <v>3023</v>
      </c>
      <c r="Q43" s="3251">
        <v>940000</v>
      </c>
      <c r="R43" s="3219">
        <v>12090</v>
      </c>
      <c r="S43" s="3223">
        <v>116.86</v>
      </c>
      <c r="T43" s="3224">
        <v>1168600</v>
      </c>
      <c r="U43" s="3219">
        <v>15031</v>
      </c>
      <c r="V43" s="3225">
        <v>0.2</v>
      </c>
      <c r="W43" s="3223">
        <v>93.48</v>
      </c>
      <c r="X43" s="3226">
        <v>934800</v>
      </c>
      <c r="Y43" s="3219">
        <v>2009</v>
      </c>
      <c r="Z43" s="3192">
        <v>8</v>
      </c>
      <c r="AA43" s="3192">
        <v>5</v>
      </c>
      <c r="AB43" s="3219">
        <v>1500</v>
      </c>
      <c r="AC43" s="3219" t="s">
        <v>2918</v>
      </c>
      <c r="AD43" s="3220"/>
      <c r="AE43" s="3219" t="s">
        <v>3025</v>
      </c>
      <c r="AF43" s="3219" t="s">
        <v>3035</v>
      </c>
      <c r="AG43" s="3162" t="s">
        <v>2919</v>
      </c>
      <c r="AH43" s="3219">
        <v>16720</v>
      </c>
      <c r="AI43" s="3219" t="s">
        <v>3051</v>
      </c>
      <c r="AJ43" s="3227"/>
      <c r="AK43" s="3237" t="s">
        <v>3120</v>
      </c>
      <c r="AL43" s="3192">
        <v>28</v>
      </c>
      <c r="AM43" s="3219"/>
      <c r="AN43" s="3192" t="s">
        <v>3236</v>
      </c>
      <c r="AO43" s="3219"/>
      <c r="AP43" s="3219" t="s">
        <v>3084</v>
      </c>
      <c r="AQ43" s="3192" t="s">
        <v>3032</v>
      </c>
      <c r="AR43" s="3219"/>
      <c r="AS43" s="3219"/>
      <c r="AT43" s="3219"/>
      <c r="AU43" s="3192"/>
      <c r="AV43" s="3192" t="s">
        <v>2898</v>
      </c>
      <c r="AW43" s="3192"/>
      <c r="AX43" s="3192"/>
      <c r="AY43" s="3228"/>
      <c r="AZ43" s="3237" t="s">
        <v>3298</v>
      </c>
      <c r="BA43" s="3192"/>
      <c r="BB43" s="3228"/>
      <c r="BC43" s="3192"/>
      <c r="BD43" s="3229"/>
      <c r="BE43" s="3192"/>
      <c r="BF43" s="3230"/>
      <c r="BG43" s="3231"/>
      <c r="BH43" s="3219"/>
      <c r="BI43" s="3192" t="s">
        <v>3084</v>
      </c>
      <c r="BJ43" s="3239"/>
      <c r="BK43" s="3232"/>
      <c r="BL43" s="3192" t="s">
        <v>3035</v>
      </c>
      <c r="BM43" s="3219" t="s">
        <v>3036</v>
      </c>
      <c r="BN43" s="3219" t="s">
        <v>3056</v>
      </c>
      <c r="BO43" s="3219" t="s">
        <v>3072</v>
      </c>
      <c r="BP43" s="3192"/>
      <c r="BQ43" s="3192" t="e">
        <v>#DIV/0!</v>
      </c>
      <c r="BR43" s="3192" t="e">
        <v>#DIV/0!</v>
      </c>
      <c r="BS43" s="3233" t="s">
        <v>3085</v>
      </c>
      <c r="BT43" s="3233" t="s">
        <v>2918</v>
      </c>
      <c r="BU43" s="3234"/>
    </row>
    <row r="44" spans="1:249" s="3294" customFormat="1" ht="12" customHeight="1">
      <c r="A44" s="3284" t="s">
        <v>3405</v>
      </c>
      <c r="B44" s="3283" t="s">
        <v>3406</v>
      </c>
      <c r="C44" s="3283" t="s">
        <v>3407</v>
      </c>
      <c r="D44" s="3283" t="s">
        <v>3408</v>
      </c>
      <c r="E44" s="3283" t="s">
        <v>650</v>
      </c>
      <c r="F44" s="3283" t="s">
        <v>3077</v>
      </c>
      <c r="G44" s="3283"/>
      <c r="H44" s="3283" t="s">
        <v>3115</v>
      </c>
      <c r="I44" s="3283" t="s">
        <v>3197</v>
      </c>
      <c r="J44" s="3283" t="s">
        <v>3198</v>
      </c>
      <c r="K44" s="3283" t="s">
        <v>3406</v>
      </c>
      <c r="L44" s="3285" t="s">
        <v>3409</v>
      </c>
      <c r="M44" s="3285" t="s">
        <v>22</v>
      </c>
      <c r="N44" s="3282" t="s">
        <v>3261</v>
      </c>
      <c r="O44" s="3285"/>
      <c r="P44" s="3282" t="s">
        <v>3023</v>
      </c>
      <c r="Q44" s="3296" t="s">
        <v>3410</v>
      </c>
      <c r="R44" s="3282">
        <v>18519</v>
      </c>
      <c r="S44" s="3286">
        <v>103.34</v>
      </c>
      <c r="T44" s="3287">
        <v>1033400</v>
      </c>
      <c r="U44" s="3282">
        <v>16642</v>
      </c>
      <c r="V44" s="3288">
        <v>0.2</v>
      </c>
      <c r="W44" s="3286">
        <v>82.67</v>
      </c>
      <c r="X44" s="3289">
        <v>826700</v>
      </c>
      <c r="Y44" s="3285" t="s">
        <v>3411</v>
      </c>
      <c r="Z44" s="3282">
        <v>9</v>
      </c>
      <c r="AA44" s="3282">
        <v>24</v>
      </c>
      <c r="AB44" s="3282">
        <v>1500</v>
      </c>
      <c r="AC44" s="3282" t="s">
        <v>3049</v>
      </c>
      <c r="AD44" s="3283" t="s">
        <v>3412</v>
      </c>
      <c r="AE44" s="3282" t="s">
        <v>3025</v>
      </c>
      <c r="AF44" s="3282" t="s">
        <v>3035</v>
      </c>
      <c r="AG44" s="3282" t="s">
        <v>2919</v>
      </c>
      <c r="AH44" s="3283"/>
      <c r="AI44" s="3282" t="s">
        <v>3051</v>
      </c>
      <c r="AJ44" s="3291"/>
      <c r="AK44" s="3295" t="s">
        <v>3151</v>
      </c>
      <c r="AL44" s="3285" t="s">
        <v>3413</v>
      </c>
      <c r="AM44" s="3283"/>
      <c r="AN44" s="3282" t="s">
        <v>3130</v>
      </c>
      <c r="AO44" s="3283"/>
      <c r="AP44" s="3283" t="s">
        <v>3084</v>
      </c>
      <c r="AQ44" s="3282" t="s">
        <v>2922</v>
      </c>
      <c r="AR44" s="3283"/>
      <c r="AS44" s="3283"/>
      <c r="AT44" s="3283"/>
      <c r="AU44" s="3283"/>
      <c r="AV44" s="3283"/>
      <c r="AW44" s="3290" t="s">
        <v>3200</v>
      </c>
      <c r="AX44" s="3283" t="s">
        <v>3070</v>
      </c>
      <c r="AY44" s="3283" t="s">
        <v>3414</v>
      </c>
      <c r="AZ44" s="3283" t="s">
        <v>3415</v>
      </c>
      <c r="BA44" s="3283"/>
      <c r="BB44" s="3283"/>
      <c r="BC44" s="3283"/>
      <c r="BD44" s="3283"/>
      <c r="BE44" s="3283"/>
      <c r="BF44" s="3283"/>
      <c r="BG44" s="3291">
        <v>40059</v>
      </c>
      <c r="BH44" s="3283"/>
      <c r="BI44" s="3290" t="s">
        <v>3191</v>
      </c>
      <c r="BJ44" s="3291">
        <v>40064</v>
      </c>
      <c r="BK44" s="3291"/>
      <c r="BL44" s="3282" t="s">
        <v>3035</v>
      </c>
      <c r="BM44" s="3283"/>
      <c r="BN44" s="3283"/>
      <c r="BO44" s="3283"/>
      <c r="BP44" s="3283"/>
      <c r="BQ44" s="3290" t="e">
        <v>#DIV/0!</v>
      </c>
      <c r="BR44" s="3290" t="e">
        <v>#DIV/0!</v>
      </c>
      <c r="BS44" s="3292" t="s">
        <v>3192</v>
      </c>
      <c r="BT44" s="3292" t="s">
        <v>2918</v>
      </c>
      <c r="BU44" s="3293"/>
      <c r="BV44" s="3297"/>
      <c r="BW44" s="3297"/>
      <c r="BX44" s="3297"/>
      <c r="BY44" s="3297"/>
      <c r="BZ44" s="3297"/>
      <c r="CA44" s="3297"/>
    </row>
    <row r="45" spans="1:249" s="3161" customFormat="1" ht="12" hidden="1" customHeight="1">
      <c r="A45" s="3245" t="s">
        <v>3416</v>
      </c>
      <c r="B45" s="3219" t="s">
        <v>3417</v>
      </c>
      <c r="C45" s="3220" t="s">
        <v>3418</v>
      </c>
      <c r="D45" s="3245">
        <v>13269329431</v>
      </c>
      <c r="E45" s="3219" t="s">
        <v>3102</v>
      </c>
      <c r="F45" s="3219" t="s">
        <v>3419</v>
      </c>
      <c r="G45" s="3219"/>
      <c r="H45" s="3219" t="s">
        <v>3355</v>
      </c>
      <c r="I45" s="3219" t="s">
        <v>3258</v>
      </c>
      <c r="J45" s="3219" t="s">
        <v>3420</v>
      </c>
      <c r="K45" s="3219" t="s">
        <v>3421</v>
      </c>
      <c r="L45" s="3219">
        <v>48.2</v>
      </c>
      <c r="M45" s="3219">
        <v>6</v>
      </c>
      <c r="N45" s="3219" t="s">
        <v>3082</v>
      </c>
      <c r="O45" s="3219"/>
      <c r="P45" s="3219" t="s">
        <v>2917</v>
      </c>
      <c r="Q45" s="3219">
        <v>680000</v>
      </c>
      <c r="R45" s="3219">
        <v>14108</v>
      </c>
      <c r="S45" s="3223">
        <v>81.180000000000007</v>
      </c>
      <c r="T45" s="3224">
        <v>811800.00000000012</v>
      </c>
      <c r="U45" s="3219">
        <v>16843</v>
      </c>
      <c r="V45" s="3225">
        <v>0.2</v>
      </c>
      <c r="W45" s="3223">
        <v>64.94</v>
      </c>
      <c r="X45" s="3226">
        <v>649400</v>
      </c>
      <c r="Y45" s="3219">
        <v>2009</v>
      </c>
      <c r="Z45" s="3219">
        <v>8</v>
      </c>
      <c r="AA45" s="3219">
        <v>17</v>
      </c>
      <c r="AB45" s="3219">
        <v>1500</v>
      </c>
      <c r="AC45" s="3219" t="s">
        <v>2918</v>
      </c>
      <c r="AD45" s="3220"/>
      <c r="AE45" s="3219" t="s">
        <v>3422</v>
      </c>
      <c r="AF45" s="3219" t="s">
        <v>3108</v>
      </c>
      <c r="AG45" s="3219" t="s">
        <v>2919</v>
      </c>
      <c r="AH45" s="3219"/>
      <c r="AI45" s="3219" t="s">
        <v>2920</v>
      </c>
      <c r="AJ45" s="3219"/>
      <c r="AK45" s="3219" t="s">
        <v>3120</v>
      </c>
      <c r="AL45" s="3219">
        <v>38</v>
      </c>
      <c r="AM45" s="3219"/>
      <c r="AN45" s="3219" t="s">
        <v>2921</v>
      </c>
      <c r="AO45" s="3219"/>
      <c r="AP45" s="3219" t="s">
        <v>3053</v>
      </c>
      <c r="AQ45" s="3192" t="s">
        <v>3032</v>
      </c>
      <c r="AR45" s="3219"/>
      <c r="AS45" s="3219"/>
      <c r="AT45" s="3219"/>
      <c r="AU45" s="3219"/>
      <c r="AV45" s="3219"/>
      <c r="AW45" s="3219" t="s">
        <v>3069</v>
      </c>
      <c r="AX45" s="3219"/>
      <c r="AY45" s="3220"/>
      <c r="AZ45" s="3219" t="s">
        <v>3421</v>
      </c>
      <c r="BA45" s="3219"/>
      <c r="BB45" s="3220"/>
      <c r="BC45" s="3219"/>
      <c r="BD45" s="3243"/>
      <c r="BE45" s="3219"/>
      <c r="BF45" s="3244"/>
      <c r="BG45" s="3227"/>
      <c r="BH45" s="3219"/>
      <c r="BI45" s="3219" t="s">
        <v>3053</v>
      </c>
      <c r="BJ45" s="3238"/>
      <c r="BK45" s="3238"/>
      <c r="BL45" s="3219" t="s">
        <v>2923</v>
      </c>
      <c r="BM45" s="3219" t="s">
        <v>2883</v>
      </c>
      <c r="BN45" s="3219" t="s">
        <v>2924</v>
      </c>
      <c r="BO45" s="3219" t="s">
        <v>2925</v>
      </c>
      <c r="BP45" s="3219"/>
      <c r="BQ45" s="3192" t="e">
        <v>#DIV/0!</v>
      </c>
      <c r="BR45" s="3192" t="e">
        <v>#DIV/0!</v>
      </c>
      <c r="BS45" s="3233" t="s">
        <v>3057</v>
      </c>
      <c r="BT45" s="3233" t="s">
        <v>2918</v>
      </c>
      <c r="BU45" s="3234"/>
    </row>
    <row r="46" spans="1:249" s="3161" customFormat="1" ht="12" hidden="1" customHeight="1">
      <c r="A46" s="3245" t="s">
        <v>3423</v>
      </c>
      <c r="B46" s="3219" t="s">
        <v>3424</v>
      </c>
      <c r="C46" s="3220" t="s">
        <v>3425</v>
      </c>
      <c r="D46" s="3245">
        <v>13552609915</v>
      </c>
      <c r="E46" s="3219" t="s">
        <v>3102</v>
      </c>
      <c r="F46" s="3219" t="s">
        <v>3339</v>
      </c>
      <c r="G46" s="3219"/>
      <c r="H46" s="3219" t="s">
        <v>3426</v>
      </c>
      <c r="I46" s="3219" t="s">
        <v>3427</v>
      </c>
      <c r="J46" s="3219" t="s">
        <v>3428</v>
      </c>
      <c r="K46" s="3219" t="s">
        <v>3429</v>
      </c>
      <c r="L46" s="3219">
        <v>54</v>
      </c>
      <c r="M46" s="3219">
        <v>4</v>
      </c>
      <c r="N46" s="3219" t="s">
        <v>3096</v>
      </c>
      <c r="O46" s="3219"/>
      <c r="P46" s="3219" t="s">
        <v>2917</v>
      </c>
      <c r="Q46" s="3219">
        <v>500000</v>
      </c>
      <c r="R46" s="3219">
        <v>9259</v>
      </c>
      <c r="S46" s="3223">
        <v>89.77</v>
      </c>
      <c r="T46" s="3224">
        <v>897700</v>
      </c>
      <c r="U46" s="3219">
        <v>16625</v>
      </c>
      <c r="V46" s="3225">
        <v>0.2</v>
      </c>
      <c r="W46" s="3223">
        <v>71.81</v>
      </c>
      <c r="X46" s="3226">
        <v>718100</v>
      </c>
      <c r="Y46" s="3219">
        <v>2009</v>
      </c>
      <c r="Z46" s="3219">
        <v>8</v>
      </c>
      <c r="AA46" s="3219">
        <v>19</v>
      </c>
      <c r="AB46" s="3219">
        <v>1500</v>
      </c>
      <c r="AC46" s="3219" t="s">
        <v>2918</v>
      </c>
      <c r="AD46" s="3220" t="s">
        <v>2898</v>
      </c>
      <c r="AE46" s="3219" t="s">
        <v>3150</v>
      </c>
      <c r="AF46" s="3219" t="s">
        <v>2923</v>
      </c>
      <c r="AG46" s="3219" t="s">
        <v>2919</v>
      </c>
      <c r="AH46" s="3219"/>
      <c r="AI46" s="3219" t="s">
        <v>2920</v>
      </c>
      <c r="AJ46" s="3219" t="s">
        <v>2898</v>
      </c>
      <c r="AK46" s="3219" t="s">
        <v>3120</v>
      </c>
      <c r="AL46" s="3219">
        <v>25</v>
      </c>
      <c r="AM46" s="3219"/>
      <c r="AN46" s="3219" t="s">
        <v>3028</v>
      </c>
      <c r="AO46" s="3219" t="s">
        <v>2898</v>
      </c>
      <c r="AP46" s="3219" t="s">
        <v>3430</v>
      </c>
      <c r="AQ46" s="3192" t="s">
        <v>3032</v>
      </c>
      <c r="AR46" s="3219"/>
      <c r="AS46" s="3219"/>
      <c r="AT46" s="3219"/>
      <c r="AU46" s="3219"/>
      <c r="AV46" s="3219"/>
      <c r="AW46" s="3219" t="s">
        <v>3110</v>
      </c>
      <c r="AX46" s="3219"/>
      <c r="AY46" s="3220"/>
      <c r="AZ46" s="3219" t="s">
        <v>3429</v>
      </c>
      <c r="BA46" s="3219"/>
      <c r="BB46" s="3220"/>
      <c r="BC46" s="3219"/>
      <c r="BD46" s="3243"/>
      <c r="BE46" s="3219" t="s">
        <v>2898</v>
      </c>
      <c r="BF46" s="3244"/>
      <c r="BG46" s="3227" t="s">
        <v>2898</v>
      </c>
      <c r="BH46" s="3219"/>
      <c r="BI46" s="3219" t="s">
        <v>3430</v>
      </c>
      <c r="BJ46" s="3238" t="s">
        <v>2898</v>
      </c>
      <c r="BK46" s="3238"/>
      <c r="BL46" s="3219" t="s">
        <v>2923</v>
      </c>
      <c r="BM46" s="3219" t="s">
        <v>3431</v>
      </c>
      <c r="BN46" s="3219" t="s">
        <v>3432</v>
      </c>
      <c r="BO46" s="3219" t="s">
        <v>2925</v>
      </c>
      <c r="BP46" s="3219"/>
      <c r="BQ46" s="3192" t="e">
        <v>#DIV/0!</v>
      </c>
      <c r="BR46" s="3192" t="e">
        <v>#DIV/0!</v>
      </c>
      <c r="BS46" s="3233" t="s">
        <v>3433</v>
      </c>
      <c r="BT46" s="3233" t="s">
        <v>2918</v>
      </c>
      <c r="BU46" s="3234"/>
    </row>
    <row r="47" spans="1:249" s="3234" customFormat="1" ht="12" hidden="1" customHeight="1">
      <c r="A47" s="3245" t="s">
        <v>3434</v>
      </c>
      <c r="B47" s="3255" t="s">
        <v>3435</v>
      </c>
      <c r="C47" s="3220" t="s">
        <v>3436</v>
      </c>
      <c r="D47" s="3220" t="s">
        <v>3437</v>
      </c>
      <c r="E47" s="3219" t="s">
        <v>650</v>
      </c>
      <c r="F47" s="3219" t="s">
        <v>3205</v>
      </c>
      <c r="G47" s="3219"/>
      <c r="H47" s="3219" t="s">
        <v>3355</v>
      </c>
      <c r="I47" s="3219"/>
      <c r="J47" s="3219" t="s">
        <v>3438</v>
      </c>
      <c r="K47" s="3255" t="s">
        <v>3435</v>
      </c>
      <c r="L47" s="3219">
        <v>48.2</v>
      </c>
      <c r="M47" s="3219">
        <v>5</v>
      </c>
      <c r="N47" s="3219" t="s">
        <v>3082</v>
      </c>
      <c r="O47" s="3219"/>
      <c r="P47" s="3219" t="s">
        <v>3023</v>
      </c>
      <c r="Q47" s="3219">
        <v>700000</v>
      </c>
      <c r="R47" s="3219">
        <v>14523</v>
      </c>
      <c r="S47" s="3223">
        <v>82.1</v>
      </c>
      <c r="T47" s="3224">
        <v>821000</v>
      </c>
      <c r="U47" s="3219">
        <v>17034</v>
      </c>
      <c r="V47" s="3225">
        <v>0.2</v>
      </c>
      <c r="W47" s="3223">
        <v>65.680000000000007</v>
      </c>
      <c r="X47" s="3226">
        <v>656800.00000000012</v>
      </c>
      <c r="Y47" s="3219">
        <v>2009</v>
      </c>
      <c r="Z47" s="3219">
        <v>9</v>
      </c>
      <c r="AA47" s="3219">
        <v>29</v>
      </c>
      <c r="AB47" s="3219">
        <v>1500</v>
      </c>
      <c r="AC47" s="3219" t="s">
        <v>2918</v>
      </c>
      <c r="AD47" s="3243">
        <v>91302009091375</v>
      </c>
      <c r="AE47" s="3219" t="s">
        <v>3025</v>
      </c>
      <c r="AF47" s="3219" t="s">
        <v>3035</v>
      </c>
      <c r="AG47" s="3162" t="s">
        <v>2919</v>
      </c>
      <c r="AH47" s="3219">
        <v>19294</v>
      </c>
      <c r="AI47" s="3219" t="s">
        <v>2920</v>
      </c>
      <c r="AJ47" s="3227"/>
      <c r="AK47" s="3241" t="s">
        <v>3151</v>
      </c>
      <c r="AL47" s="3192">
        <v>38</v>
      </c>
      <c r="AM47" s="3192" t="s">
        <v>2815</v>
      </c>
      <c r="AN47" s="3162" t="s">
        <v>3066</v>
      </c>
      <c r="AO47" s="3192"/>
      <c r="AP47" s="3192" t="s">
        <v>3053</v>
      </c>
      <c r="AQ47" s="3219" t="s">
        <v>2922</v>
      </c>
      <c r="AR47" s="3192"/>
      <c r="AS47" s="3192"/>
      <c r="AT47" s="3192"/>
      <c r="AU47" s="3192"/>
      <c r="AV47" s="3192"/>
      <c r="AW47" s="3192" t="s">
        <v>3069</v>
      </c>
      <c r="AX47" s="3192"/>
      <c r="AY47" s="3228"/>
      <c r="AZ47" s="3192" t="s">
        <v>3439</v>
      </c>
      <c r="BA47" s="3192"/>
      <c r="BB47" s="3228"/>
      <c r="BC47" s="3192"/>
      <c r="BD47" s="3229"/>
      <c r="BE47" s="3192"/>
      <c r="BF47" s="3230"/>
      <c r="BG47" s="3231">
        <v>40066</v>
      </c>
      <c r="BH47" s="3192"/>
      <c r="BI47" s="3192" t="s">
        <v>3053</v>
      </c>
      <c r="BJ47" s="3232">
        <v>40079</v>
      </c>
      <c r="BK47" s="3232"/>
      <c r="BL47" s="3219" t="s">
        <v>2923</v>
      </c>
      <c r="BM47" s="3219" t="s">
        <v>3036</v>
      </c>
      <c r="BN47" s="3219" t="s">
        <v>3056</v>
      </c>
      <c r="BO47" s="3219" t="s">
        <v>2925</v>
      </c>
      <c r="BP47" s="3192"/>
      <c r="BQ47" s="3192" t="e">
        <v>#DIV/0!</v>
      </c>
      <c r="BR47" s="3192" t="e">
        <v>#DIV/0!</v>
      </c>
      <c r="BS47" s="3233" t="s">
        <v>3057</v>
      </c>
      <c r="BT47" s="3233" t="s">
        <v>2918</v>
      </c>
    </row>
    <row r="48" spans="1:249" s="3161" customFormat="1" ht="12" hidden="1" customHeight="1">
      <c r="A48" s="3245" t="s">
        <v>3440</v>
      </c>
      <c r="B48" s="3219" t="s">
        <v>3441</v>
      </c>
      <c r="C48" s="3220" t="s">
        <v>3442</v>
      </c>
      <c r="D48" s="3219">
        <v>13501279579</v>
      </c>
      <c r="E48" s="3219" t="s">
        <v>3102</v>
      </c>
      <c r="F48" s="3219" t="s">
        <v>3443</v>
      </c>
      <c r="G48" s="3220"/>
      <c r="H48" s="3219" t="s">
        <v>3444</v>
      </c>
      <c r="I48" s="3219" t="s">
        <v>3445</v>
      </c>
      <c r="J48" s="3219" t="s">
        <v>3446</v>
      </c>
      <c r="K48" s="3219"/>
      <c r="L48" s="3219">
        <v>65.099999999999994</v>
      </c>
      <c r="M48" s="3219">
        <v>6</v>
      </c>
      <c r="N48" s="3219" t="s">
        <v>3096</v>
      </c>
      <c r="O48" s="3219"/>
      <c r="P48" s="3219" t="s">
        <v>2917</v>
      </c>
      <c r="Q48" s="3220" t="s">
        <v>3447</v>
      </c>
      <c r="R48" s="3219">
        <v>19816</v>
      </c>
      <c r="S48" s="3223">
        <v>112.68</v>
      </c>
      <c r="T48" s="3224">
        <v>1126800</v>
      </c>
      <c r="U48" s="3219">
        <v>17309</v>
      </c>
      <c r="V48" s="3225">
        <v>0.2</v>
      </c>
      <c r="W48" s="3223">
        <v>90.14</v>
      </c>
      <c r="X48" s="3226">
        <v>901400</v>
      </c>
      <c r="Y48" s="3219">
        <v>2009</v>
      </c>
      <c r="Z48" s="3219">
        <v>9</v>
      </c>
      <c r="AA48" s="3219">
        <v>17</v>
      </c>
      <c r="AB48" s="3219">
        <v>1500</v>
      </c>
      <c r="AC48" s="3219" t="s">
        <v>2918</v>
      </c>
      <c r="AD48" s="3220" t="s">
        <v>2898</v>
      </c>
      <c r="AE48" s="3219" t="s">
        <v>3448</v>
      </c>
      <c r="AF48" s="3219" t="s">
        <v>3108</v>
      </c>
      <c r="AG48" s="3219" t="s">
        <v>2919</v>
      </c>
      <c r="AH48" s="3219">
        <v>19815</v>
      </c>
      <c r="AI48" s="3219" t="s">
        <v>2920</v>
      </c>
      <c r="AJ48" s="3227" t="s">
        <v>2898</v>
      </c>
      <c r="AK48" s="3219" t="s">
        <v>3151</v>
      </c>
      <c r="AL48" s="3219">
        <v>29</v>
      </c>
      <c r="AM48" s="3219"/>
      <c r="AN48" s="3219" t="s">
        <v>3028</v>
      </c>
      <c r="AO48" s="3219" t="s">
        <v>2898</v>
      </c>
      <c r="AP48" s="3219" t="s">
        <v>3161</v>
      </c>
      <c r="AQ48" s="3219" t="s">
        <v>2922</v>
      </c>
      <c r="AR48" s="3219"/>
      <c r="AS48" s="3219"/>
      <c r="AT48" s="3219"/>
      <c r="AU48" s="3219"/>
      <c r="AV48" s="3219"/>
      <c r="AW48" s="3219" t="s">
        <v>3200</v>
      </c>
      <c r="AX48" s="3219"/>
      <c r="AY48" s="3279"/>
      <c r="AZ48" s="3219" t="s">
        <v>3449</v>
      </c>
      <c r="BA48" s="3219"/>
      <c r="BB48" s="3219"/>
      <c r="BC48" s="3219"/>
      <c r="BD48" s="3219"/>
      <c r="BE48" s="3219" t="s">
        <v>2898</v>
      </c>
      <c r="BF48" s="3219"/>
      <c r="BG48" s="3227" t="s">
        <v>2898</v>
      </c>
      <c r="BH48" s="3219"/>
      <c r="BI48" s="3219" t="s">
        <v>3161</v>
      </c>
      <c r="BJ48" s="3238" t="s">
        <v>2898</v>
      </c>
      <c r="BK48" s="3238"/>
      <c r="BL48" s="3219" t="s">
        <v>2923</v>
      </c>
      <c r="BM48" s="3219" t="s">
        <v>2883</v>
      </c>
      <c r="BN48" s="3219" t="s">
        <v>3056</v>
      </c>
      <c r="BO48" s="3219" t="s">
        <v>2925</v>
      </c>
      <c r="BP48" s="3219"/>
      <c r="BQ48" s="3192" t="e">
        <v>#DIV/0!</v>
      </c>
      <c r="BR48" s="3192" t="e">
        <v>#DIV/0!</v>
      </c>
      <c r="BS48" s="3233" t="s">
        <v>3164</v>
      </c>
      <c r="BT48" s="3233" t="s">
        <v>2918</v>
      </c>
      <c r="BU48" s="3234"/>
    </row>
    <row r="49" spans="1:74" s="3161" customFormat="1" ht="12" hidden="1" customHeight="1">
      <c r="A49" s="3245" t="s">
        <v>3450</v>
      </c>
      <c r="B49" s="3219" t="s">
        <v>3451</v>
      </c>
      <c r="C49" s="3220" t="s">
        <v>3452</v>
      </c>
      <c r="D49" s="3220" t="s">
        <v>3453</v>
      </c>
      <c r="E49" s="3245" t="s">
        <v>650</v>
      </c>
      <c r="F49" s="3245" t="s">
        <v>3233</v>
      </c>
      <c r="G49" s="3219"/>
      <c r="H49" s="3219" t="s">
        <v>3091</v>
      </c>
      <c r="I49" s="3219"/>
      <c r="J49" s="3220" t="s">
        <v>3454</v>
      </c>
      <c r="K49" s="3219" t="s">
        <v>3455</v>
      </c>
      <c r="L49" s="3219">
        <v>43</v>
      </c>
      <c r="M49" s="3220" t="s">
        <v>24</v>
      </c>
      <c r="N49" s="3219" t="s">
        <v>3082</v>
      </c>
      <c r="O49" s="3219"/>
      <c r="P49" s="3219" t="s">
        <v>3023</v>
      </c>
      <c r="Q49" s="3251">
        <v>840000</v>
      </c>
      <c r="R49" s="3219">
        <v>19535</v>
      </c>
      <c r="S49" s="3223">
        <v>75.08</v>
      </c>
      <c r="T49" s="3224">
        <v>750800</v>
      </c>
      <c r="U49" s="3219">
        <v>17462</v>
      </c>
      <c r="V49" s="3225">
        <v>0.2</v>
      </c>
      <c r="W49" s="3223">
        <v>60.06</v>
      </c>
      <c r="X49" s="3226">
        <v>600600</v>
      </c>
      <c r="Y49" s="3219">
        <v>2009</v>
      </c>
      <c r="Z49" s="3192">
        <v>9</v>
      </c>
      <c r="AA49" s="3192">
        <v>25</v>
      </c>
      <c r="AB49" s="3219">
        <v>1500</v>
      </c>
      <c r="AC49" s="3219" t="s">
        <v>2918</v>
      </c>
      <c r="AD49" s="3220"/>
      <c r="AE49" s="3219" t="s">
        <v>3025</v>
      </c>
      <c r="AF49" s="3219" t="s">
        <v>3035</v>
      </c>
      <c r="AG49" s="3162" t="s">
        <v>2919</v>
      </c>
      <c r="AH49" s="3219">
        <v>19534</v>
      </c>
      <c r="AI49" s="3162" t="s">
        <v>3051</v>
      </c>
      <c r="AJ49" s="3227"/>
      <c r="AK49" s="3237" t="s">
        <v>3151</v>
      </c>
      <c r="AL49" s="3192">
        <v>31</v>
      </c>
      <c r="AM49" s="3219"/>
      <c r="AN49" s="3192" t="s">
        <v>3130</v>
      </c>
      <c r="AO49" s="3219"/>
      <c r="AP49" s="3219" t="s">
        <v>3245</v>
      </c>
      <c r="AQ49" s="3219" t="s">
        <v>2922</v>
      </c>
      <c r="AR49" s="3219"/>
      <c r="AS49" s="3219"/>
      <c r="AT49" s="3219"/>
      <c r="AU49" s="3192"/>
      <c r="AV49" s="3192" t="s">
        <v>2898</v>
      </c>
      <c r="AW49" s="3192" t="s">
        <v>3069</v>
      </c>
      <c r="AX49" s="3192"/>
      <c r="AY49" s="3228"/>
      <c r="AZ49" s="3237" t="s">
        <v>3455</v>
      </c>
      <c r="BA49" s="3192"/>
      <c r="BB49" s="3228"/>
      <c r="BC49" s="3192"/>
      <c r="BD49" s="3229"/>
      <c r="BE49" s="3192"/>
      <c r="BF49" s="3230"/>
      <c r="BG49" s="3231"/>
      <c r="BH49" s="3219"/>
      <c r="BI49" s="3192" t="s">
        <v>3245</v>
      </c>
      <c r="BJ49" s="3239"/>
      <c r="BK49" s="3232"/>
      <c r="BL49" s="3192" t="s">
        <v>3035</v>
      </c>
      <c r="BM49" s="3219" t="s">
        <v>3036</v>
      </c>
      <c r="BN49" s="3219" t="s">
        <v>3056</v>
      </c>
      <c r="BO49" s="3219" t="s">
        <v>3072</v>
      </c>
      <c r="BP49" s="3192"/>
      <c r="BQ49" s="3192" t="e">
        <v>#DIV/0!</v>
      </c>
      <c r="BR49" s="3192" t="e">
        <v>#DIV/0!</v>
      </c>
      <c r="BS49" s="3233" t="s">
        <v>3246</v>
      </c>
      <c r="BT49" s="3233" t="s">
        <v>2918</v>
      </c>
      <c r="BU49" s="3234"/>
    </row>
    <row r="50" spans="1:74" s="3161" customFormat="1" ht="12" hidden="1" customHeight="1">
      <c r="A50" s="3245" t="s">
        <v>3456</v>
      </c>
      <c r="B50" s="3219" t="s">
        <v>3457</v>
      </c>
      <c r="C50" s="3240" t="s">
        <v>3458</v>
      </c>
      <c r="D50" s="3240" t="s">
        <v>3459</v>
      </c>
      <c r="E50" s="3219" t="s">
        <v>650</v>
      </c>
      <c r="F50" s="3219" t="s">
        <v>3077</v>
      </c>
      <c r="G50" s="3219"/>
      <c r="H50" s="3219" t="s">
        <v>3460</v>
      </c>
      <c r="I50" s="3219" t="s">
        <v>3116</v>
      </c>
      <c r="J50" s="3219" t="s">
        <v>3198</v>
      </c>
      <c r="K50" s="3219" t="s">
        <v>3461</v>
      </c>
      <c r="L50" s="3219">
        <v>62.1</v>
      </c>
      <c r="M50" s="3219">
        <v>4</v>
      </c>
      <c r="N50" s="3219" t="s">
        <v>3261</v>
      </c>
      <c r="O50" s="3219"/>
      <c r="P50" s="3219" t="s">
        <v>3023</v>
      </c>
      <c r="Q50" s="3222">
        <v>970000</v>
      </c>
      <c r="R50" s="3219">
        <v>15620</v>
      </c>
      <c r="S50" s="3223">
        <v>107.17</v>
      </c>
      <c r="T50" s="3224">
        <v>1071700</v>
      </c>
      <c r="U50" s="3219">
        <v>17258</v>
      </c>
      <c r="V50" s="3225">
        <v>0.2</v>
      </c>
      <c r="W50" s="3223">
        <v>85.73</v>
      </c>
      <c r="X50" s="3226">
        <v>857300</v>
      </c>
      <c r="Y50" s="3192">
        <v>2009</v>
      </c>
      <c r="Z50" s="3192">
        <v>9</v>
      </c>
      <c r="AA50" s="3219">
        <v>29</v>
      </c>
      <c r="AB50" s="3219">
        <v>1500</v>
      </c>
      <c r="AC50" s="3219" t="s">
        <v>3049</v>
      </c>
      <c r="AD50" s="3240"/>
      <c r="AE50" s="3219" t="s">
        <v>3025</v>
      </c>
      <c r="AF50" s="3219" t="s">
        <v>2923</v>
      </c>
      <c r="AG50" s="3219" t="s">
        <v>2919</v>
      </c>
      <c r="AH50" s="3219">
        <v>21417</v>
      </c>
      <c r="AI50" s="3219" t="s">
        <v>2920</v>
      </c>
      <c r="AJ50" s="3227"/>
      <c r="AK50" s="3241" t="s">
        <v>3151</v>
      </c>
      <c r="AL50" s="3219">
        <v>22</v>
      </c>
      <c r="AM50" s="3219"/>
      <c r="AN50" s="3162" t="s">
        <v>3066</v>
      </c>
      <c r="AO50" s="3219"/>
      <c r="AP50" s="3219" t="s">
        <v>3068</v>
      </c>
      <c r="AQ50" s="3219" t="s">
        <v>2922</v>
      </c>
      <c r="AR50" s="3219"/>
      <c r="AS50" s="3219"/>
      <c r="AT50" s="3219"/>
      <c r="AU50" s="3219"/>
      <c r="AV50" s="3219"/>
      <c r="AW50" s="3219"/>
      <c r="AX50" s="3219"/>
      <c r="AY50" s="3220"/>
      <c r="AZ50" s="3219" t="s">
        <v>3461</v>
      </c>
      <c r="BA50" s="3219"/>
      <c r="BB50" s="3220" t="s">
        <v>2898</v>
      </c>
      <c r="BC50" s="3219" t="s">
        <v>2898</v>
      </c>
      <c r="BD50" s="3243"/>
      <c r="BE50" s="3219"/>
      <c r="BF50" s="3244"/>
      <c r="BG50" s="3227"/>
      <c r="BH50" s="3219"/>
      <c r="BI50" s="3192" t="s">
        <v>3073</v>
      </c>
      <c r="BJ50" s="3232"/>
      <c r="BK50" s="3227"/>
      <c r="BL50" s="3192" t="s">
        <v>3035</v>
      </c>
      <c r="BM50" s="3192" t="s">
        <v>3036</v>
      </c>
      <c r="BN50" s="3192" t="s">
        <v>3056</v>
      </c>
      <c r="BO50" s="3219" t="s">
        <v>3072</v>
      </c>
      <c r="BP50" s="3219"/>
      <c r="BQ50" s="3192" t="e">
        <v>#DIV/0!</v>
      </c>
      <c r="BR50" s="3192" t="e">
        <v>#DIV/0!</v>
      </c>
      <c r="BS50" s="3233" t="s">
        <v>3073</v>
      </c>
      <c r="BT50" s="3233" t="s">
        <v>2918</v>
      </c>
      <c r="BU50" s="3234"/>
      <c r="BV50" s="3278"/>
    </row>
    <row r="51" spans="1:74" s="3161" customFormat="1" ht="12" customHeight="1">
      <c r="A51" s="3219" t="s">
        <v>3462</v>
      </c>
      <c r="B51" s="3219" t="s">
        <v>3463</v>
      </c>
      <c r="C51" s="3220" t="s">
        <v>3464</v>
      </c>
      <c r="D51" s="3220" t="s">
        <v>3465</v>
      </c>
      <c r="E51" s="3245" t="s">
        <v>650</v>
      </c>
      <c r="F51" s="3245" t="s">
        <v>3466</v>
      </c>
      <c r="G51" s="3219"/>
      <c r="H51" s="3219" t="s">
        <v>3467</v>
      </c>
      <c r="I51" s="3245" t="s">
        <v>3427</v>
      </c>
      <c r="J51" s="3219" t="s">
        <v>3198</v>
      </c>
      <c r="K51" s="3245" t="s">
        <v>3468</v>
      </c>
      <c r="L51" s="3219">
        <v>60.7</v>
      </c>
      <c r="M51" s="3219">
        <v>4</v>
      </c>
      <c r="N51" s="3219" t="s">
        <v>3391</v>
      </c>
      <c r="O51" s="3219"/>
      <c r="P51" s="3219" t="s">
        <v>3023</v>
      </c>
      <c r="Q51" s="3222">
        <v>960000</v>
      </c>
      <c r="R51" s="3219">
        <v>15815</v>
      </c>
      <c r="S51" s="3223">
        <v>75.98</v>
      </c>
      <c r="T51" s="3224">
        <v>759800</v>
      </c>
      <c r="U51" s="3219">
        <v>12518</v>
      </c>
      <c r="V51" s="3225">
        <v>0.2</v>
      </c>
      <c r="W51" s="3223">
        <v>60.78</v>
      </c>
      <c r="X51" s="3226">
        <v>607800</v>
      </c>
      <c r="Y51" s="3219">
        <v>2009</v>
      </c>
      <c r="Z51" s="3192">
        <v>2</v>
      </c>
      <c r="AA51" s="3192">
        <v>17</v>
      </c>
      <c r="AB51" s="3219">
        <v>1500</v>
      </c>
      <c r="AC51" s="3219" t="s">
        <v>3024</v>
      </c>
      <c r="AD51" s="3220"/>
      <c r="AE51" s="3252" t="s">
        <v>3025</v>
      </c>
      <c r="AF51" s="3219" t="s">
        <v>3035</v>
      </c>
      <c r="AG51" s="3162" t="s">
        <v>2919</v>
      </c>
      <c r="AH51" s="3219"/>
      <c r="AI51" s="3162" t="s">
        <v>3051</v>
      </c>
      <c r="AJ51" s="3227"/>
      <c r="AK51" s="3237" t="s">
        <v>3121</v>
      </c>
      <c r="AL51" s="3192">
        <v>26</v>
      </c>
      <c r="AM51" s="3192" t="s">
        <v>3469</v>
      </c>
      <c r="AN51" s="3162" t="s">
        <v>3028</v>
      </c>
      <c r="AO51" s="3219"/>
      <c r="AP51" s="3162" t="s">
        <v>3051</v>
      </c>
      <c r="AQ51" s="3162" t="s">
        <v>3032</v>
      </c>
      <c r="AR51" s="3192">
        <v>2009</v>
      </c>
      <c r="AS51" s="3192">
        <v>2</v>
      </c>
      <c r="AT51" s="3192">
        <v>17</v>
      </c>
      <c r="AU51" s="3192"/>
      <c r="AV51" s="3192"/>
      <c r="AW51" s="3192" t="s">
        <v>3033</v>
      </c>
      <c r="AX51" s="3192"/>
      <c r="AY51" s="3228"/>
      <c r="AZ51" s="3219" t="s">
        <v>3468</v>
      </c>
      <c r="BA51" s="3248"/>
      <c r="BB51" s="3249"/>
      <c r="BC51" s="3248"/>
      <c r="BD51" s="3250"/>
      <c r="BE51" s="3192"/>
      <c r="BF51" s="3230"/>
      <c r="BG51" s="3239">
        <v>39834</v>
      </c>
      <c r="BH51" s="3280"/>
      <c r="BI51" s="3219" t="s">
        <v>3051</v>
      </c>
      <c r="BJ51" s="3232"/>
      <c r="BK51" s="3232"/>
      <c r="BL51" s="3219" t="s">
        <v>3035</v>
      </c>
      <c r="BM51" s="3192"/>
      <c r="BN51" s="3192"/>
      <c r="BO51" s="3192"/>
      <c r="BP51" s="3192"/>
      <c r="BQ51" s="3192" t="e">
        <v>#DIV/0!</v>
      </c>
      <c r="BR51" s="3192" t="e">
        <v>#DIV/0!</v>
      </c>
      <c r="BS51" s="3233" t="s">
        <v>2920</v>
      </c>
      <c r="BT51" s="3233" t="s">
        <v>3040</v>
      </c>
      <c r="BU51" s="3234"/>
    </row>
    <row r="52" spans="1:74" s="3234" customFormat="1" ht="12" customHeight="1">
      <c r="A52" s="3219" t="s">
        <v>3470</v>
      </c>
      <c r="B52" s="3219" t="s">
        <v>3471</v>
      </c>
      <c r="C52" s="3220" t="s">
        <v>3472</v>
      </c>
      <c r="D52" s="3220" t="s">
        <v>3473</v>
      </c>
      <c r="E52" s="3221" t="s">
        <v>650</v>
      </c>
      <c r="F52" s="3221" t="s">
        <v>3466</v>
      </c>
      <c r="G52" s="3219"/>
      <c r="H52" s="3219" t="s">
        <v>3474</v>
      </c>
      <c r="I52" s="3219" t="s">
        <v>3475</v>
      </c>
      <c r="J52" s="3220" t="s">
        <v>3234</v>
      </c>
      <c r="K52" s="3219" t="s">
        <v>3476</v>
      </c>
      <c r="L52" s="3219">
        <v>61.3</v>
      </c>
      <c r="M52" s="3219" t="s">
        <v>3028</v>
      </c>
      <c r="N52" s="3219" t="s">
        <v>3022</v>
      </c>
      <c r="O52" s="3219"/>
      <c r="P52" s="3219" t="s">
        <v>3023</v>
      </c>
      <c r="Q52" s="3222">
        <v>500000</v>
      </c>
      <c r="R52" s="3219">
        <v>8157</v>
      </c>
      <c r="S52" s="3223">
        <v>76.62</v>
      </c>
      <c r="T52" s="3224">
        <v>766200</v>
      </c>
      <c r="U52" s="3219">
        <v>12500</v>
      </c>
      <c r="V52" s="3225">
        <v>0.2</v>
      </c>
      <c r="W52" s="3223">
        <v>61.29</v>
      </c>
      <c r="X52" s="3226">
        <v>612900</v>
      </c>
      <c r="Y52" s="3192">
        <v>2009</v>
      </c>
      <c r="Z52" s="3192">
        <v>3</v>
      </c>
      <c r="AA52" s="3192">
        <v>2</v>
      </c>
      <c r="AB52" s="3219">
        <v>1500</v>
      </c>
      <c r="AC52" s="3219" t="s">
        <v>3024</v>
      </c>
      <c r="AD52" s="3220"/>
      <c r="AE52" s="3162" t="s">
        <v>3050</v>
      </c>
      <c r="AF52" s="3219" t="s">
        <v>3026</v>
      </c>
      <c r="AG52" s="3219" t="s">
        <v>2919</v>
      </c>
      <c r="AH52" s="3219"/>
      <c r="AI52" s="3219" t="s">
        <v>3051</v>
      </c>
      <c r="AJ52" s="3227"/>
      <c r="AK52" s="3241" t="s">
        <v>3028</v>
      </c>
      <c r="AL52" s="3192">
        <v>25</v>
      </c>
      <c r="AM52" s="3192" t="s">
        <v>3477</v>
      </c>
      <c r="AN52" s="3219" t="s">
        <v>3030</v>
      </c>
      <c r="AO52" s="3192"/>
      <c r="AP52" s="3219" t="s">
        <v>3053</v>
      </c>
      <c r="AQ52" s="3219" t="s">
        <v>3032</v>
      </c>
      <c r="AR52" s="3192">
        <v>2009</v>
      </c>
      <c r="AS52" s="3192">
        <v>3</v>
      </c>
      <c r="AT52" s="3192">
        <v>2</v>
      </c>
      <c r="AU52" s="3192"/>
      <c r="AV52" s="3192"/>
      <c r="AW52" s="3192" t="s">
        <v>3069</v>
      </c>
      <c r="AX52" s="3192"/>
      <c r="AY52" s="3228"/>
      <c r="AZ52" s="3192" t="s">
        <v>3476</v>
      </c>
      <c r="BA52" s="3192"/>
      <c r="BB52" s="3228"/>
      <c r="BC52" s="3192"/>
      <c r="BD52" s="3229"/>
      <c r="BE52" s="3192"/>
      <c r="BF52" s="3230"/>
      <c r="BG52" s="3231">
        <v>39869</v>
      </c>
      <c r="BH52" s="3192"/>
      <c r="BI52" s="3192" t="s">
        <v>3053</v>
      </c>
      <c r="BJ52" s="3232"/>
      <c r="BK52" s="3232"/>
      <c r="BL52" s="3219" t="s">
        <v>3035</v>
      </c>
      <c r="BM52" s="3192" t="s">
        <v>3036</v>
      </c>
      <c r="BN52" s="3192" t="s">
        <v>3056</v>
      </c>
      <c r="BO52" s="3192" t="s">
        <v>3072</v>
      </c>
      <c r="BP52" s="3192"/>
      <c r="BQ52" s="3192" t="e">
        <v>#DIV/0!</v>
      </c>
      <c r="BR52" s="3192" t="e">
        <v>#DIV/0!</v>
      </c>
      <c r="BS52" s="3233" t="s">
        <v>3057</v>
      </c>
      <c r="BT52" s="3233" t="s">
        <v>3040</v>
      </c>
      <c r="BV52" s="3161"/>
    </row>
    <row r="53" spans="1:74" s="3234" customFormat="1" ht="12" customHeight="1">
      <c r="A53" s="3219" t="s">
        <v>3478</v>
      </c>
      <c r="B53" s="3219" t="s">
        <v>3479</v>
      </c>
      <c r="C53" s="3220" t="s">
        <v>3480</v>
      </c>
      <c r="D53" s="3220" t="s">
        <v>3481</v>
      </c>
      <c r="E53" s="3219" t="s">
        <v>650</v>
      </c>
      <c r="F53" s="3221" t="s">
        <v>3466</v>
      </c>
      <c r="G53" s="3219"/>
      <c r="H53" s="3219" t="s">
        <v>3460</v>
      </c>
      <c r="I53" s="3219"/>
      <c r="J53" s="3220" t="s">
        <v>3482</v>
      </c>
      <c r="K53" s="3219" t="s">
        <v>3483</v>
      </c>
      <c r="L53" s="3219">
        <v>74.099999999999994</v>
      </c>
      <c r="M53" s="3219" t="s">
        <v>3097</v>
      </c>
      <c r="N53" s="3219" t="s">
        <v>3022</v>
      </c>
      <c r="O53" s="3219"/>
      <c r="P53" s="3219" t="s">
        <v>3023</v>
      </c>
      <c r="Q53" s="3222">
        <v>970000</v>
      </c>
      <c r="R53" s="3219">
        <v>13090</v>
      </c>
      <c r="S53" s="3223">
        <v>85.21</v>
      </c>
      <c r="T53" s="3224">
        <v>852099.99999999988</v>
      </c>
      <c r="U53" s="3219">
        <v>11500</v>
      </c>
      <c r="V53" s="3225">
        <v>0.2</v>
      </c>
      <c r="W53" s="3223">
        <v>68.16</v>
      </c>
      <c r="X53" s="3226">
        <v>681600</v>
      </c>
      <c r="Y53" s="3192">
        <v>2009</v>
      </c>
      <c r="Z53" s="3192">
        <v>3</v>
      </c>
      <c r="AA53" s="3192">
        <v>19</v>
      </c>
      <c r="AB53" s="3219">
        <v>1500</v>
      </c>
      <c r="AC53" s="3219" t="s">
        <v>3024</v>
      </c>
      <c r="AD53" s="3219"/>
      <c r="AE53" s="3192" t="s">
        <v>3150</v>
      </c>
      <c r="AF53" s="3219" t="s">
        <v>3026</v>
      </c>
      <c r="AG53" s="3219" t="s">
        <v>2919</v>
      </c>
      <c r="AH53" s="3219"/>
      <c r="AI53" s="3162" t="s">
        <v>3051</v>
      </c>
      <c r="AJ53" s="3227"/>
      <c r="AK53" s="3241" t="s">
        <v>3028</v>
      </c>
      <c r="AL53" s="3192">
        <v>39</v>
      </c>
      <c r="AM53" s="3219" t="s">
        <v>3484</v>
      </c>
      <c r="AN53" s="3162" t="s">
        <v>3028</v>
      </c>
      <c r="AO53" s="3192"/>
      <c r="AP53" s="3219" t="s">
        <v>3053</v>
      </c>
      <c r="AQ53" s="3219" t="s">
        <v>3032</v>
      </c>
      <c r="AR53" s="3192">
        <v>2009</v>
      </c>
      <c r="AS53" s="3192">
        <v>3</v>
      </c>
      <c r="AT53" s="3192">
        <v>19</v>
      </c>
      <c r="AU53" s="3192"/>
      <c r="AV53" s="3192"/>
      <c r="AW53" s="3192" t="s">
        <v>3069</v>
      </c>
      <c r="AX53" s="3192"/>
      <c r="AY53" s="3228"/>
      <c r="AZ53" s="3192" t="s">
        <v>3483</v>
      </c>
      <c r="BA53" s="3192"/>
      <c r="BB53" s="3228"/>
      <c r="BC53" s="3192"/>
      <c r="BD53" s="3229"/>
      <c r="BE53" s="3192"/>
      <c r="BF53" s="3230"/>
      <c r="BG53" s="3231">
        <v>39890</v>
      </c>
      <c r="BH53" s="3192"/>
      <c r="BI53" s="3192" t="s">
        <v>3053</v>
      </c>
      <c r="BJ53" s="3232"/>
      <c r="BK53" s="3232"/>
      <c r="BL53" s="3219" t="s">
        <v>3035</v>
      </c>
      <c r="BM53" s="3192" t="s">
        <v>3036</v>
      </c>
      <c r="BN53" s="3192" t="s">
        <v>3056</v>
      </c>
      <c r="BO53" s="3192" t="s">
        <v>3072</v>
      </c>
      <c r="BP53" s="3192"/>
      <c r="BQ53" s="3192" t="e">
        <v>#DIV/0!</v>
      </c>
      <c r="BR53" s="3192" t="e">
        <v>#DIV/0!</v>
      </c>
      <c r="BS53" s="3233" t="s">
        <v>3057</v>
      </c>
      <c r="BT53" s="3233" t="s">
        <v>3040</v>
      </c>
      <c r="BV53" s="3161"/>
    </row>
    <row r="54" spans="1:74" s="3217" customFormat="1" ht="12" customHeight="1">
      <c r="A54" s="3213" t="s">
        <v>3485</v>
      </c>
      <c r="B54" s="3204" t="s">
        <v>3486</v>
      </c>
      <c r="C54" s="3210" t="s">
        <v>3487</v>
      </c>
      <c r="D54" s="3204">
        <v>15811329178</v>
      </c>
      <c r="E54" s="3204" t="s">
        <v>3102</v>
      </c>
      <c r="F54" s="3204" t="s">
        <v>3488</v>
      </c>
      <c r="G54" s="3204"/>
      <c r="H54" s="3204" t="s">
        <v>3126</v>
      </c>
      <c r="I54" s="3204"/>
      <c r="J54" s="3204" t="s">
        <v>3489</v>
      </c>
      <c r="K54" s="3204" t="s">
        <v>3191</v>
      </c>
      <c r="L54" s="3204">
        <v>63.2</v>
      </c>
      <c r="M54" s="3204">
        <v>9</v>
      </c>
      <c r="N54" s="3204" t="s">
        <v>3096</v>
      </c>
      <c r="O54" s="3204"/>
      <c r="P54" s="3204" t="s">
        <v>2917</v>
      </c>
      <c r="Q54" s="3204">
        <v>930000</v>
      </c>
      <c r="R54" s="3204">
        <v>14715</v>
      </c>
      <c r="S54" s="3205">
        <v>107.28</v>
      </c>
      <c r="T54" s="3206">
        <v>1072800</v>
      </c>
      <c r="U54" s="3204">
        <v>16975</v>
      </c>
      <c r="V54" s="3207">
        <v>0.2</v>
      </c>
      <c r="W54" s="3205">
        <v>85.82</v>
      </c>
      <c r="X54" s="3208">
        <v>858199.99999999988</v>
      </c>
      <c r="Y54" s="3204">
        <v>2009</v>
      </c>
      <c r="Z54" s="3204">
        <v>9</v>
      </c>
      <c r="AA54" s="3204">
        <v>14</v>
      </c>
      <c r="AB54" s="3204">
        <v>1500</v>
      </c>
      <c r="AC54" s="3204" t="s">
        <v>3040</v>
      </c>
      <c r="AD54" s="3210"/>
      <c r="AE54" s="3204" t="s">
        <v>3490</v>
      </c>
      <c r="AF54" s="3204" t="s">
        <v>3108</v>
      </c>
      <c r="AG54" s="3204" t="s">
        <v>2919</v>
      </c>
      <c r="AH54" s="3204"/>
      <c r="AI54" s="3204" t="s">
        <v>2920</v>
      </c>
      <c r="AJ54" s="3204"/>
      <c r="AK54" s="3353" t="s">
        <v>3151</v>
      </c>
      <c r="AL54" s="3204">
        <v>39</v>
      </c>
      <c r="AM54" s="3204"/>
      <c r="AN54" s="3203" t="s">
        <v>3028</v>
      </c>
      <c r="AO54" s="3204"/>
      <c r="AP54" s="3204" t="s">
        <v>3053</v>
      </c>
      <c r="AQ54" s="3204" t="s">
        <v>2922</v>
      </c>
      <c r="AR54" s="3204"/>
      <c r="AS54" s="3204"/>
      <c r="AT54" s="3204"/>
      <c r="AU54" s="3204"/>
      <c r="AV54" s="3204"/>
      <c r="AW54" s="3215" t="s">
        <v>3069</v>
      </c>
      <c r="AX54" s="3204"/>
      <c r="AY54" s="3210"/>
      <c r="AZ54" s="3204" t="s">
        <v>3191</v>
      </c>
      <c r="BA54" s="3204"/>
      <c r="BB54" s="3210"/>
      <c r="BC54" s="3204"/>
      <c r="BD54" s="3211"/>
      <c r="BE54" s="3204"/>
      <c r="BF54" s="3212"/>
      <c r="BG54" s="3209">
        <v>40064</v>
      </c>
      <c r="BH54" s="3204"/>
      <c r="BI54" s="3204" t="s">
        <v>3053</v>
      </c>
      <c r="BJ54" s="3214"/>
      <c r="BK54" s="3214"/>
      <c r="BL54" s="3204" t="s">
        <v>2923</v>
      </c>
      <c r="BM54" s="3204" t="s">
        <v>2883</v>
      </c>
      <c r="BN54" s="3204" t="s">
        <v>2924</v>
      </c>
      <c r="BO54" s="3204" t="s">
        <v>2925</v>
      </c>
      <c r="BP54" s="3204"/>
      <c r="BQ54" s="3215" t="e">
        <v>#DIV/0!</v>
      </c>
      <c r="BR54" s="3215" t="e">
        <v>#DIV/0!</v>
      </c>
      <c r="BS54" s="3216" t="s">
        <v>3057</v>
      </c>
      <c r="BT54" s="3216" t="s">
        <v>3040</v>
      </c>
      <c r="BU54" s="3354"/>
    </row>
    <row r="55" spans="1:74" s="3234" customFormat="1" ht="12" hidden="1" customHeight="1">
      <c r="A55" s="3219" t="s">
        <v>3491</v>
      </c>
      <c r="B55" s="3219" t="s">
        <v>3492</v>
      </c>
      <c r="C55" s="3220" t="s">
        <v>3493</v>
      </c>
      <c r="D55" s="3220" t="s">
        <v>3494</v>
      </c>
      <c r="E55" s="3219" t="s">
        <v>650</v>
      </c>
      <c r="F55" s="3221" t="s">
        <v>3466</v>
      </c>
      <c r="G55" s="3219"/>
      <c r="H55" s="3219" t="s">
        <v>3169</v>
      </c>
      <c r="I55" s="3219"/>
      <c r="J55" s="3220" t="s">
        <v>3495</v>
      </c>
      <c r="K55" s="3219" t="s">
        <v>3496</v>
      </c>
      <c r="L55" s="3219">
        <v>50.93</v>
      </c>
      <c r="M55" s="3219">
        <v>17</v>
      </c>
      <c r="N55" s="3219" t="s">
        <v>3082</v>
      </c>
      <c r="O55" s="3219"/>
      <c r="P55" s="3219" t="s">
        <v>3023</v>
      </c>
      <c r="Q55" s="3222">
        <v>650000</v>
      </c>
      <c r="R55" s="3219">
        <v>12763</v>
      </c>
      <c r="S55" s="3223">
        <v>67.36</v>
      </c>
      <c r="T55" s="3224">
        <v>673600</v>
      </c>
      <c r="U55" s="3219">
        <v>13226</v>
      </c>
      <c r="V55" s="3225">
        <v>0.2</v>
      </c>
      <c r="W55" s="3223">
        <v>53.88</v>
      </c>
      <c r="X55" s="3226">
        <v>538800</v>
      </c>
      <c r="Y55" s="3192">
        <v>2009</v>
      </c>
      <c r="Z55" s="3192">
        <v>4</v>
      </c>
      <c r="AA55" s="3192">
        <v>10</v>
      </c>
      <c r="AB55" s="3219">
        <v>1500</v>
      </c>
      <c r="AC55" s="3219" t="s">
        <v>3049</v>
      </c>
      <c r="AD55" s="3219"/>
      <c r="AE55" s="3192" t="s">
        <v>3150</v>
      </c>
      <c r="AF55" s="3219" t="s">
        <v>3026</v>
      </c>
      <c r="AG55" s="3219" t="s">
        <v>2919</v>
      </c>
      <c r="AH55" s="3219"/>
      <c r="AI55" s="3219" t="s">
        <v>3051</v>
      </c>
      <c r="AJ55" s="3227"/>
      <c r="AK55" s="3241" t="s">
        <v>3130</v>
      </c>
      <c r="AL55" s="3192">
        <v>40</v>
      </c>
      <c r="AM55" s="3192"/>
      <c r="AN55" s="3219" t="s">
        <v>3030</v>
      </c>
      <c r="AO55" s="3192"/>
      <c r="AP55" s="3245" t="s">
        <v>3053</v>
      </c>
      <c r="AQ55" s="3219" t="s">
        <v>2922</v>
      </c>
      <c r="AR55" s="3192"/>
      <c r="AS55" s="3192"/>
      <c r="AT55" s="3192"/>
      <c r="AU55" s="3192"/>
      <c r="AV55" s="3192"/>
      <c r="AW55" s="3192"/>
      <c r="AX55" s="3192"/>
      <c r="AY55" s="3228"/>
      <c r="AZ55" s="3192" t="s">
        <v>3496</v>
      </c>
      <c r="BA55" s="3192"/>
      <c r="BB55" s="3228"/>
      <c r="BC55" s="3192"/>
      <c r="BD55" s="3229"/>
      <c r="BE55" s="3192"/>
      <c r="BF55" s="3230"/>
      <c r="BG55" s="3231"/>
      <c r="BH55" s="3192"/>
      <c r="BI55" s="3248" t="s">
        <v>3053</v>
      </c>
      <c r="BJ55" s="3232"/>
      <c r="BK55" s="3232"/>
      <c r="BL55" s="3219" t="s">
        <v>3035</v>
      </c>
      <c r="BM55" s="3192" t="s">
        <v>3036</v>
      </c>
      <c r="BN55" s="3192" t="s">
        <v>3056</v>
      </c>
      <c r="BO55" s="3192" t="s">
        <v>3072</v>
      </c>
      <c r="BP55" s="3192"/>
      <c r="BQ55" s="3192" t="e">
        <v>#DIV/0!</v>
      </c>
      <c r="BR55" s="3192" t="e">
        <v>#DIV/0!</v>
      </c>
      <c r="BS55" s="3233" t="s">
        <v>3057</v>
      </c>
      <c r="BT55" s="3233" t="s">
        <v>2918</v>
      </c>
    </row>
    <row r="56" spans="1:74" s="3161" customFormat="1" ht="12" hidden="1" customHeight="1">
      <c r="A56" s="3219" t="s">
        <v>3497</v>
      </c>
      <c r="B56" s="3219" t="s">
        <v>3498</v>
      </c>
      <c r="C56" s="3220" t="s">
        <v>3499</v>
      </c>
      <c r="D56" s="3220" t="s">
        <v>3500</v>
      </c>
      <c r="E56" s="3219" t="s">
        <v>650</v>
      </c>
      <c r="F56" s="3245" t="s">
        <v>3466</v>
      </c>
      <c r="G56" s="3219"/>
      <c r="H56" s="3219" t="s">
        <v>3501</v>
      </c>
      <c r="I56" s="3245" t="s">
        <v>3502</v>
      </c>
      <c r="J56" s="3219" t="s">
        <v>3503</v>
      </c>
      <c r="K56" s="3219" t="s">
        <v>3504</v>
      </c>
      <c r="L56" s="3271">
        <v>73.400000000000006</v>
      </c>
      <c r="M56" s="3219">
        <v>3</v>
      </c>
      <c r="N56" s="3219" t="s">
        <v>3261</v>
      </c>
      <c r="O56" s="3244"/>
      <c r="P56" s="3219" t="s">
        <v>3023</v>
      </c>
      <c r="Q56" s="3222">
        <v>750000</v>
      </c>
      <c r="R56" s="3219">
        <v>10218</v>
      </c>
      <c r="S56" s="3223">
        <v>92.71</v>
      </c>
      <c r="T56" s="3224">
        <v>927099.99999999988</v>
      </c>
      <c r="U56" s="3219">
        <v>12631</v>
      </c>
      <c r="V56" s="3225">
        <v>0.2</v>
      </c>
      <c r="W56" s="3223">
        <v>74.16</v>
      </c>
      <c r="X56" s="3226">
        <v>741600</v>
      </c>
      <c r="Y56" s="3192">
        <v>2009</v>
      </c>
      <c r="Z56" s="3192">
        <v>4</v>
      </c>
      <c r="AA56" s="3219">
        <v>20</v>
      </c>
      <c r="AB56" s="3219">
        <v>1500</v>
      </c>
      <c r="AC56" s="3219" t="s">
        <v>3049</v>
      </c>
      <c r="AD56" s="3254"/>
      <c r="AE56" s="3192" t="s">
        <v>3025</v>
      </c>
      <c r="AF56" s="3219" t="s">
        <v>3026</v>
      </c>
      <c r="AG56" s="3162" t="s">
        <v>2919</v>
      </c>
      <c r="AH56" s="3219"/>
      <c r="AI56" s="3219" t="s">
        <v>3051</v>
      </c>
      <c r="AJ56" s="3227"/>
      <c r="AK56" s="3241" t="s">
        <v>3130</v>
      </c>
      <c r="AL56" s="3219">
        <v>25</v>
      </c>
      <c r="AM56" s="3219"/>
      <c r="AN56" s="3219" t="s">
        <v>3130</v>
      </c>
      <c r="AO56" s="3219"/>
      <c r="AP56" s="3248" t="s">
        <v>3084</v>
      </c>
      <c r="AQ56" s="3219" t="s">
        <v>2922</v>
      </c>
      <c r="AR56" s="3192"/>
      <c r="AS56" s="3192"/>
      <c r="AT56" s="3192"/>
      <c r="AU56" s="3192" t="s">
        <v>2898</v>
      </c>
      <c r="AV56" s="3192"/>
      <c r="AW56" s="3192"/>
      <c r="AX56" s="3192"/>
      <c r="AY56" s="3228"/>
      <c r="AZ56" s="3245" t="s">
        <v>3504</v>
      </c>
      <c r="BA56" s="3248"/>
      <c r="BB56" s="3249"/>
      <c r="BC56" s="3248"/>
      <c r="BD56" s="3250"/>
      <c r="BE56" s="3192"/>
      <c r="BF56" s="3230"/>
      <c r="BG56" s="3239"/>
      <c r="BH56" s="3219"/>
      <c r="BI56" s="3248" t="s">
        <v>3084</v>
      </c>
      <c r="BJ56" s="3227"/>
      <c r="BK56" s="3232"/>
      <c r="BL56" s="3219" t="s">
        <v>3035</v>
      </c>
      <c r="BM56" s="3192" t="s">
        <v>3036</v>
      </c>
      <c r="BN56" s="3192" t="s">
        <v>3056</v>
      </c>
      <c r="BO56" s="3192" t="s">
        <v>3072</v>
      </c>
      <c r="BP56" s="3192"/>
      <c r="BQ56" s="3192" t="e">
        <v>#DIV/0!</v>
      </c>
      <c r="BR56" s="3192" t="e">
        <v>#DIV/0!</v>
      </c>
      <c r="BS56" s="3233" t="s">
        <v>3085</v>
      </c>
      <c r="BT56" s="3233" t="s">
        <v>2918</v>
      </c>
      <c r="BU56" s="3234"/>
    </row>
    <row r="57" spans="1:74" s="3161" customFormat="1" ht="12" hidden="1" customHeight="1">
      <c r="A57" s="3219" t="s">
        <v>3505</v>
      </c>
      <c r="B57" s="3219" t="s">
        <v>3506</v>
      </c>
      <c r="C57" s="3240" t="s">
        <v>3507</v>
      </c>
      <c r="D57" s="3240" t="s">
        <v>3508</v>
      </c>
      <c r="E57" s="3219" t="s">
        <v>650</v>
      </c>
      <c r="F57" s="3219" t="s">
        <v>3466</v>
      </c>
      <c r="G57" s="3219"/>
      <c r="H57" s="3219" t="s">
        <v>3225</v>
      </c>
      <c r="I57" s="3219" t="s">
        <v>3509</v>
      </c>
      <c r="J57" s="3219" t="s">
        <v>3446</v>
      </c>
      <c r="K57" s="3219" t="s">
        <v>3510</v>
      </c>
      <c r="L57" s="3219">
        <v>60.4</v>
      </c>
      <c r="M57" s="3219">
        <v>6</v>
      </c>
      <c r="N57" s="3219" t="s">
        <v>3391</v>
      </c>
      <c r="O57" s="3219"/>
      <c r="P57" s="3219" t="s">
        <v>3023</v>
      </c>
      <c r="Q57" s="3222">
        <v>600000</v>
      </c>
      <c r="R57" s="3219">
        <v>9934</v>
      </c>
      <c r="S57" s="3223">
        <v>87.19</v>
      </c>
      <c r="T57" s="3224">
        <v>871900</v>
      </c>
      <c r="U57" s="3219">
        <v>14437</v>
      </c>
      <c r="V57" s="3225">
        <v>0.2</v>
      </c>
      <c r="W57" s="3223">
        <v>69.75</v>
      </c>
      <c r="X57" s="3226">
        <v>697500</v>
      </c>
      <c r="Y57" s="3192">
        <v>2009</v>
      </c>
      <c r="Z57" s="3192">
        <v>6</v>
      </c>
      <c r="AA57" s="3219">
        <v>16</v>
      </c>
      <c r="AB57" s="3219">
        <v>1500</v>
      </c>
      <c r="AC57" s="3219" t="s">
        <v>3049</v>
      </c>
      <c r="AD57" s="3240"/>
      <c r="AE57" s="3219" t="s">
        <v>3025</v>
      </c>
      <c r="AF57" s="3219" t="s">
        <v>2923</v>
      </c>
      <c r="AG57" s="3219" t="s">
        <v>2919</v>
      </c>
      <c r="AH57" s="3219"/>
      <c r="AI57" s="3219" t="s">
        <v>2920</v>
      </c>
      <c r="AJ57" s="3227"/>
      <c r="AK57" s="3241" t="s">
        <v>3097</v>
      </c>
      <c r="AL57" s="3219">
        <v>26</v>
      </c>
      <c r="AM57" s="3219"/>
      <c r="AN57" s="3162" t="s">
        <v>3028</v>
      </c>
      <c r="AO57" s="3219"/>
      <c r="AP57" s="3219" t="s">
        <v>3068</v>
      </c>
      <c r="AQ57" s="3192" t="s">
        <v>2922</v>
      </c>
      <c r="AR57" s="3219"/>
      <c r="AS57" s="3219"/>
      <c r="AT57" s="3219"/>
      <c r="AU57" s="3219"/>
      <c r="AV57" s="3219"/>
      <c r="AW57" s="3219" t="s">
        <v>3069</v>
      </c>
      <c r="AX57" s="3219"/>
      <c r="AY57" s="3220"/>
      <c r="AZ57" s="3219" t="s">
        <v>3510</v>
      </c>
      <c r="BA57" s="3219"/>
      <c r="BB57" s="3220" t="s">
        <v>2898</v>
      </c>
      <c r="BC57" s="3219" t="s">
        <v>2898</v>
      </c>
      <c r="BD57" s="3243"/>
      <c r="BE57" s="3219"/>
      <c r="BF57" s="3244"/>
      <c r="BG57" s="3227"/>
      <c r="BH57" s="3219"/>
      <c r="BI57" s="3192" t="s">
        <v>3073</v>
      </c>
      <c r="BJ57" s="3232"/>
      <c r="BK57" s="3227"/>
      <c r="BL57" s="3192" t="s">
        <v>3035</v>
      </c>
      <c r="BM57" s="3192" t="s">
        <v>3036</v>
      </c>
      <c r="BN57" s="3192" t="s">
        <v>3056</v>
      </c>
      <c r="BO57" s="3219" t="s">
        <v>3072</v>
      </c>
      <c r="BP57" s="3219"/>
      <c r="BQ57" s="3192" t="e">
        <v>#DIV/0!</v>
      </c>
      <c r="BR57" s="3192" t="e">
        <v>#DIV/0!</v>
      </c>
      <c r="BS57" s="3233" t="s">
        <v>3073</v>
      </c>
      <c r="BT57" s="3233" t="s">
        <v>2918</v>
      </c>
      <c r="BU57" s="3234"/>
    </row>
    <row r="58" spans="1:74" s="3161" customFormat="1" ht="12" hidden="1" customHeight="1">
      <c r="A58" s="3219" t="s">
        <v>3511</v>
      </c>
      <c r="B58" s="3219" t="s">
        <v>3512</v>
      </c>
      <c r="C58" s="3220" t="s">
        <v>3513</v>
      </c>
      <c r="D58" s="3219">
        <v>13910193009</v>
      </c>
      <c r="E58" s="3219" t="s">
        <v>3102</v>
      </c>
      <c r="F58" s="3219" t="s">
        <v>3466</v>
      </c>
      <c r="G58" s="3219"/>
      <c r="H58" s="3219" t="s">
        <v>3514</v>
      </c>
      <c r="I58" s="3219" t="s">
        <v>3515</v>
      </c>
      <c r="J58" s="3219" t="s">
        <v>3446</v>
      </c>
      <c r="K58" s="3219" t="s">
        <v>3516</v>
      </c>
      <c r="L58" s="3220" t="s">
        <v>3517</v>
      </c>
      <c r="M58" s="3219">
        <v>6</v>
      </c>
      <c r="N58" s="3219" t="s">
        <v>3006</v>
      </c>
      <c r="O58" s="3219"/>
      <c r="P58" s="3219" t="s">
        <v>2917</v>
      </c>
      <c r="Q58" s="3219">
        <v>1380000</v>
      </c>
      <c r="R58" s="3219">
        <v>18852</v>
      </c>
      <c r="S58" s="3223">
        <v>110.4</v>
      </c>
      <c r="T58" s="3224">
        <v>1104000</v>
      </c>
      <c r="U58" s="3219">
        <v>15082</v>
      </c>
      <c r="V58" s="3225">
        <v>0.2</v>
      </c>
      <c r="W58" s="3223">
        <v>88.32</v>
      </c>
      <c r="X58" s="3226">
        <v>883199.99999999988</v>
      </c>
      <c r="Y58" s="3219">
        <v>2009</v>
      </c>
      <c r="Z58" s="3219">
        <v>7</v>
      </c>
      <c r="AA58" s="3219">
        <v>17</v>
      </c>
      <c r="AB58" s="3219">
        <v>1500</v>
      </c>
      <c r="AC58" s="3219" t="s">
        <v>2918</v>
      </c>
      <c r="AD58" s="3220"/>
      <c r="AE58" s="3219" t="s">
        <v>3025</v>
      </c>
      <c r="AF58" s="3219" t="s">
        <v>3108</v>
      </c>
      <c r="AG58" s="3219" t="s">
        <v>2919</v>
      </c>
      <c r="AH58" s="3219"/>
      <c r="AI58" s="3219" t="s">
        <v>2920</v>
      </c>
      <c r="AJ58" s="3219"/>
      <c r="AK58" s="3219" t="s">
        <v>3109</v>
      </c>
      <c r="AL58" s="3219">
        <v>33</v>
      </c>
      <c r="AM58" s="3219"/>
      <c r="AN58" s="3219" t="s">
        <v>2921</v>
      </c>
      <c r="AO58" s="3219"/>
      <c r="AP58" s="3219" t="s">
        <v>3084</v>
      </c>
      <c r="AQ58" s="3192" t="s">
        <v>2922</v>
      </c>
      <c r="AR58" s="3219"/>
      <c r="AS58" s="3219"/>
      <c r="AT58" s="3219"/>
      <c r="AU58" s="3219"/>
      <c r="AV58" s="3219"/>
      <c r="AW58" s="3219"/>
      <c r="AX58" s="3219"/>
      <c r="AY58" s="3220"/>
      <c r="AZ58" s="3219" t="s">
        <v>3516</v>
      </c>
      <c r="BA58" s="3219"/>
      <c r="BB58" s="3220"/>
      <c r="BC58" s="3219"/>
      <c r="BD58" s="3243"/>
      <c r="BE58" s="3219"/>
      <c r="BF58" s="3244"/>
      <c r="BG58" s="3227"/>
      <c r="BH58" s="3219"/>
      <c r="BI58" s="3219" t="s">
        <v>3084</v>
      </c>
      <c r="BJ58" s="3238"/>
      <c r="BK58" s="3238"/>
      <c r="BL58" s="3219" t="s">
        <v>2923</v>
      </c>
      <c r="BM58" s="3219" t="s">
        <v>2883</v>
      </c>
      <c r="BN58" s="3219" t="s">
        <v>2924</v>
      </c>
      <c r="BO58" s="3219" t="s">
        <v>2925</v>
      </c>
      <c r="BP58" s="3219"/>
      <c r="BQ58" s="3192" t="e">
        <v>#DIV/0!</v>
      </c>
      <c r="BR58" s="3192" t="e">
        <v>#DIV/0!</v>
      </c>
      <c r="BS58" s="3233" t="s">
        <v>3085</v>
      </c>
      <c r="BT58" s="3233" t="s">
        <v>2918</v>
      </c>
      <c r="BU58" s="3234"/>
    </row>
    <row r="59" spans="1:74" s="3161" customFormat="1" ht="12" hidden="1" customHeight="1">
      <c r="A59" s="3219" t="s">
        <v>3518</v>
      </c>
      <c r="B59" s="3219" t="s">
        <v>3519</v>
      </c>
      <c r="C59" s="3220" t="s">
        <v>3520</v>
      </c>
      <c r="D59" s="3220" t="s">
        <v>3521</v>
      </c>
      <c r="E59" s="3219" t="s">
        <v>650</v>
      </c>
      <c r="F59" s="3219" t="s">
        <v>3466</v>
      </c>
      <c r="G59" s="3219"/>
      <c r="H59" s="3219" t="s">
        <v>3467</v>
      </c>
      <c r="I59" s="3219" t="s">
        <v>3522</v>
      </c>
      <c r="J59" s="3219" t="s">
        <v>3259</v>
      </c>
      <c r="K59" s="3219" t="s">
        <v>3523</v>
      </c>
      <c r="L59" s="3246">
        <v>61.2</v>
      </c>
      <c r="M59" s="3220" t="s">
        <v>23</v>
      </c>
      <c r="N59" s="3219" t="s">
        <v>3096</v>
      </c>
      <c r="O59" s="3220"/>
      <c r="P59" s="3219" t="s">
        <v>3023</v>
      </c>
      <c r="Q59" s="3251">
        <v>1080000</v>
      </c>
      <c r="R59" s="3219">
        <v>17647</v>
      </c>
      <c r="S59" s="3223">
        <v>95.56</v>
      </c>
      <c r="T59" s="3224">
        <v>955600</v>
      </c>
      <c r="U59" s="3219">
        <v>15616</v>
      </c>
      <c r="V59" s="3225">
        <v>0.2</v>
      </c>
      <c r="W59" s="3223">
        <v>76.44</v>
      </c>
      <c r="X59" s="3226">
        <v>764400</v>
      </c>
      <c r="Y59" s="3219">
        <v>2009</v>
      </c>
      <c r="Z59" s="3192">
        <v>7</v>
      </c>
      <c r="AA59" s="3192">
        <v>22</v>
      </c>
      <c r="AB59" s="3219">
        <v>1500</v>
      </c>
      <c r="AC59" s="3219" t="s">
        <v>2918</v>
      </c>
      <c r="AD59" s="3220"/>
      <c r="AE59" s="3219" t="s">
        <v>3025</v>
      </c>
      <c r="AF59" s="3219" t="s">
        <v>3035</v>
      </c>
      <c r="AG59" s="3162" t="s">
        <v>2919</v>
      </c>
      <c r="AH59" s="3219"/>
      <c r="AI59" s="3219" t="s">
        <v>3051</v>
      </c>
      <c r="AJ59" s="3227"/>
      <c r="AK59" s="3237" t="s">
        <v>3109</v>
      </c>
      <c r="AL59" s="3192">
        <v>29</v>
      </c>
      <c r="AM59" s="3219"/>
      <c r="AN59" s="3192" t="s">
        <v>3130</v>
      </c>
      <c r="AO59" s="3219"/>
      <c r="AP59" s="3219" t="s">
        <v>3084</v>
      </c>
      <c r="AQ59" s="3192" t="s">
        <v>2922</v>
      </c>
      <c r="AR59" s="3219"/>
      <c r="AS59" s="3219"/>
      <c r="AT59" s="3219"/>
      <c r="AU59" s="3192"/>
      <c r="AV59" s="3192" t="s">
        <v>2898</v>
      </c>
      <c r="AW59" s="3192"/>
      <c r="AX59" s="3192"/>
      <c r="AY59" s="3228"/>
      <c r="AZ59" s="3219" t="s">
        <v>3523</v>
      </c>
      <c r="BA59" s="3192"/>
      <c r="BB59" s="3228"/>
      <c r="BC59" s="3192"/>
      <c r="BD59" s="3229"/>
      <c r="BE59" s="3192"/>
      <c r="BF59" s="3230"/>
      <c r="BG59" s="3231"/>
      <c r="BH59" s="3219"/>
      <c r="BI59" s="3192" t="s">
        <v>3084</v>
      </c>
      <c r="BJ59" s="3239"/>
      <c r="BK59" s="3232"/>
      <c r="BL59" s="3192" t="s">
        <v>3035</v>
      </c>
      <c r="BM59" s="3219" t="s">
        <v>3036</v>
      </c>
      <c r="BN59" s="3219" t="s">
        <v>3056</v>
      </c>
      <c r="BO59" s="3219" t="s">
        <v>3072</v>
      </c>
      <c r="BP59" s="3192"/>
      <c r="BQ59" s="3192" t="e">
        <v>#DIV/0!</v>
      </c>
      <c r="BR59" s="3192" t="e">
        <v>#DIV/0!</v>
      </c>
      <c r="BS59" s="3233" t="s">
        <v>3085</v>
      </c>
      <c r="BT59" s="3233" t="s">
        <v>2918</v>
      </c>
      <c r="BU59" s="3234"/>
    </row>
    <row r="60" spans="1:74" s="3161" customFormat="1" ht="12" hidden="1" customHeight="1">
      <c r="A60" s="3219" t="s">
        <v>3524</v>
      </c>
      <c r="B60" s="3219" t="s">
        <v>3525</v>
      </c>
      <c r="C60" s="3220" t="s">
        <v>3526</v>
      </c>
      <c r="D60" s="3220" t="s">
        <v>3527</v>
      </c>
      <c r="E60" s="3219" t="s">
        <v>650</v>
      </c>
      <c r="F60" s="3219" t="s">
        <v>3466</v>
      </c>
      <c r="G60" s="3219"/>
      <c r="H60" s="3219" t="s">
        <v>3460</v>
      </c>
      <c r="I60" s="3219"/>
      <c r="J60" s="3219" t="s">
        <v>3528</v>
      </c>
      <c r="K60" s="3219" t="s">
        <v>3529</v>
      </c>
      <c r="L60" s="3246" t="s">
        <v>3530</v>
      </c>
      <c r="M60" s="3220" t="s">
        <v>3531</v>
      </c>
      <c r="N60" s="3219" t="s">
        <v>3096</v>
      </c>
      <c r="O60" s="3219"/>
      <c r="P60" s="3219" t="s">
        <v>3023</v>
      </c>
      <c r="Q60" s="3251">
        <v>1070000</v>
      </c>
      <c r="R60" s="3219">
        <v>17370</v>
      </c>
      <c r="S60" s="3223">
        <v>96.55</v>
      </c>
      <c r="T60" s="3224">
        <v>965500</v>
      </c>
      <c r="U60" s="3219">
        <v>15674</v>
      </c>
      <c r="V60" s="3225">
        <v>0.2</v>
      </c>
      <c r="W60" s="3223">
        <v>77.239999999999995</v>
      </c>
      <c r="X60" s="3226">
        <v>772400</v>
      </c>
      <c r="Y60" s="3219">
        <v>2009</v>
      </c>
      <c r="Z60" s="3192">
        <v>7</v>
      </c>
      <c r="AA60" s="3192">
        <v>31</v>
      </c>
      <c r="AB60" s="3219">
        <v>1500</v>
      </c>
      <c r="AC60" s="3219" t="s">
        <v>2918</v>
      </c>
      <c r="AD60" s="3220"/>
      <c r="AE60" s="3219" t="s">
        <v>3025</v>
      </c>
      <c r="AF60" s="3219" t="s">
        <v>3035</v>
      </c>
      <c r="AG60" s="3162" t="s">
        <v>2919</v>
      </c>
      <c r="AH60" s="3219"/>
      <c r="AI60" s="3219" t="s">
        <v>3051</v>
      </c>
      <c r="AJ60" s="3227"/>
      <c r="AK60" s="3237" t="s">
        <v>3109</v>
      </c>
      <c r="AL60" s="3192">
        <v>39</v>
      </c>
      <c r="AM60" s="3219"/>
      <c r="AN60" s="3192" t="s">
        <v>3066</v>
      </c>
      <c r="AO60" s="3219"/>
      <c r="AP60" s="3219" t="s">
        <v>3084</v>
      </c>
      <c r="AQ60" s="3192" t="s">
        <v>2922</v>
      </c>
      <c r="AR60" s="3219"/>
      <c r="AS60" s="3219"/>
      <c r="AT60" s="3219"/>
      <c r="AU60" s="3192"/>
      <c r="AV60" s="3192" t="s">
        <v>2898</v>
      </c>
      <c r="AW60" s="3192"/>
      <c r="AX60" s="3192"/>
      <c r="AY60" s="3228"/>
      <c r="AZ60" s="3237" t="s">
        <v>3529</v>
      </c>
      <c r="BA60" s="3192"/>
      <c r="BB60" s="3228"/>
      <c r="BC60" s="3192"/>
      <c r="BD60" s="3229"/>
      <c r="BE60" s="3192"/>
      <c r="BF60" s="3230"/>
      <c r="BG60" s="3231"/>
      <c r="BH60" s="3219"/>
      <c r="BI60" s="3192" t="s">
        <v>3084</v>
      </c>
      <c r="BJ60" s="3239"/>
      <c r="BK60" s="3232"/>
      <c r="BL60" s="3192" t="s">
        <v>3035</v>
      </c>
      <c r="BM60" s="3219" t="s">
        <v>3036</v>
      </c>
      <c r="BN60" s="3219" t="s">
        <v>3056</v>
      </c>
      <c r="BO60" s="3219" t="s">
        <v>3072</v>
      </c>
      <c r="BP60" s="3192"/>
      <c r="BQ60" s="3192" t="e">
        <v>#DIV/0!</v>
      </c>
      <c r="BR60" s="3192" t="e">
        <v>#DIV/0!</v>
      </c>
      <c r="BS60" s="3233" t="s">
        <v>3085</v>
      </c>
      <c r="BT60" s="3233" t="s">
        <v>2918</v>
      </c>
      <c r="BU60" s="3234"/>
    </row>
    <row r="61" spans="1:74" s="3161" customFormat="1" ht="12" hidden="1" customHeight="1">
      <c r="A61" s="3245" t="s">
        <v>3532</v>
      </c>
      <c r="B61" s="3219" t="s">
        <v>3533</v>
      </c>
      <c r="C61" s="3220" t="s">
        <v>3534</v>
      </c>
      <c r="D61" s="3240" t="s">
        <v>3535</v>
      </c>
      <c r="E61" s="3245" t="s">
        <v>650</v>
      </c>
      <c r="F61" s="3245" t="s">
        <v>3466</v>
      </c>
      <c r="G61" s="3219"/>
      <c r="H61" s="3219" t="s">
        <v>3126</v>
      </c>
      <c r="I61" s="3219"/>
      <c r="J61" s="3219" t="s">
        <v>3536</v>
      </c>
      <c r="K61" s="3219" t="s">
        <v>3537</v>
      </c>
      <c r="L61" s="3219">
        <v>85.3</v>
      </c>
      <c r="M61" s="3220" t="s">
        <v>24</v>
      </c>
      <c r="N61" s="3219" t="s">
        <v>3006</v>
      </c>
      <c r="O61" s="3219"/>
      <c r="P61" s="3219" t="s">
        <v>3023</v>
      </c>
      <c r="Q61" s="3251">
        <v>640000</v>
      </c>
      <c r="R61" s="3219">
        <v>7503</v>
      </c>
      <c r="S61" s="3223">
        <v>149.47</v>
      </c>
      <c r="T61" s="3224">
        <v>1494700</v>
      </c>
      <c r="U61" s="3219">
        <v>17523</v>
      </c>
      <c r="V61" s="3225">
        <v>0.2</v>
      </c>
      <c r="W61" s="3223">
        <v>119.57</v>
      </c>
      <c r="X61" s="3226">
        <v>1195700</v>
      </c>
      <c r="Y61" s="3219">
        <v>2009</v>
      </c>
      <c r="Z61" s="3192">
        <v>8</v>
      </c>
      <c r="AA61" s="3192">
        <v>20</v>
      </c>
      <c r="AB61" s="3219">
        <v>1500</v>
      </c>
      <c r="AC61" s="3219" t="s">
        <v>2918</v>
      </c>
      <c r="AD61" s="3220"/>
      <c r="AE61" s="3219" t="s">
        <v>3025</v>
      </c>
      <c r="AF61" s="3219" t="s">
        <v>3035</v>
      </c>
      <c r="AG61" s="3162" t="s">
        <v>2919</v>
      </c>
      <c r="AH61" s="3219">
        <v>20515</v>
      </c>
      <c r="AI61" s="3162" t="s">
        <v>2920</v>
      </c>
      <c r="AJ61" s="3227"/>
      <c r="AK61" s="3237" t="s">
        <v>3538</v>
      </c>
      <c r="AL61" s="3192">
        <v>39</v>
      </c>
      <c r="AM61" s="3219"/>
      <c r="AN61" s="3192" t="s">
        <v>3236</v>
      </c>
      <c r="AO61" s="3219"/>
      <c r="AP61" s="3219" t="s">
        <v>3245</v>
      </c>
      <c r="AQ61" s="3192" t="s">
        <v>3032</v>
      </c>
      <c r="AR61" s="3219"/>
      <c r="AS61" s="3219"/>
      <c r="AT61" s="3219"/>
      <c r="AU61" s="3192"/>
      <c r="AV61" s="3192" t="s">
        <v>2898</v>
      </c>
      <c r="AW61" s="3192" t="s">
        <v>3069</v>
      </c>
      <c r="AX61" s="3192"/>
      <c r="AY61" s="3228"/>
      <c r="AZ61" s="3237" t="s">
        <v>3537</v>
      </c>
      <c r="BA61" s="3192"/>
      <c r="BB61" s="3228"/>
      <c r="BC61" s="3192"/>
      <c r="BD61" s="3229"/>
      <c r="BE61" s="3192"/>
      <c r="BF61" s="3230"/>
      <c r="BG61" s="3231"/>
      <c r="BH61" s="3219"/>
      <c r="BI61" s="3192" t="s">
        <v>3245</v>
      </c>
      <c r="BJ61" s="3239"/>
      <c r="BK61" s="3232"/>
      <c r="BL61" s="3192" t="s">
        <v>3035</v>
      </c>
      <c r="BM61" s="3219" t="s">
        <v>3036</v>
      </c>
      <c r="BN61" s="3219" t="s">
        <v>3056</v>
      </c>
      <c r="BO61" s="3219" t="s">
        <v>3072</v>
      </c>
      <c r="BP61" s="3192"/>
      <c r="BQ61" s="3192" t="e">
        <v>#DIV/0!</v>
      </c>
      <c r="BR61" s="3192" t="e">
        <v>#DIV/0!</v>
      </c>
      <c r="BS61" s="3233" t="s">
        <v>3246</v>
      </c>
      <c r="BT61" s="3233" t="s">
        <v>2918</v>
      </c>
      <c r="BU61" s="3234"/>
    </row>
    <row r="62" spans="1:74" s="3234" customFormat="1" ht="12" hidden="1" customHeight="1">
      <c r="A62" s="3245" t="s">
        <v>3539</v>
      </c>
      <c r="B62" s="3255" t="s">
        <v>3540</v>
      </c>
      <c r="C62" s="3220" t="s">
        <v>3541</v>
      </c>
      <c r="D62" s="3220" t="s">
        <v>3542</v>
      </c>
      <c r="E62" s="3219" t="s">
        <v>650</v>
      </c>
      <c r="F62" s="3255" t="s">
        <v>3466</v>
      </c>
      <c r="G62" s="3219"/>
      <c r="H62" s="3219" t="s">
        <v>3063</v>
      </c>
      <c r="I62" s="3219" t="s">
        <v>3475</v>
      </c>
      <c r="J62" s="3219" t="s">
        <v>3020</v>
      </c>
      <c r="K62" s="3192" t="s">
        <v>3543</v>
      </c>
      <c r="L62" s="3219">
        <v>40.4</v>
      </c>
      <c r="M62" s="3219">
        <v>2</v>
      </c>
      <c r="N62" s="3219" t="s">
        <v>3082</v>
      </c>
      <c r="O62" s="3219"/>
      <c r="P62" s="3219" t="s">
        <v>3023</v>
      </c>
      <c r="Q62" s="3219">
        <v>500000</v>
      </c>
      <c r="R62" s="3219">
        <v>12376</v>
      </c>
      <c r="S62" s="3223">
        <v>71.64</v>
      </c>
      <c r="T62" s="3224">
        <v>716400</v>
      </c>
      <c r="U62" s="3219">
        <v>17735</v>
      </c>
      <c r="V62" s="3225">
        <v>0.2</v>
      </c>
      <c r="W62" s="3223">
        <v>57.31</v>
      </c>
      <c r="X62" s="3226">
        <v>573100</v>
      </c>
      <c r="Y62" s="3219">
        <v>2009</v>
      </c>
      <c r="Z62" s="3219">
        <v>9</v>
      </c>
      <c r="AA62" s="3219">
        <v>8</v>
      </c>
      <c r="AB62" s="3219">
        <v>1500</v>
      </c>
      <c r="AC62" s="3219" t="s">
        <v>2918</v>
      </c>
      <c r="AD62" s="3243"/>
      <c r="AE62" s="3219" t="s">
        <v>3150</v>
      </c>
      <c r="AF62" s="3219" t="s">
        <v>3035</v>
      </c>
      <c r="AG62" s="3162" t="s">
        <v>2919</v>
      </c>
      <c r="AH62" s="3219">
        <v>21039</v>
      </c>
      <c r="AI62" s="3219" t="s">
        <v>2920</v>
      </c>
      <c r="AJ62" s="3227"/>
      <c r="AK62" s="3241" t="s">
        <v>3151</v>
      </c>
      <c r="AL62" s="3192">
        <v>25</v>
      </c>
      <c r="AM62" s="3192" t="s">
        <v>2815</v>
      </c>
      <c r="AN62" s="3192" t="s">
        <v>3030</v>
      </c>
      <c r="AO62" s="3192"/>
      <c r="AP62" s="3192" t="s">
        <v>3296</v>
      </c>
      <c r="AQ62" s="3219" t="s">
        <v>2922</v>
      </c>
      <c r="AR62" s="3192"/>
      <c r="AS62" s="3192"/>
      <c r="AT62" s="3192"/>
      <c r="AU62" s="3192"/>
      <c r="AV62" s="3192"/>
      <c r="AW62" s="3192" t="s">
        <v>3069</v>
      </c>
      <c r="AX62" s="3192"/>
      <c r="AY62" s="3228"/>
      <c r="AZ62" s="3192" t="s">
        <v>3543</v>
      </c>
      <c r="BA62" s="3192"/>
      <c r="BB62" s="3228"/>
      <c r="BC62" s="3192"/>
      <c r="BD62" s="3229"/>
      <c r="BE62" s="3192"/>
      <c r="BF62" s="3230"/>
      <c r="BG62" s="3231"/>
      <c r="BH62" s="3192"/>
      <c r="BI62" s="3192" t="s">
        <v>3295</v>
      </c>
      <c r="BJ62" s="3232"/>
      <c r="BK62" s="3232"/>
      <c r="BL62" s="3219" t="s">
        <v>2923</v>
      </c>
      <c r="BM62" s="3219" t="s">
        <v>3036</v>
      </c>
      <c r="BN62" s="3219" t="s">
        <v>3056</v>
      </c>
      <c r="BO62" s="3219" t="s">
        <v>2925</v>
      </c>
      <c r="BP62" s="3192"/>
      <c r="BQ62" s="3192" t="e">
        <v>#DIV/0!</v>
      </c>
      <c r="BR62" s="3192" t="e">
        <v>#DIV/0!</v>
      </c>
      <c r="BS62" s="3233" t="s">
        <v>3296</v>
      </c>
      <c r="BT62" s="3233" t="s">
        <v>2918</v>
      </c>
    </row>
    <row r="63" spans="1:74" s="3161" customFormat="1" ht="12" hidden="1" customHeight="1">
      <c r="A63" s="3245" t="s">
        <v>3544</v>
      </c>
      <c r="B63" s="3219" t="s">
        <v>3545</v>
      </c>
      <c r="C63" s="3220" t="s">
        <v>3546</v>
      </c>
      <c r="D63" s="3220" t="s">
        <v>3547</v>
      </c>
      <c r="E63" s="3245" t="s">
        <v>650</v>
      </c>
      <c r="F63" s="3245" t="s">
        <v>3466</v>
      </c>
      <c r="G63" s="3219"/>
      <c r="H63" s="3219" t="s">
        <v>3514</v>
      </c>
      <c r="I63" s="3219"/>
      <c r="J63" s="3220" t="s">
        <v>3548</v>
      </c>
      <c r="K63" s="3219" t="s">
        <v>3549</v>
      </c>
      <c r="L63" s="3219">
        <v>60.7</v>
      </c>
      <c r="M63" s="3220" t="s">
        <v>23</v>
      </c>
      <c r="N63" s="3219" t="s">
        <v>3261</v>
      </c>
      <c r="O63" s="3219"/>
      <c r="P63" s="3219" t="s">
        <v>3023</v>
      </c>
      <c r="Q63" s="3251">
        <v>1200000</v>
      </c>
      <c r="R63" s="3219">
        <v>19769</v>
      </c>
      <c r="S63" s="3223">
        <v>104.1</v>
      </c>
      <c r="T63" s="3224">
        <v>1041000</v>
      </c>
      <c r="U63" s="3219">
        <v>17150</v>
      </c>
      <c r="V63" s="3225">
        <v>0.2</v>
      </c>
      <c r="W63" s="3223">
        <v>83.28</v>
      </c>
      <c r="X63" s="3226">
        <v>832800</v>
      </c>
      <c r="Y63" s="3219">
        <v>2009</v>
      </c>
      <c r="Z63" s="3192">
        <v>9</v>
      </c>
      <c r="AA63" s="3192">
        <v>27</v>
      </c>
      <c r="AB63" s="3219">
        <v>1500</v>
      </c>
      <c r="AC63" s="3219" t="s">
        <v>3049</v>
      </c>
      <c r="AD63" s="3220"/>
      <c r="AE63" s="3219" t="s">
        <v>3150</v>
      </c>
      <c r="AF63" s="3219" t="s">
        <v>3035</v>
      </c>
      <c r="AG63" s="3162" t="s">
        <v>2919</v>
      </c>
      <c r="AH63" s="3219">
        <v>19769</v>
      </c>
      <c r="AI63" s="3162" t="s">
        <v>3051</v>
      </c>
      <c r="AJ63" s="3227"/>
      <c r="AK63" s="3237" t="s">
        <v>3151</v>
      </c>
      <c r="AL63" s="3192">
        <v>25</v>
      </c>
      <c r="AM63" s="3219"/>
      <c r="AN63" s="3192" t="s">
        <v>3066</v>
      </c>
      <c r="AO63" s="3219"/>
      <c r="AP63" s="3219" t="s">
        <v>3245</v>
      </c>
      <c r="AQ63" s="3219" t="s">
        <v>2922</v>
      </c>
      <c r="AR63" s="3219"/>
      <c r="AS63" s="3219"/>
      <c r="AT63" s="3219"/>
      <c r="AU63" s="3192"/>
      <c r="AV63" s="3192" t="s">
        <v>2898</v>
      </c>
      <c r="AW63" s="3192" t="s">
        <v>3069</v>
      </c>
      <c r="AX63" s="3192"/>
      <c r="AY63" s="3228"/>
      <c r="AZ63" s="3237" t="s">
        <v>3549</v>
      </c>
      <c r="BA63" s="3192"/>
      <c r="BB63" s="3228"/>
      <c r="BC63" s="3192"/>
      <c r="BD63" s="3229"/>
      <c r="BE63" s="3192"/>
      <c r="BF63" s="3230"/>
      <c r="BG63" s="3231"/>
      <c r="BH63" s="3219"/>
      <c r="BI63" s="3192" t="s">
        <v>3245</v>
      </c>
      <c r="BJ63" s="3239"/>
      <c r="BK63" s="3232"/>
      <c r="BL63" s="3192" t="s">
        <v>3035</v>
      </c>
      <c r="BM63" s="3219" t="s">
        <v>3036</v>
      </c>
      <c r="BN63" s="3219" t="s">
        <v>3056</v>
      </c>
      <c r="BO63" s="3219" t="s">
        <v>3072</v>
      </c>
      <c r="BP63" s="3192"/>
      <c r="BQ63" s="3192" t="e">
        <v>#DIV/0!</v>
      </c>
      <c r="BR63" s="3192" t="e">
        <v>#DIV/0!</v>
      </c>
      <c r="BS63" s="3233" t="s">
        <v>3246</v>
      </c>
      <c r="BT63" s="3233" t="s">
        <v>2918</v>
      </c>
      <c r="BU63" s="3234"/>
    </row>
    <row r="64" spans="1:74" s="3161" customFormat="1" ht="12" customHeight="1">
      <c r="A64" s="3219" t="s">
        <v>3550</v>
      </c>
      <c r="B64" s="3219" t="s">
        <v>3551</v>
      </c>
      <c r="C64" s="3220" t="s">
        <v>3552</v>
      </c>
      <c r="D64" s="3220" t="s">
        <v>3553</v>
      </c>
      <c r="E64" s="3245" t="s">
        <v>650</v>
      </c>
      <c r="F64" s="3245" t="s">
        <v>3554</v>
      </c>
      <c r="G64" s="3219"/>
      <c r="H64" s="3219" t="s">
        <v>3555</v>
      </c>
      <c r="I64" s="3219" t="s">
        <v>3475</v>
      </c>
      <c r="J64" s="3219" t="s">
        <v>3198</v>
      </c>
      <c r="K64" s="3245" t="s">
        <v>3556</v>
      </c>
      <c r="L64" s="3219">
        <v>43.5</v>
      </c>
      <c r="M64" s="3219" t="s">
        <v>3130</v>
      </c>
      <c r="N64" s="3219" t="s">
        <v>3082</v>
      </c>
      <c r="O64" s="3219"/>
      <c r="P64" s="3219" t="s">
        <v>3023</v>
      </c>
      <c r="Q64" s="3222">
        <v>680000</v>
      </c>
      <c r="R64" s="3219">
        <v>15632</v>
      </c>
      <c r="S64" s="3223">
        <v>55.24</v>
      </c>
      <c r="T64" s="3224">
        <v>552400</v>
      </c>
      <c r="U64" s="3219">
        <v>12700</v>
      </c>
      <c r="V64" s="3225">
        <v>0.2</v>
      </c>
      <c r="W64" s="3223">
        <v>44.19</v>
      </c>
      <c r="X64" s="3226">
        <v>441900</v>
      </c>
      <c r="Y64" s="3192">
        <v>2009</v>
      </c>
      <c r="Z64" s="3192">
        <v>3</v>
      </c>
      <c r="AA64" s="3219">
        <v>2</v>
      </c>
      <c r="AB64" s="3219">
        <v>1500</v>
      </c>
      <c r="AC64" s="3219" t="s">
        <v>3024</v>
      </c>
      <c r="AD64" s="3220"/>
      <c r="AE64" s="3162" t="s">
        <v>3150</v>
      </c>
      <c r="AF64" s="3219" t="s">
        <v>3026</v>
      </c>
      <c r="AG64" s="3162" t="s">
        <v>2919</v>
      </c>
      <c r="AH64" s="3219"/>
      <c r="AI64" s="3162" t="s">
        <v>3051</v>
      </c>
      <c r="AJ64" s="3227"/>
      <c r="AK64" s="3237">
        <v>3</v>
      </c>
      <c r="AL64" s="3219">
        <v>29</v>
      </c>
      <c r="AM64" s="3219" t="s">
        <v>3557</v>
      </c>
      <c r="AN64" s="3219" t="s">
        <v>3030</v>
      </c>
      <c r="AO64" s="3219"/>
      <c r="AP64" s="3192" t="s">
        <v>3053</v>
      </c>
      <c r="AQ64" s="3219" t="s">
        <v>3032</v>
      </c>
      <c r="AR64" s="3192">
        <v>2009</v>
      </c>
      <c r="AS64" s="3192">
        <v>3</v>
      </c>
      <c r="AT64" s="3192">
        <v>2</v>
      </c>
      <c r="AU64" s="3192" t="s">
        <v>2898</v>
      </c>
      <c r="AV64" s="3192"/>
      <c r="AW64" s="3192" t="s">
        <v>3069</v>
      </c>
      <c r="AX64" s="3192"/>
      <c r="AY64" s="3228"/>
      <c r="AZ64" s="3219" t="s">
        <v>3556</v>
      </c>
      <c r="BA64" s="3248"/>
      <c r="BB64" s="3249"/>
      <c r="BC64" s="3248"/>
      <c r="BD64" s="3250"/>
      <c r="BE64" s="3192"/>
      <c r="BF64" s="3230"/>
      <c r="BG64" s="3239">
        <v>39869</v>
      </c>
      <c r="BH64" s="3219"/>
      <c r="BI64" s="3192" t="s">
        <v>3053</v>
      </c>
      <c r="BJ64" s="3231"/>
      <c r="BK64" s="3232"/>
      <c r="BL64" s="3219" t="s">
        <v>3035</v>
      </c>
      <c r="BM64" s="3192" t="s">
        <v>3036</v>
      </c>
      <c r="BN64" s="3192" t="s">
        <v>3056</v>
      </c>
      <c r="BO64" s="3192" t="s">
        <v>3072</v>
      </c>
      <c r="BP64" s="3192"/>
      <c r="BQ64" s="3192" t="e">
        <v>#DIV/0!</v>
      </c>
      <c r="BR64" s="3192" t="e">
        <v>#DIV/0!</v>
      </c>
      <c r="BS64" s="3233" t="s">
        <v>3057</v>
      </c>
      <c r="BT64" s="3233" t="s">
        <v>3040</v>
      </c>
      <c r="BU64" s="3234"/>
    </row>
    <row r="65" spans="1:73" s="3161" customFormat="1" ht="12" hidden="1" customHeight="1">
      <c r="A65" s="3219" t="s">
        <v>3558</v>
      </c>
      <c r="B65" s="3219" t="s">
        <v>3559</v>
      </c>
      <c r="C65" s="3220" t="s">
        <v>3560</v>
      </c>
      <c r="D65" s="3220" t="s">
        <v>3561</v>
      </c>
      <c r="E65" s="3245" t="s">
        <v>650</v>
      </c>
      <c r="F65" s="3245" t="s">
        <v>3554</v>
      </c>
      <c r="G65" s="3219"/>
      <c r="H65" s="3219" t="s">
        <v>3275</v>
      </c>
      <c r="I65" s="3245" t="s">
        <v>3562</v>
      </c>
      <c r="J65" s="3219" t="s">
        <v>3020</v>
      </c>
      <c r="K65" s="3245" t="s">
        <v>3563</v>
      </c>
      <c r="L65" s="3219">
        <v>44.5</v>
      </c>
      <c r="M65" s="3219">
        <v>2</v>
      </c>
      <c r="N65" s="3219" t="s">
        <v>3082</v>
      </c>
      <c r="O65" s="3219"/>
      <c r="P65" s="3219" t="s">
        <v>3023</v>
      </c>
      <c r="Q65" s="3222">
        <v>665000</v>
      </c>
      <c r="R65" s="3219">
        <v>14944</v>
      </c>
      <c r="S65" s="3223">
        <v>57.18</v>
      </c>
      <c r="T65" s="3224">
        <v>571800</v>
      </c>
      <c r="U65" s="3219">
        <v>12850</v>
      </c>
      <c r="V65" s="3225">
        <v>0.2</v>
      </c>
      <c r="W65" s="3223">
        <v>45.74</v>
      </c>
      <c r="X65" s="3226">
        <v>457400</v>
      </c>
      <c r="Y65" s="3192">
        <v>2009</v>
      </c>
      <c r="Z65" s="3192">
        <v>2</v>
      </c>
      <c r="AA65" s="3219">
        <v>20</v>
      </c>
      <c r="AB65" s="3219">
        <v>1500</v>
      </c>
      <c r="AC65" s="3219" t="s">
        <v>3049</v>
      </c>
      <c r="AD65" s="3220"/>
      <c r="AE65" s="3162" t="s">
        <v>3027</v>
      </c>
      <c r="AF65" s="3219" t="s">
        <v>3026</v>
      </c>
      <c r="AG65" s="3162" t="s">
        <v>2919</v>
      </c>
      <c r="AH65" s="3219"/>
      <c r="AI65" s="3162" t="s">
        <v>3051</v>
      </c>
      <c r="AJ65" s="3227"/>
      <c r="AK65" s="3241" t="s">
        <v>3121</v>
      </c>
      <c r="AL65" s="3219">
        <v>29</v>
      </c>
      <c r="AM65" s="3219" t="s">
        <v>3564</v>
      </c>
      <c r="AN65" s="3219" t="s">
        <v>3028</v>
      </c>
      <c r="AO65" s="3219"/>
      <c r="AP65" s="3192" t="s">
        <v>3161</v>
      </c>
      <c r="AQ65" s="3253" t="s">
        <v>2922</v>
      </c>
      <c r="AR65" s="3192"/>
      <c r="AS65" s="3192"/>
      <c r="AT65" s="3192"/>
      <c r="AU65" s="3192" t="s">
        <v>2898</v>
      </c>
      <c r="AV65" s="3192"/>
      <c r="AW65" s="3192"/>
      <c r="AX65" s="3192"/>
      <c r="AY65" s="3228"/>
      <c r="AZ65" s="3219" t="s">
        <v>3563</v>
      </c>
      <c r="BA65" s="3248"/>
      <c r="BB65" s="3249"/>
      <c r="BC65" s="3248"/>
      <c r="BD65" s="3250"/>
      <c r="BE65" s="3192"/>
      <c r="BF65" s="3230"/>
      <c r="BG65" s="3239"/>
      <c r="BH65" s="3219"/>
      <c r="BI65" s="3192" t="s">
        <v>3161</v>
      </c>
      <c r="BJ65" s="3231"/>
      <c r="BK65" s="3232"/>
      <c r="BL65" s="3219" t="s">
        <v>3035</v>
      </c>
      <c r="BM65" s="3192" t="s">
        <v>3036</v>
      </c>
      <c r="BN65" s="3192" t="s">
        <v>3056</v>
      </c>
      <c r="BO65" s="3192" t="s">
        <v>3072</v>
      </c>
      <c r="BP65" s="3192"/>
      <c r="BQ65" s="3192" t="e">
        <v>#DIV/0!</v>
      </c>
      <c r="BR65" s="3192" t="e">
        <v>#DIV/0!</v>
      </c>
      <c r="BS65" s="3233" t="s">
        <v>3164</v>
      </c>
      <c r="BT65" s="3233" t="s">
        <v>2918</v>
      </c>
      <c r="BU65" s="3234"/>
    </row>
    <row r="66" spans="1:73" s="3161" customFormat="1" ht="12" customHeight="1">
      <c r="A66" s="3219" t="s">
        <v>3565</v>
      </c>
      <c r="B66" s="3219" t="s">
        <v>3566</v>
      </c>
      <c r="C66" s="3220" t="s">
        <v>3567</v>
      </c>
      <c r="D66" s="3220" t="s">
        <v>3568</v>
      </c>
      <c r="E66" s="3219" t="s">
        <v>650</v>
      </c>
      <c r="F66" s="3245" t="s">
        <v>3554</v>
      </c>
      <c r="G66" s="3219"/>
      <c r="H66" s="3219" t="s">
        <v>3347</v>
      </c>
      <c r="I66" s="3245"/>
      <c r="J66" s="3219" t="s">
        <v>3569</v>
      </c>
      <c r="K66" s="3219" t="s">
        <v>3570</v>
      </c>
      <c r="L66" s="3219">
        <v>51.7</v>
      </c>
      <c r="M66" s="3219">
        <v>5</v>
      </c>
      <c r="N66" s="3245" t="s">
        <v>3082</v>
      </c>
      <c r="O66" s="3219"/>
      <c r="P66" s="3219" t="s">
        <v>3023</v>
      </c>
      <c r="Q66" s="3222">
        <v>560000</v>
      </c>
      <c r="R66" s="3219">
        <v>10832</v>
      </c>
      <c r="S66" s="3223">
        <v>65.14</v>
      </c>
      <c r="T66" s="3224">
        <v>651400</v>
      </c>
      <c r="U66" s="3219">
        <v>12600</v>
      </c>
      <c r="V66" s="3225">
        <v>0.2</v>
      </c>
      <c r="W66" s="3223">
        <v>52.11</v>
      </c>
      <c r="X66" s="3226">
        <v>521100</v>
      </c>
      <c r="Y66" s="3192">
        <v>2009</v>
      </c>
      <c r="Z66" s="3192">
        <v>2</v>
      </c>
      <c r="AA66" s="3192">
        <v>26</v>
      </c>
      <c r="AB66" s="3219">
        <v>1500</v>
      </c>
      <c r="AC66" s="3219" t="s">
        <v>3049</v>
      </c>
      <c r="AD66" s="3220" t="s">
        <v>3571</v>
      </c>
      <c r="AE66" s="3253" t="s">
        <v>3025</v>
      </c>
      <c r="AF66" s="3245" t="s">
        <v>3035</v>
      </c>
      <c r="AG66" s="3162" t="s">
        <v>2919</v>
      </c>
      <c r="AH66" s="3219"/>
      <c r="AI66" s="3162" t="s">
        <v>3051</v>
      </c>
      <c r="AJ66" s="3227"/>
      <c r="AK66" s="3237" t="s">
        <v>3121</v>
      </c>
      <c r="AL66" s="3192">
        <v>42</v>
      </c>
      <c r="AM66" s="3192"/>
      <c r="AN66" s="3162" t="s">
        <v>3130</v>
      </c>
      <c r="AO66" s="3219"/>
      <c r="AP66" s="3162" t="s">
        <v>3262</v>
      </c>
      <c r="AQ66" s="3253" t="s">
        <v>2922</v>
      </c>
      <c r="AR66" s="3192">
        <v>2009</v>
      </c>
      <c r="AS66" s="3192">
        <v>2</v>
      </c>
      <c r="AT66" s="3192">
        <v>26</v>
      </c>
      <c r="AU66" s="3192" t="s">
        <v>2898</v>
      </c>
      <c r="AV66" s="3192"/>
      <c r="AW66" s="3192" t="s">
        <v>3033</v>
      </c>
      <c r="AX66" s="3192"/>
      <c r="AY66" s="3228"/>
      <c r="AZ66" s="3219" t="s">
        <v>3572</v>
      </c>
      <c r="BA66" s="3248"/>
      <c r="BB66" s="3249"/>
      <c r="BC66" s="3248"/>
      <c r="BD66" s="3250"/>
      <c r="BE66" s="3192">
        <v>13301392752</v>
      </c>
      <c r="BF66" s="3230"/>
      <c r="BG66" s="3239">
        <v>39867</v>
      </c>
      <c r="BH66" s="3219"/>
      <c r="BI66" s="3219" t="s">
        <v>3262</v>
      </c>
      <c r="BJ66" s="3231">
        <v>39868</v>
      </c>
      <c r="BK66" s="3232"/>
      <c r="BL66" s="3219" t="s">
        <v>3035</v>
      </c>
      <c r="BM66" s="3219" t="s">
        <v>3036</v>
      </c>
      <c r="BN66" s="3219" t="s">
        <v>3056</v>
      </c>
      <c r="BO66" s="3219" t="s">
        <v>3072</v>
      </c>
      <c r="BP66" s="3192"/>
      <c r="BQ66" s="3192" t="e">
        <v>#DIV/0!</v>
      </c>
      <c r="BR66" s="3192" t="e">
        <v>#DIV/0!</v>
      </c>
      <c r="BS66" s="3233" t="s">
        <v>3263</v>
      </c>
      <c r="BT66" s="3233" t="s">
        <v>2918</v>
      </c>
      <c r="BU66" s="3234"/>
    </row>
    <row r="67" spans="1:73" s="3161" customFormat="1" ht="12" customHeight="1">
      <c r="A67" s="3219" t="s">
        <v>3573</v>
      </c>
      <c r="B67" s="3219" t="s">
        <v>3574</v>
      </c>
      <c r="C67" s="3220" t="s">
        <v>3575</v>
      </c>
      <c r="D67" s="3220" t="s">
        <v>3576</v>
      </c>
      <c r="E67" s="3219" t="s">
        <v>650</v>
      </c>
      <c r="F67" s="3219" t="s">
        <v>3554</v>
      </c>
      <c r="G67" s="3219"/>
      <c r="H67" s="3219" t="s">
        <v>3275</v>
      </c>
      <c r="I67" s="3219" t="s">
        <v>3577</v>
      </c>
      <c r="J67" s="3220" t="s">
        <v>3446</v>
      </c>
      <c r="K67" s="3219" t="s">
        <v>3574</v>
      </c>
      <c r="L67" s="3246" t="s">
        <v>3578</v>
      </c>
      <c r="M67" s="3220" t="s">
        <v>24</v>
      </c>
      <c r="N67" s="3219" t="s">
        <v>3022</v>
      </c>
      <c r="O67" s="3219"/>
      <c r="P67" s="3219" t="s">
        <v>3023</v>
      </c>
      <c r="Q67" s="3251">
        <v>780000</v>
      </c>
      <c r="R67" s="3219">
        <v>13243</v>
      </c>
      <c r="S67" s="3223">
        <v>75.39</v>
      </c>
      <c r="T67" s="3224">
        <v>753900</v>
      </c>
      <c r="U67" s="3219">
        <v>12800</v>
      </c>
      <c r="V67" s="3225">
        <v>0.2</v>
      </c>
      <c r="W67" s="3223">
        <v>60.31</v>
      </c>
      <c r="X67" s="3226">
        <v>603100</v>
      </c>
      <c r="Y67" s="3192">
        <v>2009</v>
      </c>
      <c r="Z67" s="3192">
        <v>3</v>
      </c>
      <c r="AA67" s="3192">
        <v>26</v>
      </c>
      <c r="AB67" s="3219">
        <v>1500</v>
      </c>
      <c r="AC67" s="3219" t="s">
        <v>3049</v>
      </c>
      <c r="AD67" s="3220" t="s">
        <v>3579</v>
      </c>
      <c r="AE67" s="3219" t="s">
        <v>3025</v>
      </c>
      <c r="AF67" s="3219" t="s">
        <v>3026</v>
      </c>
      <c r="AG67" s="3219" t="s">
        <v>2919</v>
      </c>
      <c r="AH67" s="3219"/>
      <c r="AI67" s="3162" t="s">
        <v>3051</v>
      </c>
      <c r="AJ67" s="3227" t="s">
        <v>2815</v>
      </c>
      <c r="AK67" s="3237" t="s">
        <v>3028</v>
      </c>
      <c r="AL67" s="3192">
        <v>33</v>
      </c>
      <c r="AM67" s="3219" t="s">
        <v>3580</v>
      </c>
      <c r="AN67" s="3192" t="s">
        <v>3130</v>
      </c>
      <c r="AO67" s="3219" t="s">
        <v>2815</v>
      </c>
      <c r="AP67" s="3219" t="s">
        <v>3051</v>
      </c>
      <c r="AQ67" s="3219" t="s">
        <v>3032</v>
      </c>
      <c r="AR67" s="3192"/>
      <c r="AS67" s="3192"/>
      <c r="AT67" s="3192"/>
      <c r="AU67" s="3192"/>
      <c r="AV67" s="3192"/>
      <c r="AW67" s="3219" t="s">
        <v>3200</v>
      </c>
      <c r="AX67" s="3192" t="s">
        <v>3070</v>
      </c>
      <c r="AY67" s="3228" t="s">
        <v>3581</v>
      </c>
      <c r="AZ67" s="3219" t="s">
        <v>3582</v>
      </c>
      <c r="BA67" s="3192"/>
      <c r="BB67" s="3228"/>
      <c r="BC67" s="3192"/>
      <c r="BD67" s="3229"/>
      <c r="BE67" s="3192" t="s">
        <v>2815</v>
      </c>
      <c r="BF67" s="3230"/>
      <c r="BG67" s="3231">
        <v>39885</v>
      </c>
      <c r="BH67" s="3219"/>
      <c r="BI67" s="3162" t="s">
        <v>3191</v>
      </c>
      <c r="BJ67" s="3239">
        <v>39895</v>
      </c>
      <c r="BK67" s="3232"/>
      <c r="BL67" s="3219" t="s">
        <v>2923</v>
      </c>
      <c r="BM67" s="3219"/>
      <c r="BN67" s="3219"/>
      <c r="BO67" s="3192"/>
      <c r="BP67" s="3192"/>
      <c r="BQ67" s="3192" t="e">
        <v>#DIV/0!</v>
      </c>
      <c r="BR67" s="3192" t="e">
        <v>#DIV/0!</v>
      </c>
      <c r="BS67" s="3233" t="s">
        <v>3192</v>
      </c>
      <c r="BT67" s="3233" t="s">
        <v>2918</v>
      </c>
      <c r="BU67" s="3234"/>
    </row>
    <row r="68" spans="1:73" s="3161" customFormat="1" ht="12" hidden="1" customHeight="1">
      <c r="A68" s="3219" t="s">
        <v>3583</v>
      </c>
      <c r="B68" s="3219" t="s">
        <v>3584</v>
      </c>
      <c r="C68" s="3220" t="s">
        <v>3585</v>
      </c>
      <c r="D68" s="3220" t="s">
        <v>3586</v>
      </c>
      <c r="E68" s="3219" t="s">
        <v>650</v>
      </c>
      <c r="F68" s="3219" t="s">
        <v>3554</v>
      </c>
      <c r="G68" s="3219"/>
      <c r="H68" s="3219" t="s">
        <v>3115</v>
      </c>
      <c r="I68" s="3219" t="s">
        <v>3587</v>
      </c>
      <c r="J68" s="3219" t="s">
        <v>3588</v>
      </c>
      <c r="K68" s="3219" t="s">
        <v>3589</v>
      </c>
      <c r="L68" s="3244">
        <v>67.2</v>
      </c>
      <c r="M68" s="3219">
        <v>2</v>
      </c>
      <c r="N68" s="3219" t="s">
        <v>3096</v>
      </c>
      <c r="O68" s="3244"/>
      <c r="P68" s="3219" t="s">
        <v>3023</v>
      </c>
      <c r="Q68" s="3222">
        <v>540000</v>
      </c>
      <c r="R68" s="3219">
        <v>8036</v>
      </c>
      <c r="S68" s="3223">
        <v>83.5</v>
      </c>
      <c r="T68" s="3224">
        <v>835000</v>
      </c>
      <c r="U68" s="3219">
        <v>12426</v>
      </c>
      <c r="V68" s="3225">
        <v>0.2</v>
      </c>
      <c r="W68" s="3223">
        <v>66.8</v>
      </c>
      <c r="X68" s="3226">
        <v>668000</v>
      </c>
      <c r="Y68" s="3192">
        <v>2009</v>
      </c>
      <c r="Z68" s="3192">
        <v>4</v>
      </c>
      <c r="AA68" s="3219">
        <v>8</v>
      </c>
      <c r="AB68" s="3219">
        <v>1500</v>
      </c>
      <c r="AC68" s="3219" t="s">
        <v>3049</v>
      </c>
      <c r="AD68" s="3254"/>
      <c r="AE68" s="3162" t="s">
        <v>3025</v>
      </c>
      <c r="AF68" s="3219" t="s">
        <v>3026</v>
      </c>
      <c r="AG68" s="3162" t="s">
        <v>2919</v>
      </c>
      <c r="AH68" s="3219"/>
      <c r="AI68" s="3162" t="s">
        <v>3051</v>
      </c>
      <c r="AJ68" s="3227"/>
      <c r="AK68" s="3237">
        <v>4</v>
      </c>
      <c r="AL68" s="3219">
        <v>29</v>
      </c>
      <c r="AM68" s="3219"/>
      <c r="AN68" s="3162" t="s">
        <v>3121</v>
      </c>
      <c r="AO68" s="3219"/>
      <c r="AP68" s="3248" t="s">
        <v>3084</v>
      </c>
      <c r="AQ68" s="3219" t="s">
        <v>2922</v>
      </c>
      <c r="AR68" s="3192"/>
      <c r="AS68" s="3192"/>
      <c r="AT68" s="3192"/>
      <c r="AU68" s="3192" t="s">
        <v>2898</v>
      </c>
      <c r="AV68" s="3192"/>
      <c r="AW68" s="3192"/>
      <c r="AX68" s="3192"/>
      <c r="AY68" s="3228"/>
      <c r="AZ68" s="3219" t="s">
        <v>3589</v>
      </c>
      <c r="BA68" s="3248"/>
      <c r="BB68" s="3249"/>
      <c r="BC68" s="3248"/>
      <c r="BD68" s="3250"/>
      <c r="BE68" s="3192"/>
      <c r="BF68" s="3230"/>
      <c r="BG68" s="3239"/>
      <c r="BH68" s="3219"/>
      <c r="BI68" s="3248" t="s">
        <v>3084</v>
      </c>
      <c r="BJ68" s="3227"/>
      <c r="BK68" s="3232"/>
      <c r="BL68" s="3219" t="s">
        <v>3035</v>
      </c>
      <c r="BM68" s="3219" t="s">
        <v>3036</v>
      </c>
      <c r="BN68" s="3192" t="s">
        <v>3056</v>
      </c>
      <c r="BO68" s="3192" t="s">
        <v>3072</v>
      </c>
      <c r="BP68" s="3192"/>
      <c r="BQ68" s="3192" t="e">
        <v>#DIV/0!</v>
      </c>
      <c r="BR68" s="3192" t="e">
        <v>#DIV/0!</v>
      </c>
      <c r="BS68" s="3233" t="s">
        <v>3085</v>
      </c>
      <c r="BT68" s="3233" t="s">
        <v>2918</v>
      </c>
      <c r="BU68" s="3234"/>
    </row>
    <row r="69" spans="1:73" s="3272" customFormat="1" ht="12" customHeight="1">
      <c r="A69" s="3219" t="s">
        <v>3590</v>
      </c>
      <c r="B69" s="3219" t="s">
        <v>3591</v>
      </c>
      <c r="C69" s="3220" t="s">
        <v>3592</v>
      </c>
      <c r="D69" s="3220" t="s">
        <v>3593</v>
      </c>
      <c r="E69" s="3245" t="s">
        <v>3102</v>
      </c>
      <c r="F69" s="3245" t="s">
        <v>3554</v>
      </c>
      <c r="G69" s="3219"/>
      <c r="H69" s="3219" t="s">
        <v>3594</v>
      </c>
      <c r="I69" s="3219" t="s">
        <v>3595</v>
      </c>
      <c r="J69" s="3219" t="s">
        <v>3596</v>
      </c>
      <c r="K69" s="3245" t="s">
        <v>3597</v>
      </c>
      <c r="L69" s="3219">
        <v>43.5</v>
      </c>
      <c r="M69" s="3219" t="s">
        <v>3598</v>
      </c>
      <c r="N69" s="3219" t="s">
        <v>3599</v>
      </c>
      <c r="O69" s="3219"/>
      <c r="P69" s="3219" t="s">
        <v>2917</v>
      </c>
      <c r="Q69" s="3222">
        <v>790000</v>
      </c>
      <c r="R69" s="3219">
        <v>18161</v>
      </c>
      <c r="S69" s="3223">
        <v>63.79</v>
      </c>
      <c r="T69" s="3224">
        <v>637900</v>
      </c>
      <c r="U69" s="3219">
        <v>14665</v>
      </c>
      <c r="V69" s="3225">
        <v>0.2</v>
      </c>
      <c r="W69" s="3223">
        <v>51.03</v>
      </c>
      <c r="X69" s="3226">
        <v>510300</v>
      </c>
      <c r="Y69" s="3192">
        <v>2009</v>
      </c>
      <c r="Z69" s="3192">
        <v>6</v>
      </c>
      <c r="AA69" s="3219">
        <v>24</v>
      </c>
      <c r="AB69" s="3219">
        <v>1500</v>
      </c>
      <c r="AC69" s="3219" t="s">
        <v>2918</v>
      </c>
      <c r="AD69" s="3240" t="s">
        <v>3600</v>
      </c>
      <c r="AE69" s="3162" t="s">
        <v>3448</v>
      </c>
      <c r="AF69" s="3219" t="s">
        <v>2923</v>
      </c>
      <c r="AG69" s="3162" t="s">
        <v>2919</v>
      </c>
      <c r="AH69" s="3219">
        <v>18160</v>
      </c>
      <c r="AI69" s="3162"/>
      <c r="AJ69" s="3227"/>
      <c r="AK69" s="3241" t="s">
        <v>3601</v>
      </c>
      <c r="AL69" s="3219">
        <v>29</v>
      </c>
      <c r="AM69" s="3192"/>
      <c r="AN69" s="3192" t="s">
        <v>3602</v>
      </c>
      <c r="AO69" s="3219"/>
      <c r="AP69" s="3219" t="s">
        <v>3245</v>
      </c>
      <c r="AQ69" s="3192" t="s">
        <v>2922</v>
      </c>
      <c r="AR69" s="3192">
        <v>2009</v>
      </c>
      <c r="AS69" s="3192">
        <v>6</v>
      </c>
      <c r="AT69" s="3192">
        <v>24</v>
      </c>
      <c r="AU69" s="3192"/>
      <c r="AV69" s="3192" t="s">
        <v>2898</v>
      </c>
      <c r="AW69" s="3192" t="s">
        <v>3110</v>
      </c>
      <c r="AX69" s="3192"/>
      <c r="AY69" s="3228"/>
      <c r="AZ69" s="3219" t="s">
        <v>3597</v>
      </c>
      <c r="BA69" s="3248"/>
      <c r="BB69" s="3249"/>
      <c r="BC69" s="3248"/>
      <c r="BD69" s="3250"/>
      <c r="BE69" s="3192"/>
      <c r="BF69" s="3230"/>
      <c r="BG69" s="3239">
        <v>39969</v>
      </c>
      <c r="BH69" s="3219"/>
      <c r="BI69" s="3192" t="s">
        <v>3246</v>
      </c>
      <c r="BJ69" s="3227">
        <v>39983</v>
      </c>
      <c r="BK69" s="3232"/>
      <c r="BL69" s="3219" t="s">
        <v>2923</v>
      </c>
      <c r="BM69" s="3192" t="s">
        <v>2883</v>
      </c>
      <c r="BN69" s="3192" t="s">
        <v>2924</v>
      </c>
      <c r="BO69" s="3192" t="s">
        <v>2925</v>
      </c>
      <c r="BP69" s="3192"/>
      <c r="BQ69" s="3192" t="e">
        <v>#DIV/0!</v>
      </c>
      <c r="BR69" s="3192" t="e">
        <v>#DIV/0!</v>
      </c>
      <c r="BS69" s="3233" t="s">
        <v>3246</v>
      </c>
      <c r="BT69" s="3233" t="s">
        <v>2918</v>
      </c>
      <c r="BU69" s="3234"/>
    </row>
    <row r="70" spans="1:73" s="3161" customFormat="1" ht="12" customHeight="1">
      <c r="A70" s="3219" t="s">
        <v>3603</v>
      </c>
      <c r="B70" s="3219" t="s">
        <v>3604</v>
      </c>
      <c r="C70" s="3220" t="s">
        <v>3605</v>
      </c>
      <c r="D70" s="3220" t="s">
        <v>3606</v>
      </c>
      <c r="E70" s="3245" t="s">
        <v>650</v>
      </c>
      <c r="F70" s="3219" t="s">
        <v>3554</v>
      </c>
      <c r="G70" s="3219"/>
      <c r="H70" s="3219" t="s">
        <v>3555</v>
      </c>
      <c r="I70" s="3219" t="s">
        <v>3607</v>
      </c>
      <c r="J70" s="3219" t="s">
        <v>3020</v>
      </c>
      <c r="K70" s="3219" t="s">
        <v>3604</v>
      </c>
      <c r="L70" s="3270">
        <v>44.3</v>
      </c>
      <c r="M70" s="3220" t="s">
        <v>3119</v>
      </c>
      <c r="N70" s="3219" t="s">
        <v>3082</v>
      </c>
      <c r="O70" s="3219"/>
      <c r="P70" s="3219" t="s">
        <v>3023</v>
      </c>
      <c r="Q70" s="3251">
        <v>760000</v>
      </c>
      <c r="R70" s="3219">
        <v>17156</v>
      </c>
      <c r="S70" s="3223">
        <v>67.489999999999995</v>
      </c>
      <c r="T70" s="3224">
        <v>674900</v>
      </c>
      <c r="U70" s="3219">
        <v>15236</v>
      </c>
      <c r="V70" s="3225">
        <v>0.2</v>
      </c>
      <c r="W70" s="3223">
        <v>53.99</v>
      </c>
      <c r="X70" s="3226">
        <v>539900</v>
      </c>
      <c r="Y70" s="3219">
        <v>2009</v>
      </c>
      <c r="Z70" s="3192">
        <v>7</v>
      </c>
      <c r="AA70" s="3192">
        <v>14</v>
      </c>
      <c r="AB70" s="3219">
        <v>1500</v>
      </c>
      <c r="AC70" s="3219" t="s">
        <v>2918</v>
      </c>
      <c r="AD70" s="3220" t="s">
        <v>3608</v>
      </c>
      <c r="AE70" s="3219" t="s">
        <v>3025</v>
      </c>
      <c r="AF70" s="3219" t="s">
        <v>3035</v>
      </c>
      <c r="AG70" s="3162" t="s">
        <v>2919</v>
      </c>
      <c r="AH70" s="3219"/>
      <c r="AI70" s="3219" t="s">
        <v>3051</v>
      </c>
      <c r="AJ70" s="3227"/>
      <c r="AK70" s="3237" t="s">
        <v>3109</v>
      </c>
      <c r="AL70" s="3192">
        <v>29</v>
      </c>
      <c r="AM70" s="3219"/>
      <c r="AN70" s="3192" t="s">
        <v>3028</v>
      </c>
      <c r="AO70" s="3219"/>
      <c r="AP70" s="3219" t="s">
        <v>3084</v>
      </c>
      <c r="AQ70" s="3192" t="s">
        <v>2922</v>
      </c>
      <c r="AR70" s="3219">
        <v>2009</v>
      </c>
      <c r="AS70" s="3219">
        <v>7</v>
      </c>
      <c r="AT70" s="3219">
        <v>14</v>
      </c>
      <c r="AU70" s="3192"/>
      <c r="AV70" s="3192" t="s">
        <v>2898</v>
      </c>
      <c r="AW70" s="3192" t="s">
        <v>3069</v>
      </c>
      <c r="AX70" s="3192"/>
      <c r="AY70" s="3228"/>
      <c r="AZ70" s="3237" t="s">
        <v>3609</v>
      </c>
      <c r="BA70" s="3192"/>
      <c r="BB70" s="3228"/>
      <c r="BC70" s="3192"/>
      <c r="BD70" s="3229"/>
      <c r="BE70" s="3192">
        <v>13311312353</v>
      </c>
      <c r="BF70" s="3230"/>
      <c r="BG70" s="3231">
        <v>39994</v>
      </c>
      <c r="BH70" s="3219"/>
      <c r="BI70" s="3192" t="s">
        <v>3084</v>
      </c>
      <c r="BJ70" s="3239">
        <v>40003</v>
      </c>
      <c r="BK70" s="3232"/>
      <c r="BL70" s="3192" t="s">
        <v>3035</v>
      </c>
      <c r="BM70" s="3219" t="s">
        <v>3036</v>
      </c>
      <c r="BN70" s="3219" t="s">
        <v>3056</v>
      </c>
      <c r="BO70" s="3219" t="s">
        <v>3072</v>
      </c>
      <c r="BP70" s="3192"/>
      <c r="BQ70" s="3192" t="e">
        <v>#DIV/0!</v>
      </c>
      <c r="BR70" s="3192" t="e">
        <v>#DIV/0!</v>
      </c>
      <c r="BS70" s="3233" t="s">
        <v>3085</v>
      </c>
      <c r="BT70" s="3233" t="s">
        <v>2918</v>
      </c>
      <c r="BU70" s="3234"/>
    </row>
    <row r="71" spans="1:73" s="3161" customFormat="1" ht="12" hidden="1" customHeight="1">
      <c r="A71" s="3245" t="s">
        <v>3610</v>
      </c>
      <c r="B71" s="3219" t="s">
        <v>3611</v>
      </c>
      <c r="C71" s="3220" t="s">
        <v>3612</v>
      </c>
      <c r="D71" s="3245">
        <v>13521267290</v>
      </c>
      <c r="E71" s="3219" t="s">
        <v>3102</v>
      </c>
      <c r="F71" s="3219" t="s">
        <v>3613</v>
      </c>
      <c r="G71" s="3219"/>
      <c r="H71" s="3219" t="s">
        <v>3614</v>
      </c>
      <c r="I71" s="3219" t="s">
        <v>3475</v>
      </c>
      <c r="J71" s="3219" t="s">
        <v>3170</v>
      </c>
      <c r="K71" s="3219" t="s">
        <v>3615</v>
      </c>
      <c r="L71" s="3219">
        <v>42.1</v>
      </c>
      <c r="M71" s="3219">
        <v>4</v>
      </c>
      <c r="N71" s="3219" t="s">
        <v>3599</v>
      </c>
      <c r="O71" s="3219"/>
      <c r="P71" s="3219" t="s">
        <v>2917</v>
      </c>
      <c r="Q71" s="3219">
        <v>600000</v>
      </c>
      <c r="R71" s="3219">
        <v>14252</v>
      </c>
      <c r="S71" s="3223">
        <v>72.44</v>
      </c>
      <c r="T71" s="3224">
        <v>724400</v>
      </c>
      <c r="U71" s="3219">
        <v>17208</v>
      </c>
      <c r="V71" s="3225">
        <v>0.2</v>
      </c>
      <c r="W71" s="3223">
        <v>57.95</v>
      </c>
      <c r="X71" s="3226">
        <v>579500</v>
      </c>
      <c r="Y71" s="3219">
        <v>2009</v>
      </c>
      <c r="Z71" s="3219">
        <v>8</v>
      </c>
      <c r="AA71" s="3219">
        <v>7</v>
      </c>
      <c r="AB71" s="3219">
        <v>1500</v>
      </c>
      <c r="AC71" s="3219" t="s">
        <v>2918</v>
      </c>
      <c r="AD71" s="3220"/>
      <c r="AE71" s="3219" t="s">
        <v>3490</v>
      </c>
      <c r="AF71" s="3219" t="s">
        <v>3108</v>
      </c>
      <c r="AG71" s="3219" t="s">
        <v>2919</v>
      </c>
      <c r="AH71" s="3219"/>
      <c r="AI71" s="3219" t="s">
        <v>2920</v>
      </c>
      <c r="AJ71" s="3219"/>
      <c r="AK71" s="3219" t="s">
        <v>3120</v>
      </c>
      <c r="AL71" s="3219">
        <v>29</v>
      </c>
      <c r="AM71" s="3219"/>
      <c r="AN71" s="3219" t="s">
        <v>3236</v>
      </c>
      <c r="AO71" s="3219"/>
      <c r="AP71" s="3219" t="s">
        <v>3057</v>
      </c>
      <c r="AQ71" s="3192" t="s">
        <v>3032</v>
      </c>
      <c r="AR71" s="3219"/>
      <c r="AS71" s="3219"/>
      <c r="AT71" s="3219"/>
      <c r="AU71" s="3219"/>
      <c r="AV71" s="3219"/>
      <c r="AW71" s="3219" t="s">
        <v>3110</v>
      </c>
      <c r="AX71" s="3219"/>
      <c r="AY71" s="3220"/>
      <c r="AZ71" s="3219" t="s">
        <v>3615</v>
      </c>
      <c r="BA71" s="3219"/>
      <c r="BB71" s="3220"/>
      <c r="BC71" s="3219"/>
      <c r="BD71" s="3243"/>
      <c r="BE71" s="3219"/>
      <c r="BF71" s="3244"/>
      <c r="BG71" s="3227"/>
      <c r="BH71" s="3219"/>
      <c r="BI71" s="3219" t="s">
        <v>3057</v>
      </c>
      <c r="BJ71" s="3238"/>
      <c r="BK71" s="3238"/>
      <c r="BL71" s="3219" t="s">
        <v>2923</v>
      </c>
      <c r="BM71" s="3219" t="s">
        <v>2883</v>
      </c>
      <c r="BN71" s="3219" t="s">
        <v>2924</v>
      </c>
      <c r="BO71" s="3219" t="s">
        <v>2925</v>
      </c>
      <c r="BP71" s="3219"/>
      <c r="BQ71" s="3192" t="e">
        <v>#DIV/0!</v>
      </c>
      <c r="BR71" s="3192" t="e">
        <v>#DIV/0!</v>
      </c>
      <c r="BS71" s="3233" t="s">
        <v>3057</v>
      </c>
      <c r="BT71" s="3233" t="s">
        <v>2918</v>
      </c>
      <c r="BU71" s="3234"/>
    </row>
    <row r="72" spans="1:73" s="3294" customFormat="1" ht="12" customHeight="1">
      <c r="A72" s="3281" t="s">
        <v>3616</v>
      </c>
      <c r="B72" s="3282" t="s">
        <v>3617</v>
      </c>
      <c r="C72" s="3283" t="s">
        <v>3618</v>
      </c>
      <c r="D72" s="3282">
        <v>13311535967</v>
      </c>
      <c r="E72" s="3282" t="s">
        <v>3102</v>
      </c>
      <c r="F72" s="3282" t="s">
        <v>3613</v>
      </c>
      <c r="G72" s="3283"/>
      <c r="H72" s="3282" t="s">
        <v>3005</v>
      </c>
      <c r="I72" s="3282" t="s">
        <v>3619</v>
      </c>
      <c r="J72" s="3282" t="s">
        <v>3620</v>
      </c>
      <c r="K72" s="3282" t="s">
        <v>3617</v>
      </c>
      <c r="L72" s="3282">
        <v>57.9</v>
      </c>
      <c r="M72" s="3282" t="s">
        <v>3621</v>
      </c>
      <c r="N72" s="3282" t="s">
        <v>3096</v>
      </c>
      <c r="O72" s="3282">
        <v>37.700000000000003</v>
      </c>
      <c r="P72" s="3282" t="s">
        <v>2917</v>
      </c>
      <c r="Q72" s="3283">
        <v>1150000</v>
      </c>
      <c r="R72" s="3282">
        <v>19862</v>
      </c>
      <c r="S72" s="3286">
        <v>100.53</v>
      </c>
      <c r="T72" s="3287">
        <v>1005300</v>
      </c>
      <c r="U72" s="3282">
        <v>17364</v>
      </c>
      <c r="V72" s="3288">
        <v>0.2</v>
      </c>
      <c r="W72" s="3286">
        <v>80.42</v>
      </c>
      <c r="X72" s="3289">
        <v>804200</v>
      </c>
      <c r="Y72" s="3282">
        <v>2009</v>
      </c>
      <c r="Z72" s="3282">
        <v>9</v>
      </c>
      <c r="AA72" s="3282">
        <v>22</v>
      </c>
      <c r="AB72" s="3282">
        <v>1500</v>
      </c>
      <c r="AC72" s="3282" t="s">
        <v>2918</v>
      </c>
      <c r="AD72" s="3283" t="s">
        <v>3622</v>
      </c>
      <c r="AE72" s="3282" t="s">
        <v>3448</v>
      </c>
      <c r="AF72" s="3282" t="s">
        <v>3035</v>
      </c>
      <c r="AG72" s="3282" t="s">
        <v>2919</v>
      </c>
      <c r="AH72" s="3282"/>
      <c r="AI72" s="3282" t="s">
        <v>2920</v>
      </c>
      <c r="AJ72" s="3291"/>
      <c r="AK72" s="3282" t="s">
        <v>3623</v>
      </c>
      <c r="AL72" s="3282">
        <v>28</v>
      </c>
      <c r="AM72" s="3282"/>
      <c r="AN72" s="3282" t="s">
        <v>3130</v>
      </c>
      <c r="AO72" s="3282"/>
      <c r="AP72" s="3282" t="s">
        <v>3161</v>
      </c>
      <c r="AQ72" s="3282" t="s">
        <v>2922</v>
      </c>
      <c r="AR72" s="3282">
        <v>2009</v>
      </c>
      <c r="AS72" s="3282">
        <v>9</v>
      </c>
      <c r="AT72" s="3282">
        <v>22</v>
      </c>
      <c r="AU72" s="3282"/>
      <c r="AV72" s="3282"/>
      <c r="AW72" s="3282" t="s">
        <v>3200</v>
      </c>
      <c r="AX72" s="3282" t="s">
        <v>3070</v>
      </c>
      <c r="AY72" s="3299">
        <v>157202</v>
      </c>
      <c r="AZ72" s="3282" t="s">
        <v>3624</v>
      </c>
      <c r="BA72" s="3282"/>
      <c r="BB72" s="3282"/>
      <c r="BC72" s="3282"/>
      <c r="BD72" s="3282"/>
      <c r="BE72" s="3282"/>
      <c r="BF72" s="3282"/>
      <c r="BG72" s="3291">
        <v>40054</v>
      </c>
      <c r="BH72" s="3282"/>
      <c r="BI72" s="3282" t="s">
        <v>3161</v>
      </c>
      <c r="BJ72" s="3298">
        <v>40066</v>
      </c>
      <c r="BK72" s="3298"/>
      <c r="BL72" s="3282"/>
      <c r="BM72" s="3282"/>
      <c r="BN72" s="3282"/>
      <c r="BO72" s="3282"/>
      <c r="BP72" s="3282"/>
      <c r="BQ72" s="3290">
        <v>26666</v>
      </c>
      <c r="BR72" s="3290">
        <v>30504</v>
      </c>
      <c r="BS72" s="3292" t="s">
        <v>3164</v>
      </c>
      <c r="BT72" s="3292" t="s">
        <v>2918</v>
      </c>
      <c r="BU72" s="3293"/>
    </row>
    <row r="73" spans="1:73" s="3234" customFormat="1" ht="12" hidden="1" customHeight="1">
      <c r="A73" s="3245" t="s">
        <v>3625</v>
      </c>
      <c r="B73" s="3255" t="s">
        <v>3626</v>
      </c>
      <c r="C73" s="3220" t="s">
        <v>3627</v>
      </c>
      <c r="D73" s="3220" t="s">
        <v>3628</v>
      </c>
      <c r="E73" s="3219" t="s">
        <v>650</v>
      </c>
      <c r="F73" s="3219" t="s">
        <v>3554</v>
      </c>
      <c r="G73" s="3219"/>
      <c r="H73" s="3219" t="s">
        <v>3158</v>
      </c>
      <c r="I73" s="3219" t="s">
        <v>3509</v>
      </c>
      <c r="J73" s="3219" t="s">
        <v>3629</v>
      </c>
      <c r="K73" s="3192" t="s">
        <v>3630</v>
      </c>
      <c r="L73" s="3219">
        <v>50</v>
      </c>
      <c r="M73" s="3219">
        <v>1</v>
      </c>
      <c r="N73" s="3219" t="s">
        <v>3082</v>
      </c>
      <c r="O73" s="3219"/>
      <c r="P73" s="3219" t="s">
        <v>3023</v>
      </c>
      <c r="Q73" s="3219">
        <v>800000</v>
      </c>
      <c r="R73" s="3219">
        <v>16000</v>
      </c>
      <c r="S73" s="3223">
        <v>89.24</v>
      </c>
      <c r="T73" s="3224">
        <v>892400</v>
      </c>
      <c r="U73" s="3219">
        <v>17849</v>
      </c>
      <c r="V73" s="3225">
        <v>0.2</v>
      </c>
      <c r="W73" s="3223">
        <v>71.39</v>
      </c>
      <c r="X73" s="3226">
        <v>713900</v>
      </c>
      <c r="Y73" s="3219">
        <v>2009</v>
      </c>
      <c r="Z73" s="3219">
        <v>9</v>
      </c>
      <c r="AA73" s="3219">
        <v>15</v>
      </c>
      <c r="AB73" s="3219">
        <v>1500</v>
      </c>
      <c r="AC73" s="3219" t="s">
        <v>2918</v>
      </c>
      <c r="AD73" s="3243"/>
      <c r="AE73" s="3219" t="s">
        <v>3025</v>
      </c>
      <c r="AF73" s="3219" t="s">
        <v>3035</v>
      </c>
      <c r="AG73" s="3162" t="s">
        <v>2919</v>
      </c>
      <c r="AH73" s="3219">
        <v>23000</v>
      </c>
      <c r="AI73" s="3219" t="s">
        <v>2920</v>
      </c>
      <c r="AJ73" s="3227"/>
      <c r="AK73" s="3241" t="s">
        <v>3151</v>
      </c>
      <c r="AL73" s="3192">
        <v>28</v>
      </c>
      <c r="AM73" s="3192" t="s">
        <v>2815</v>
      </c>
      <c r="AN73" s="3192" t="s">
        <v>3121</v>
      </c>
      <c r="AO73" s="3192"/>
      <c r="AP73" s="3192" t="s">
        <v>3296</v>
      </c>
      <c r="AQ73" s="3219" t="s">
        <v>2922</v>
      </c>
      <c r="AR73" s="3192"/>
      <c r="AS73" s="3192"/>
      <c r="AT73" s="3192"/>
      <c r="AU73" s="3192"/>
      <c r="AV73" s="3192"/>
      <c r="AW73" s="3192" t="s">
        <v>3069</v>
      </c>
      <c r="AX73" s="3192"/>
      <c r="AY73" s="3228"/>
      <c r="AZ73" s="3192" t="s">
        <v>3630</v>
      </c>
      <c r="BA73" s="3192"/>
      <c r="BB73" s="3228"/>
      <c r="BC73" s="3192"/>
      <c r="BD73" s="3229"/>
      <c r="BE73" s="3192"/>
      <c r="BF73" s="3230"/>
      <c r="BG73" s="3231"/>
      <c r="BH73" s="3192"/>
      <c r="BI73" s="3192" t="s">
        <v>3295</v>
      </c>
      <c r="BJ73" s="3232"/>
      <c r="BK73" s="3232"/>
      <c r="BL73" s="3219" t="s">
        <v>2923</v>
      </c>
      <c r="BM73" s="3219" t="s">
        <v>3036</v>
      </c>
      <c r="BN73" s="3219" t="s">
        <v>3056</v>
      </c>
      <c r="BO73" s="3219" t="s">
        <v>2925</v>
      </c>
      <c r="BP73" s="3192"/>
      <c r="BQ73" s="3192" t="e">
        <v>#DIV/0!</v>
      </c>
      <c r="BR73" s="3192" t="e">
        <v>#DIV/0!</v>
      </c>
      <c r="BS73" s="3233" t="s">
        <v>3296</v>
      </c>
      <c r="BT73" s="3233" t="s">
        <v>2918</v>
      </c>
    </row>
  </sheetData>
  <phoneticPr fontId="147" type="noConversion"/>
  <dataValidations count="1">
    <dataValidation allowBlank="1" showInputMessage="1" sqref="N6 JJ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N27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xr:uid="{00000000-0002-0000-1600-000000000000}"/>
  </dataValidation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D33" sqref="D3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2353</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146.78</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619" t="s">
        <v>2246</v>
      </c>
      <c r="D4" s="3620"/>
      <c r="E4" s="3621" t="s">
        <v>2247</v>
      </c>
      <c r="F4" s="3622"/>
      <c r="G4" s="3619" t="s">
        <v>2248</v>
      </c>
      <c r="H4" s="3620"/>
      <c r="I4" s="3619" t="s">
        <v>2249</v>
      </c>
      <c r="J4" s="3620"/>
      <c r="K4" s="1966" t="s">
        <v>2250</v>
      </c>
      <c r="L4" s="2997"/>
      <c r="M4" s="2998"/>
      <c r="N4" s="2998"/>
      <c r="O4" s="2998"/>
      <c r="P4" s="3623" t="s">
        <v>2251</v>
      </c>
      <c r="Q4" s="3624"/>
      <c r="R4" s="3629" t="s">
        <v>2247</v>
      </c>
      <c r="S4" s="3630"/>
      <c r="T4" s="3629" t="s">
        <v>2248</v>
      </c>
      <c r="U4" s="3630"/>
      <c r="V4" s="3635" t="s">
        <v>2249</v>
      </c>
      <c r="W4" s="3635"/>
      <c r="X4" s="2075"/>
      <c r="Y4" s="3629" t="s">
        <v>2251</v>
      </c>
      <c r="Z4" s="3630"/>
      <c r="AA4" s="3616" t="s">
        <v>2247</v>
      </c>
      <c r="AB4" s="3635" t="s">
        <v>2248</v>
      </c>
      <c r="AC4" s="3616" t="s">
        <v>2249</v>
      </c>
    </row>
    <row r="5" spans="1:29" ht="15">
      <c r="A5" s="1668"/>
      <c r="B5" s="1669"/>
      <c r="C5" s="3652" t="s">
        <v>2252</v>
      </c>
      <c r="D5" s="3639"/>
      <c r="E5" s="3667" t="s">
        <v>2253</v>
      </c>
      <c r="F5" s="3637"/>
      <c r="G5" s="3652" t="s">
        <v>2254</v>
      </c>
      <c r="H5" s="3639"/>
      <c r="I5" s="3652" t="s">
        <v>2255</v>
      </c>
      <c r="J5" s="3639"/>
      <c r="K5" s="1966"/>
      <c r="L5" s="2997"/>
      <c r="M5" s="2998"/>
      <c r="N5" s="2998"/>
      <c r="O5" s="2998"/>
      <c r="P5" s="3625"/>
      <c r="Q5" s="3626"/>
      <c r="R5" s="3631"/>
      <c r="S5" s="3632"/>
      <c r="T5" s="3631"/>
      <c r="U5" s="3632"/>
      <c r="V5" s="3635"/>
      <c r="W5" s="3635"/>
      <c r="X5" s="2075"/>
      <c r="Y5" s="3631"/>
      <c r="Z5" s="3632"/>
      <c r="AA5" s="3617"/>
      <c r="AB5" s="3635"/>
      <c r="AC5" s="3617"/>
    </row>
    <row r="6" spans="1:29" ht="15.75" thickBot="1">
      <c r="A6" s="1671"/>
      <c r="B6" s="1672"/>
      <c r="C6" s="3640" t="s">
        <v>2256</v>
      </c>
      <c r="D6" s="3641"/>
      <c r="E6" s="3666" t="s">
        <v>2256</v>
      </c>
      <c r="F6" s="3644"/>
      <c r="G6" s="3640" t="s">
        <v>2256</v>
      </c>
      <c r="H6" s="3641"/>
      <c r="I6" s="3640" t="s">
        <v>2256</v>
      </c>
      <c r="J6" s="3641"/>
      <c r="K6" s="1966" t="s">
        <v>2257</v>
      </c>
      <c r="L6" s="2997"/>
      <c r="M6" s="2998"/>
      <c r="N6" s="2998"/>
      <c r="O6" s="2998"/>
      <c r="P6" s="3627"/>
      <c r="Q6" s="3628"/>
      <c r="R6" s="3631"/>
      <c r="S6" s="3632"/>
      <c r="T6" s="3633"/>
      <c r="U6" s="3634"/>
      <c r="V6" s="3635"/>
      <c r="W6" s="3635"/>
      <c r="X6" s="2075"/>
      <c r="Y6" s="3633"/>
      <c r="Z6" s="3634"/>
      <c r="AA6" s="3618"/>
      <c r="AB6" s="3635"/>
      <c r="AC6" s="3618"/>
    </row>
    <row r="7" spans="1:29" s="1685" customFormat="1" ht="15.75" thickBot="1">
      <c r="A7" s="1673" t="s">
        <v>2258</v>
      </c>
      <c r="B7" s="1674"/>
      <c r="C7" s="1675">
        <f>'数据-取费表'!B2</f>
        <v>40065</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653" t="s">
        <v>2259</v>
      </c>
      <c r="Q7" s="3655"/>
      <c r="R7" s="1681" t="s">
        <v>25</v>
      </c>
      <c r="S7" s="1682">
        <f t="shared" ref="S7:S15" si="0">F7</f>
        <v>0</v>
      </c>
      <c r="T7" s="1681" t="s">
        <v>25</v>
      </c>
      <c r="U7" s="1682">
        <f t="shared" ref="U7:U15" si="1">H7</f>
        <v>0</v>
      </c>
      <c r="V7" s="1681" t="s">
        <v>25</v>
      </c>
      <c r="W7" s="1682">
        <f t="shared" ref="W7:W15" si="2">J7</f>
        <v>0</v>
      </c>
      <c r="X7" s="1683"/>
      <c r="Y7" s="3653" t="s">
        <v>2259</v>
      </c>
      <c r="Z7" s="3654"/>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653" t="s">
        <v>2262</v>
      </c>
      <c r="Q8" s="3654"/>
      <c r="R8" s="1681" t="s">
        <v>25</v>
      </c>
      <c r="S8" s="1682">
        <f t="shared" si="0"/>
        <v>0</v>
      </c>
      <c r="T8" s="1681" t="s">
        <v>25</v>
      </c>
      <c r="U8" s="1682">
        <f t="shared" si="1"/>
        <v>0</v>
      </c>
      <c r="V8" s="1681" t="s">
        <v>25</v>
      </c>
      <c r="W8" s="1682">
        <f t="shared" si="2"/>
        <v>0</v>
      </c>
      <c r="X8" s="1683"/>
      <c r="Y8" s="3653" t="s">
        <v>2262</v>
      </c>
      <c r="Z8" s="3654"/>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656" t="s">
        <v>2265</v>
      </c>
      <c r="Q9" s="2066" t="str">
        <f t="shared" ref="Q9:Q15" si="6">B9</f>
        <v>用途</v>
      </c>
      <c r="R9" s="1681" t="s">
        <v>25</v>
      </c>
      <c r="S9" s="1682">
        <f t="shared" si="0"/>
        <v>100</v>
      </c>
      <c r="T9" s="1681" t="s">
        <v>25</v>
      </c>
      <c r="U9" s="1682">
        <f t="shared" si="1"/>
        <v>100</v>
      </c>
      <c r="V9" s="1681" t="s">
        <v>25</v>
      </c>
      <c r="W9" s="1682">
        <f t="shared" si="2"/>
        <v>100</v>
      </c>
      <c r="X9" s="1683"/>
      <c r="Y9" s="3517"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656"/>
      <c r="Q10" s="2066" t="str">
        <f t="shared" si="6"/>
        <v>土地使用年限（年）</v>
      </c>
      <c r="R10" s="1681" t="s">
        <v>25</v>
      </c>
      <c r="S10" s="1682">
        <f t="shared" si="0"/>
        <v>100</v>
      </c>
      <c r="T10" s="1681" t="s">
        <v>25</v>
      </c>
      <c r="U10" s="1682">
        <f t="shared" si="1"/>
        <v>100</v>
      </c>
      <c r="V10" s="1681" t="s">
        <v>25</v>
      </c>
      <c r="W10" s="1682">
        <f t="shared" si="2"/>
        <v>100</v>
      </c>
      <c r="X10" s="1683"/>
      <c r="Y10" s="3517"/>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656"/>
      <c r="Q11" s="2066" t="str">
        <f t="shared" si="6"/>
        <v>容积率</v>
      </c>
      <c r="R11" s="1681" t="s">
        <v>25</v>
      </c>
      <c r="S11" s="1682" t="e">
        <f t="shared" si="0"/>
        <v>#N/A</v>
      </c>
      <c r="T11" s="1681" t="s">
        <v>25</v>
      </c>
      <c r="U11" s="1682" t="e">
        <f t="shared" si="1"/>
        <v>#N/A</v>
      </c>
      <c r="V11" s="1681" t="s">
        <v>25</v>
      </c>
      <c r="W11" s="1682" t="e">
        <f t="shared" si="2"/>
        <v>#N/A</v>
      </c>
      <c r="X11" s="1683"/>
      <c r="Y11" s="351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656"/>
      <c r="Q12" s="2066">
        <f t="shared" si="6"/>
        <v>111</v>
      </c>
      <c r="R12" s="1681" t="s">
        <v>25</v>
      </c>
      <c r="S12" s="1682">
        <f t="shared" si="0"/>
        <v>100</v>
      </c>
      <c r="T12" s="1681" t="s">
        <v>25</v>
      </c>
      <c r="U12" s="1682">
        <f t="shared" si="1"/>
        <v>100</v>
      </c>
      <c r="V12" s="1681" t="s">
        <v>25</v>
      </c>
      <c r="W12" s="1682">
        <f t="shared" si="2"/>
        <v>100</v>
      </c>
      <c r="X12" s="1683"/>
      <c r="Y12" s="351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656"/>
      <c r="Q13" s="2066">
        <f t="shared" si="6"/>
        <v>111</v>
      </c>
      <c r="R13" s="1681" t="s">
        <v>25</v>
      </c>
      <c r="S13" s="1682">
        <f t="shared" si="0"/>
        <v>100</v>
      </c>
      <c r="T13" s="1681" t="s">
        <v>25</v>
      </c>
      <c r="U13" s="1682">
        <f t="shared" si="1"/>
        <v>100</v>
      </c>
      <c r="V13" s="1681" t="s">
        <v>25</v>
      </c>
      <c r="W13" s="1682">
        <f t="shared" si="2"/>
        <v>100</v>
      </c>
      <c r="X13" s="1683"/>
      <c r="Y13" s="351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656"/>
      <c r="Q14" s="2066">
        <f t="shared" si="6"/>
        <v>111</v>
      </c>
      <c r="R14" s="1681" t="s">
        <v>25</v>
      </c>
      <c r="S14" s="1682">
        <f t="shared" si="0"/>
        <v>100</v>
      </c>
      <c r="T14" s="1681" t="s">
        <v>25</v>
      </c>
      <c r="U14" s="1682">
        <f t="shared" si="1"/>
        <v>100</v>
      </c>
      <c r="V14" s="1681" t="s">
        <v>25</v>
      </c>
      <c r="W14" s="1682">
        <f t="shared" si="2"/>
        <v>100</v>
      </c>
      <c r="X14" s="1683"/>
      <c r="Y14" s="3517"/>
      <c r="Z14" s="1694">
        <f t="shared" si="7"/>
        <v>111</v>
      </c>
      <c r="AA14" s="1684">
        <f t="shared" si="3"/>
        <v>1</v>
      </c>
      <c r="AB14" s="1684">
        <f t="shared" si="4"/>
        <v>1</v>
      </c>
      <c r="AC14" s="1684">
        <f t="shared" si="5"/>
        <v>1</v>
      </c>
    </row>
    <row r="15" spans="1:29" ht="71.25">
      <c r="A15" s="1718" t="s">
        <v>2269</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659" t="s">
        <v>2270</v>
      </c>
      <c r="Q15" s="2072" t="str">
        <f t="shared" si="6"/>
        <v>商业繁华度</v>
      </c>
      <c r="R15" s="1726" t="s">
        <v>25</v>
      </c>
      <c r="S15" s="1727">
        <f t="shared" si="0"/>
        <v>100</v>
      </c>
      <c r="T15" s="1726" t="s">
        <v>25</v>
      </c>
      <c r="U15" s="1727">
        <f t="shared" si="1"/>
        <v>100</v>
      </c>
      <c r="V15" s="1726" t="s">
        <v>25</v>
      </c>
      <c r="W15" s="1727">
        <f t="shared" si="2"/>
        <v>100</v>
      </c>
      <c r="X15" s="2075"/>
      <c r="Y15" s="3645"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660"/>
      <c r="Q16" s="2072"/>
      <c r="R16" s="1726"/>
      <c r="S16" s="1727"/>
      <c r="T16" s="1726"/>
      <c r="U16" s="1727"/>
      <c r="V16" s="1726"/>
      <c r="W16" s="1727"/>
      <c r="X16" s="2075"/>
      <c r="Y16" s="3646"/>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660"/>
      <c r="Q17" s="2072" t="str">
        <f>B17</f>
        <v>交通便捷度</v>
      </c>
      <c r="R17" s="1726" t="s">
        <v>25</v>
      </c>
      <c r="S17" s="1727">
        <f>F17</f>
        <v>100</v>
      </c>
      <c r="T17" s="1726" t="s">
        <v>25</v>
      </c>
      <c r="U17" s="1727">
        <f>H17</f>
        <v>100</v>
      </c>
      <c r="V17" s="1726" t="s">
        <v>25</v>
      </c>
      <c r="W17" s="1727">
        <f>J17</f>
        <v>100</v>
      </c>
      <c r="X17" s="2075"/>
      <c r="Y17" s="3646"/>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660"/>
      <c r="Q18" s="2072"/>
      <c r="R18" s="1726"/>
      <c r="S18" s="1727"/>
      <c r="T18" s="1726"/>
      <c r="U18" s="1727"/>
      <c r="V18" s="1726"/>
      <c r="W18" s="1727"/>
      <c r="X18" s="2075"/>
      <c r="Y18" s="3646"/>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660"/>
      <c r="Q19" s="2072" t="str">
        <f>B19</f>
        <v>公共配套设施</v>
      </c>
      <c r="R19" s="1726" t="s">
        <v>25</v>
      </c>
      <c r="S19" s="1727">
        <f>F19</f>
        <v>100</v>
      </c>
      <c r="T19" s="1726" t="s">
        <v>25</v>
      </c>
      <c r="U19" s="1727">
        <f>H19</f>
        <v>100</v>
      </c>
      <c r="V19" s="1726" t="s">
        <v>25</v>
      </c>
      <c r="W19" s="1727">
        <f>J19</f>
        <v>100</v>
      </c>
      <c r="X19" s="2075"/>
      <c r="Y19" s="3646"/>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660"/>
      <c r="Q20" s="2072"/>
      <c r="R20" s="1726"/>
      <c r="S20" s="1727"/>
      <c r="T20" s="1726"/>
      <c r="U20" s="1727"/>
      <c r="V20" s="1726"/>
      <c r="W20" s="1727"/>
      <c r="X20" s="2075"/>
      <c r="Y20" s="3646"/>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660"/>
      <c r="Q21" s="2072" t="str">
        <f>B21</f>
        <v>基础设施水平</v>
      </c>
      <c r="R21" s="1726" t="s">
        <v>25</v>
      </c>
      <c r="S21" s="1727">
        <f>F21</f>
        <v>100</v>
      </c>
      <c r="T21" s="1726" t="s">
        <v>25</v>
      </c>
      <c r="U21" s="1727">
        <f>H21</f>
        <v>100</v>
      </c>
      <c r="V21" s="1726" t="s">
        <v>25</v>
      </c>
      <c r="W21" s="1727">
        <f>J21</f>
        <v>100</v>
      </c>
      <c r="X21" s="2075"/>
      <c r="Y21" s="3646"/>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660"/>
      <c r="Q22" s="2072"/>
      <c r="R22" s="1726"/>
      <c r="S22" s="1727"/>
      <c r="T22" s="1726"/>
      <c r="U22" s="1727"/>
      <c r="V22" s="1726"/>
      <c r="W22" s="1727"/>
      <c r="X22" s="2075"/>
      <c r="Y22" s="3646"/>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660"/>
      <c r="Q23" s="2072" t="str">
        <f>B23</f>
        <v>自然及人文环境</v>
      </c>
      <c r="R23" s="1726" t="s">
        <v>25</v>
      </c>
      <c r="S23" s="1727">
        <f>F23</f>
        <v>100</v>
      </c>
      <c r="T23" s="1726" t="s">
        <v>25</v>
      </c>
      <c r="U23" s="1727">
        <f>H23</f>
        <v>100</v>
      </c>
      <c r="V23" s="1726" t="s">
        <v>25</v>
      </c>
      <c r="W23" s="1727">
        <f>J23</f>
        <v>100</v>
      </c>
      <c r="X23" s="2075"/>
      <c r="Y23" s="3646"/>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660"/>
      <c r="Q24" s="2072"/>
      <c r="R24" s="1726"/>
      <c r="S24" s="1727"/>
      <c r="T24" s="1726"/>
      <c r="U24" s="1727"/>
      <c r="V24" s="1726"/>
      <c r="W24" s="1727"/>
      <c r="X24" s="2075"/>
      <c r="Y24" s="3646"/>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660"/>
      <c r="Q25" s="2072" t="str">
        <f t="shared" ref="Q25:Q46" si="11">B25</f>
        <v>临街状况</v>
      </c>
      <c r="R25" s="1726" t="s">
        <v>25</v>
      </c>
      <c r="S25" s="1727">
        <f>F25</f>
        <v>100</v>
      </c>
      <c r="T25" s="1726" t="s">
        <v>25</v>
      </c>
      <c r="U25" s="1727">
        <f>H25</f>
        <v>100</v>
      </c>
      <c r="V25" s="1726" t="s">
        <v>25</v>
      </c>
      <c r="W25" s="1727">
        <f>J25</f>
        <v>100</v>
      </c>
      <c r="X25" s="2075"/>
      <c r="Y25" s="3646"/>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660"/>
      <c r="Q26" s="2072" t="str">
        <f t="shared" si="11"/>
        <v>平面位置/可视性</v>
      </c>
      <c r="R26" s="1726" t="s">
        <v>25</v>
      </c>
      <c r="S26" s="1727">
        <f>F26</f>
        <v>100</v>
      </c>
      <c r="T26" s="1726" t="s">
        <v>25</v>
      </c>
      <c r="U26" s="1727">
        <f>H26</f>
        <v>100</v>
      </c>
      <c r="V26" s="1726" t="s">
        <v>25</v>
      </c>
      <c r="W26" s="1727">
        <f>J26</f>
        <v>100</v>
      </c>
      <c r="X26" s="2075"/>
      <c r="Y26" s="3646"/>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660"/>
      <c r="Q27" s="2066" t="str">
        <f t="shared" si="11"/>
        <v>人流量</v>
      </c>
      <c r="R27" s="1681" t="s">
        <v>25</v>
      </c>
      <c r="S27" s="1682">
        <f>F27</f>
        <v>100</v>
      </c>
      <c r="T27" s="1681" t="s">
        <v>25</v>
      </c>
      <c r="U27" s="1682">
        <f>H27</f>
        <v>100</v>
      </c>
      <c r="V27" s="1681" t="s">
        <v>25</v>
      </c>
      <c r="W27" s="1682">
        <f>J27</f>
        <v>100</v>
      </c>
      <c r="X27" s="1683"/>
      <c r="Y27" s="3646"/>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660"/>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646"/>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660"/>
      <c r="Q29" s="2072">
        <f t="shared" si="11"/>
        <v>111</v>
      </c>
      <c r="R29" s="1726" t="s">
        <v>25</v>
      </c>
      <c r="S29" s="1727">
        <f t="shared" si="12"/>
        <v>100</v>
      </c>
      <c r="T29" s="1726" t="s">
        <v>25</v>
      </c>
      <c r="U29" s="1727">
        <f t="shared" si="13"/>
        <v>100</v>
      </c>
      <c r="V29" s="1726" t="s">
        <v>25</v>
      </c>
      <c r="W29" s="1727">
        <f t="shared" si="14"/>
        <v>100</v>
      </c>
      <c r="X29" s="2075"/>
      <c r="Y29" s="3646"/>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660"/>
      <c r="Q30" s="2072">
        <f t="shared" si="11"/>
        <v>111</v>
      </c>
      <c r="R30" s="1726" t="s">
        <v>25</v>
      </c>
      <c r="S30" s="1727">
        <f t="shared" si="12"/>
        <v>100</v>
      </c>
      <c r="T30" s="1726" t="s">
        <v>25</v>
      </c>
      <c r="U30" s="1727">
        <f t="shared" si="13"/>
        <v>100</v>
      </c>
      <c r="V30" s="1726" t="s">
        <v>25</v>
      </c>
      <c r="W30" s="1727">
        <f t="shared" si="14"/>
        <v>100</v>
      </c>
      <c r="X30" s="2075"/>
      <c r="Y30" s="3646"/>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660"/>
      <c r="Q31" s="2072">
        <f t="shared" si="11"/>
        <v>111</v>
      </c>
      <c r="R31" s="1726" t="s">
        <v>25</v>
      </c>
      <c r="S31" s="1727">
        <f t="shared" si="12"/>
        <v>100</v>
      </c>
      <c r="T31" s="1726" t="s">
        <v>25</v>
      </c>
      <c r="U31" s="1727">
        <f t="shared" si="13"/>
        <v>100</v>
      </c>
      <c r="V31" s="1726" t="s">
        <v>25</v>
      </c>
      <c r="W31" s="1727">
        <f t="shared" si="14"/>
        <v>100</v>
      </c>
      <c r="X31" s="2075"/>
      <c r="Y31" s="3646"/>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647" t="s">
        <v>2276</v>
      </c>
      <c r="Q32" s="2072" t="str">
        <f t="shared" si="11"/>
        <v>商业类型</v>
      </c>
      <c r="R32" s="1726" t="s">
        <v>25</v>
      </c>
      <c r="S32" s="1727">
        <f t="shared" si="12"/>
        <v>100</v>
      </c>
      <c r="T32" s="1726" t="s">
        <v>25</v>
      </c>
      <c r="U32" s="1727">
        <f t="shared" si="13"/>
        <v>100</v>
      </c>
      <c r="V32" s="1726" t="s">
        <v>25</v>
      </c>
      <c r="W32" s="1727">
        <f t="shared" si="14"/>
        <v>100</v>
      </c>
      <c r="X32" s="2075"/>
      <c r="Y32" s="3650"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648"/>
      <c r="Q33" s="1767" t="str">
        <f t="shared" si="11"/>
        <v>项目建筑规模</v>
      </c>
      <c r="R33" s="1768" t="s">
        <v>25</v>
      </c>
      <c r="S33" s="1769" t="e">
        <f t="shared" si="12"/>
        <v>#N/A</v>
      </c>
      <c r="T33" s="1768" t="s">
        <v>25</v>
      </c>
      <c r="U33" s="1769" t="e">
        <f t="shared" si="13"/>
        <v>#N/A</v>
      </c>
      <c r="V33" s="1768" t="s">
        <v>25</v>
      </c>
      <c r="W33" s="1769" t="e">
        <f t="shared" si="14"/>
        <v>#N/A</v>
      </c>
      <c r="X33" s="1770"/>
      <c r="Y33" s="3650"/>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648"/>
      <c r="Q34" s="2072" t="str">
        <f t="shared" si="11"/>
        <v>建筑结构</v>
      </c>
      <c r="R34" s="1726" t="s">
        <v>25</v>
      </c>
      <c r="S34" s="1727">
        <f t="shared" si="12"/>
        <v>100</v>
      </c>
      <c r="T34" s="1726" t="s">
        <v>25</v>
      </c>
      <c r="U34" s="1727">
        <f t="shared" si="13"/>
        <v>100</v>
      </c>
      <c r="V34" s="1726" t="s">
        <v>25</v>
      </c>
      <c r="W34" s="1727">
        <f t="shared" si="14"/>
        <v>100</v>
      </c>
      <c r="X34" s="2075"/>
      <c r="Y34" s="3650"/>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648"/>
      <c r="Q35" s="2072" t="str">
        <f t="shared" si="11"/>
        <v>公共部分装修</v>
      </c>
      <c r="R35" s="1726" t="s">
        <v>25</v>
      </c>
      <c r="S35" s="1727">
        <f t="shared" si="12"/>
        <v>100</v>
      </c>
      <c r="T35" s="1726" t="s">
        <v>25</v>
      </c>
      <c r="U35" s="1727">
        <f t="shared" si="13"/>
        <v>100</v>
      </c>
      <c r="V35" s="1726" t="s">
        <v>25</v>
      </c>
      <c r="W35" s="1727">
        <f t="shared" si="14"/>
        <v>100</v>
      </c>
      <c r="X35" s="2075"/>
      <c r="Y35" s="3650"/>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648"/>
      <c r="Q36" s="2072" t="str">
        <f t="shared" si="11"/>
        <v>成新度</v>
      </c>
      <c r="R36" s="1726" t="s">
        <v>25</v>
      </c>
      <c r="S36" s="1727" t="e">
        <f t="shared" si="12"/>
        <v>#N/A</v>
      </c>
      <c r="T36" s="1726" t="s">
        <v>25</v>
      </c>
      <c r="U36" s="1727" t="e">
        <f t="shared" si="13"/>
        <v>#N/A</v>
      </c>
      <c r="V36" s="1726" t="s">
        <v>25</v>
      </c>
      <c r="W36" s="1727" t="e">
        <f t="shared" si="14"/>
        <v>#N/A</v>
      </c>
      <c r="X36" s="2075"/>
      <c r="Y36" s="3650"/>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648"/>
      <c r="Q37" s="2066" t="str">
        <f t="shared" si="11"/>
        <v>市政基础设施</v>
      </c>
      <c r="R37" s="1681" t="s">
        <v>25</v>
      </c>
      <c r="S37" s="1682">
        <f t="shared" si="12"/>
        <v>100</v>
      </c>
      <c r="T37" s="1681" t="s">
        <v>25</v>
      </c>
      <c r="U37" s="1682">
        <f t="shared" si="13"/>
        <v>100</v>
      </c>
      <c r="V37" s="1681" t="s">
        <v>25</v>
      </c>
      <c r="W37" s="1682">
        <f t="shared" si="14"/>
        <v>100</v>
      </c>
      <c r="X37" s="1683"/>
      <c r="Y37" s="3650"/>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648" t="s">
        <v>2276</v>
      </c>
      <c r="Q38" s="2072" t="str">
        <f t="shared" si="11"/>
        <v>业态</v>
      </c>
      <c r="R38" s="1726" t="s">
        <v>25</v>
      </c>
      <c r="S38" s="1727">
        <f t="shared" si="12"/>
        <v>100</v>
      </c>
      <c r="T38" s="1726" t="s">
        <v>25</v>
      </c>
      <c r="U38" s="1727">
        <f t="shared" si="13"/>
        <v>100</v>
      </c>
      <c r="V38" s="1726" t="s">
        <v>25</v>
      </c>
      <c r="W38" s="1727">
        <f t="shared" si="14"/>
        <v>100</v>
      </c>
      <c r="X38" s="2075"/>
      <c r="Y38" s="3650" t="s">
        <v>2276</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648"/>
      <c r="Q39" s="2072" t="str">
        <f t="shared" si="11"/>
        <v>层高</v>
      </c>
      <c r="R39" s="1726" t="s">
        <v>25</v>
      </c>
      <c r="S39" s="1727">
        <f t="shared" si="12"/>
        <v>100</v>
      </c>
      <c r="T39" s="1726" t="s">
        <v>25</v>
      </c>
      <c r="U39" s="1727">
        <f t="shared" si="13"/>
        <v>100</v>
      </c>
      <c r="V39" s="1726" t="s">
        <v>25</v>
      </c>
      <c r="W39" s="1727">
        <f t="shared" si="14"/>
        <v>100</v>
      </c>
      <c r="X39" s="2075"/>
      <c r="Y39" s="3650"/>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648"/>
      <c r="Q40" s="2072" t="str">
        <f t="shared" si="11"/>
        <v>单套建筑面积</v>
      </c>
      <c r="R40" s="1726" t="s">
        <v>25</v>
      </c>
      <c r="S40" s="1727">
        <f t="shared" si="12"/>
        <v>100</v>
      </c>
      <c r="T40" s="1726" t="s">
        <v>25</v>
      </c>
      <c r="U40" s="1727">
        <f t="shared" si="13"/>
        <v>100</v>
      </c>
      <c r="V40" s="1726" t="s">
        <v>25</v>
      </c>
      <c r="W40" s="1727">
        <f t="shared" si="14"/>
        <v>100</v>
      </c>
      <c r="X40" s="2075"/>
      <c r="Y40" s="3650"/>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648"/>
      <c r="Q41" s="1767" t="str">
        <f t="shared" si="11"/>
        <v>进深比</v>
      </c>
      <c r="R41" s="1768" t="s">
        <v>25</v>
      </c>
      <c r="S41" s="1769">
        <f t="shared" si="12"/>
        <v>100</v>
      </c>
      <c r="T41" s="1768" t="s">
        <v>25</v>
      </c>
      <c r="U41" s="1769">
        <f t="shared" si="13"/>
        <v>100</v>
      </c>
      <c r="V41" s="1768" t="s">
        <v>25</v>
      </c>
      <c r="W41" s="1769">
        <f t="shared" si="14"/>
        <v>100</v>
      </c>
      <c r="X41" s="1770"/>
      <c r="Y41" s="3650"/>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648"/>
      <c r="Q42" s="2072" t="str">
        <f t="shared" si="11"/>
        <v>内部装修</v>
      </c>
      <c r="R42" s="1726" t="s">
        <v>25</v>
      </c>
      <c r="S42" s="1727">
        <f t="shared" si="12"/>
        <v>100</v>
      </c>
      <c r="T42" s="1726" t="s">
        <v>25</v>
      </c>
      <c r="U42" s="1727">
        <f t="shared" si="13"/>
        <v>100</v>
      </c>
      <c r="V42" s="1726" t="s">
        <v>25</v>
      </c>
      <c r="W42" s="1727">
        <f t="shared" si="14"/>
        <v>100</v>
      </c>
      <c r="X42" s="2075"/>
      <c r="Y42" s="3650"/>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648"/>
      <c r="Q43" s="2072" t="str">
        <f t="shared" si="11"/>
        <v>内部装修维护情况</v>
      </c>
      <c r="R43" s="1726" t="s">
        <v>25</v>
      </c>
      <c r="S43" s="1727">
        <f t="shared" si="12"/>
        <v>100</v>
      </c>
      <c r="T43" s="1726" t="s">
        <v>25</v>
      </c>
      <c r="U43" s="1727">
        <f t="shared" si="13"/>
        <v>100</v>
      </c>
      <c r="V43" s="1726" t="s">
        <v>25</v>
      </c>
      <c r="W43" s="1727">
        <f t="shared" si="14"/>
        <v>100</v>
      </c>
      <c r="X43" s="2075"/>
      <c r="Y43" s="3650"/>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648"/>
      <c r="Q44" s="2066">
        <f t="shared" si="11"/>
        <v>111</v>
      </c>
      <c r="R44" s="1681" t="s">
        <v>25</v>
      </c>
      <c r="S44" s="1682">
        <f t="shared" si="12"/>
        <v>100</v>
      </c>
      <c r="T44" s="1681" t="s">
        <v>25</v>
      </c>
      <c r="U44" s="1682">
        <f t="shared" si="13"/>
        <v>100</v>
      </c>
      <c r="V44" s="1681" t="s">
        <v>25</v>
      </c>
      <c r="W44" s="1682">
        <f t="shared" si="14"/>
        <v>100</v>
      </c>
      <c r="X44" s="1683"/>
      <c r="Y44" s="365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648"/>
      <c r="Q45" s="2072">
        <f t="shared" si="11"/>
        <v>111</v>
      </c>
      <c r="R45" s="1726" t="s">
        <v>25</v>
      </c>
      <c r="S45" s="1727">
        <f t="shared" si="12"/>
        <v>100</v>
      </c>
      <c r="T45" s="1726" t="s">
        <v>25</v>
      </c>
      <c r="U45" s="1727">
        <f t="shared" si="13"/>
        <v>100</v>
      </c>
      <c r="V45" s="1726" t="s">
        <v>25</v>
      </c>
      <c r="W45" s="1727">
        <f t="shared" si="14"/>
        <v>100</v>
      </c>
      <c r="X45" s="2075"/>
      <c r="Y45" s="3650"/>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649"/>
      <c r="Q46" s="2072">
        <f t="shared" si="11"/>
        <v>111</v>
      </c>
      <c r="R46" s="1726" t="s">
        <v>25</v>
      </c>
      <c r="S46" s="1727">
        <f t="shared" si="12"/>
        <v>100</v>
      </c>
      <c r="T46" s="1726" t="s">
        <v>25</v>
      </c>
      <c r="U46" s="1727">
        <f t="shared" si="13"/>
        <v>100</v>
      </c>
      <c r="V46" s="1726" t="s">
        <v>25</v>
      </c>
      <c r="W46" s="1727">
        <f t="shared" si="14"/>
        <v>100</v>
      </c>
      <c r="X46" s="2075"/>
      <c r="Y46" s="3651"/>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657" t="str">
        <f>A47</f>
        <v>成交单价（元/平方米）</v>
      </c>
      <c r="Q47" s="3657"/>
      <c r="R47" s="3658">
        <f>E47</f>
        <v>0</v>
      </c>
      <c r="S47" s="3658"/>
      <c r="T47" s="3658">
        <f>G47</f>
        <v>0</v>
      </c>
      <c r="U47" s="3658"/>
      <c r="V47" s="3658">
        <f>I47</f>
        <v>0</v>
      </c>
      <c r="W47" s="3658"/>
      <c r="X47" s="1792"/>
      <c r="Y47" s="2074"/>
      <c r="Z47" s="1792"/>
      <c r="AA47" s="1792"/>
      <c r="AB47" s="1792"/>
      <c r="AC47" s="1792"/>
    </row>
    <row r="48" spans="1:29" ht="15.75" thickBot="1">
      <c r="A48" s="1794" t="s">
        <v>2370</v>
      </c>
      <c r="B48" s="1795"/>
      <c r="C48" s="1796" t="e">
        <f>R49</f>
        <v>#DIV/0!</v>
      </c>
      <c r="D48" s="1797" t="s">
        <v>2744</v>
      </c>
      <c r="E48" s="1798" t="e">
        <f>R48</f>
        <v>#DIV/0!</v>
      </c>
      <c r="F48" s="1799"/>
      <c r="G48" s="1796" t="e">
        <f>T48</f>
        <v>#DIV/0!</v>
      </c>
      <c r="H48" s="1799"/>
      <c r="I48" s="1798" t="e">
        <f>V48</f>
        <v>#DIV/0!</v>
      </c>
      <c r="J48" s="1799"/>
      <c r="K48" s="2511">
        <f>F48+H48+J48</f>
        <v>0</v>
      </c>
      <c r="L48" s="3003"/>
      <c r="N48" s="2998"/>
      <c r="P48" s="3657" t="str">
        <f>A48</f>
        <v>比较价值（元/平方米）</v>
      </c>
      <c r="Q48" s="3657"/>
      <c r="R48" s="3658" t="e">
        <f>IF(E1="售价",ROUND(PRODUCT(R47,AA7:AA46),0),ROUND(PRODUCT(R47,AA7:AA46),1))</f>
        <v>#DIV/0!</v>
      </c>
      <c r="S48" s="3658"/>
      <c r="T48" s="3658" t="e">
        <f>IF(E1="售价",ROUND(PRODUCT(T47,AB7:AB46),0),ROUND(PRODUCT(T47,AB7:AB46),1))</f>
        <v>#DIV/0!</v>
      </c>
      <c r="U48" s="3658"/>
      <c r="V48" s="3658" t="e">
        <f>IF(E1="售价",ROUND(PRODUCT(V47,AC7:AC46),0),ROUND(PRODUCT(V47,AC7:AC46),1))</f>
        <v>#DIV/0!</v>
      </c>
      <c r="W48" s="3658"/>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663" t="str">
        <f>A49</f>
        <v>估价对象XX用房的比较价值（楼面单价，元/平方米）</v>
      </c>
      <c r="Q49" s="3664"/>
      <c r="R49" s="3665" t="e">
        <f>IF(E1="售价",ROUND(IF(D48="简单平均",AVERAGE(R48:V48),R48*F48+T48*H48+V48*J48),0),ROUND(IF(D48="简单平均",AVERAGE(R48:V48),R48*F48+T48*H48+V48*J48),1))</f>
        <v>#DIV/0!</v>
      </c>
      <c r="S49" s="3665"/>
      <c r="T49" s="3665"/>
      <c r="U49" s="3665"/>
      <c r="V49" s="3665"/>
      <c r="W49" s="3665"/>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2009-9</v>
      </c>
      <c r="D58" s="1826">
        <f>EDATE(C58,-1)</f>
        <v>40026</v>
      </c>
      <c r="E58" s="1826">
        <f t="shared" ref="E58:O58" si="16">EDATE(D58,-1)</f>
        <v>39995</v>
      </c>
      <c r="F58" s="1826">
        <f t="shared" si="16"/>
        <v>39965</v>
      </c>
      <c r="G58" s="1826">
        <f t="shared" si="16"/>
        <v>39934</v>
      </c>
      <c r="H58" s="1826">
        <f t="shared" si="16"/>
        <v>39904</v>
      </c>
      <c r="I58" s="1826">
        <f t="shared" si="16"/>
        <v>39873</v>
      </c>
      <c r="J58" s="1826">
        <f t="shared" si="16"/>
        <v>39845</v>
      </c>
      <c r="K58" s="1826">
        <f t="shared" si="16"/>
        <v>39814</v>
      </c>
      <c r="L58" s="1826">
        <f t="shared" si="16"/>
        <v>39783</v>
      </c>
      <c r="M58" s="1826">
        <f t="shared" si="16"/>
        <v>39753</v>
      </c>
      <c r="N58" s="1826">
        <f t="shared" si="16"/>
        <v>39722</v>
      </c>
      <c r="O58" s="1826">
        <f t="shared" si="16"/>
        <v>39692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2382</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146.78</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619" t="s">
        <v>2246</v>
      </c>
      <c r="D4" s="3620"/>
      <c r="E4" s="3621" t="s">
        <v>2247</v>
      </c>
      <c r="F4" s="3622"/>
      <c r="G4" s="3619" t="s">
        <v>2248</v>
      </c>
      <c r="H4" s="3620"/>
      <c r="I4" s="3619" t="s">
        <v>2249</v>
      </c>
      <c r="J4" s="3620"/>
      <c r="K4" s="1966" t="s">
        <v>2250</v>
      </c>
      <c r="L4" s="2997"/>
      <c r="M4" s="2998"/>
      <c r="N4" s="2998"/>
      <c r="O4" s="2998"/>
      <c r="P4" s="3623" t="s">
        <v>2251</v>
      </c>
      <c r="Q4" s="3624"/>
      <c r="R4" s="3629" t="s">
        <v>2247</v>
      </c>
      <c r="S4" s="3630"/>
      <c r="T4" s="3629" t="s">
        <v>2248</v>
      </c>
      <c r="U4" s="3630"/>
      <c r="V4" s="3635" t="s">
        <v>2249</v>
      </c>
      <c r="W4" s="3635"/>
      <c r="X4" s="2075"/>
      <c r="Y4" s="3629" t="s">
        <v>2251</v>
      </c>
      <c r="Z4" s="3630"/>
      <c r="AA4" s="3616" t="s">
        <v>2247</v>
      </c>
      <c r="AB4" s="3616" t="s">
        <v>2248</v>
      </c>
      <c r="AC4" s="3616" t="s">
        <v>2249</v>
      </c>
    </row>
    <row r="5" spans="1:29" ht="15">
      <c r="A5" s="1668"/>
      <c r="B5" s="1669"/>
      <c r="C5" s="3652" t="s">
        <v>2252</v>
      </c>
      <c r="D5" s="3639"/>
      <c r="E5" s="3667" t="s">
        <v>2253</v>
      </c>
      <c r="F5" s="3637"/>
      <c r="G5" s="3652" t="s">
        <v>2254</v>
      </c>
      <c r="H5" s="3639"/>
      <c r="I5" s="3652" t="s">
        <v>2255</v>
      </c>
      <c r="J5" s="3639"/>
      <c r="K5" s="1966"/>
      <c r="L5" s="2997"/>
      <c r="M5" s="2998"/>
      <c r="N5" s="2998"/>
      <c r="O5" s="2998"/>
      <c r="P5" s="3625"/>
      <c r="Q5" s="3626"/>
      <c r="R5" s="3631"/>
      <c r="S5" s="3632"/>
      <c r="T5" s="3631"/>
      <c r="U5" s="3632"/>
      <c r="V5" s="3635"/>
      <c r="W5" s="3635"/>
      <c r="X5" s="2075"/>
      <c r="Y5" s="3631"/>
      <c r="Z5" s="3632"/>
      <c r="AA5" s="3617"/>
      <c r="AB5" s="3617"/>
      <c r="AC5" s="3617"/>
    </row>
    <row r="6" spans="1:29" ht="15.75" thickBot="1">
      <c r="A6" s="1671"/>
      <c r="B6" s="1672"/>
      <c r="C6" s="3640" t="s">
        <v>2256</v>
      </c>
      <c r="D6" s="3641"/>
      <c r="E6" s="3666" t="s">
        <v>2256</v>
      </c>
      <c r="F6" s="3644"/>
      <c r="G6" s="3640" t="s">
        <v>2256</v>
      </c>
      <c r="H6" s="3641"/>
      <c r="I6" s="3640" t="s">
        <v>2256</v>
      </c>
      <c r="J6" s="3641"/>
      <c r="K6" s="1966" t="s">
        <v>2257</v>
      </c>
      <c r="L6" s="2997"/>
      <c r="M6" s="2998"/>
      <c r="N6" s="2998"/>
      <c r="O6" s="2998"/>
      <c r="P6" s="3627"/>
      <c r="Q6" s="3628"/>
      <c r="R6" s="3631"/>
      <c r="S6" s="3632"/>
      <c r="T6" s="3633"/>
      <c r="U6" s="3634"/>
      <c r="V6" s="3635"/>
      <c r="W6" s="3635"/>
      <c r="X6" s="2075"/>
      <c r="Y6" s="3633"/>
      <c r="Z6" s="3634"/>
      <c r="AA6" s="3618"/>
      <c r="AB6" s="3618"/>
      <c r="AC6" s="3618"/>
    </row>
    <row r="7" spans="1:29" s="1685" customFormat="1" ht="15.75" thickBot="1">
      <c r="A7" s="1673" t="s">
        <v>2258</v>
      </c>
      <c r="B7" s="1674"/>
      <c r="C7" s="1675">
        <f>'数据-取费表'!B2</f>
        <v>40065</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653" t="s">
        <v>2259</v>
      </c>
      <c r="Q7" s="3655"/>
      <c r="R7" s="1681" t="s">
        <v>25</v>
      </c>
      <c r="S7" s="1682">
        <f t="shared" ref="S7:S15" si="0">F7</f>
        <v>0</v>
      </c>
      <c r="T7" s="1681" t="s">
        <v>25</v>
      </c>
      <c r="U7" s="1682">
        <f t="shared" ref="U7:U15" si="1">H7</f>
        <v>0</v>
      </c>
      <c r="V7" s="1681" t="s">
        <v>25</v>
      </c>
      <c r="W7" s="1682">
        <f t="shared" ref="W7:W15" si="2">J7</f>
        <v>0</v>
      </c>
      <c r="X7" s="1683"/>
      <c r="Y7" s="3653" t="s">
        <v>2259</v>
      </c>
      <c r="Z7" s="3654"/>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653" t="s">
        <v>2262</v>
      </c>
      <c r="Q8" s="3654"/>
      <c r="R8" s="1681" t="s">
        <v>25</v>
      </c>
      <c r="S8" s="1682">
        <f t="shared" si="0"/>
        <v>0</v>
      </c>
      <c r="T8" s="1681" t="s">
        <v>25</v>
      </c>
      <c r="U8" s="1682">
        <f t="shared" si="1"/>
        <v>0</v>
      </c>
      <c r="V8" s="1681" t="s">
        <v>25</v>
      </c>
      <c r="W8" s="1682">
        <f t="shared" si="2"/>
        <v>0</v>
      </c>
      <c r="X8" s="1683"/>
      <c r="Y8" s="3653" t="s">
        <v>2262</v>
      </c>
      <c r="Z8" s="3654"/>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657" t="s">
        <v>2265</v>
      </c>
      <c r="Q9" s="2915" t="str">
        <f t="shared" ref="Q9:Q15" si="6">B9</f>
        <v>用途</v>
      </c>
      <c r="R9" s="1681" t="s">
        <v>25</v>
      </c>
      <c r="S9" s="1682">
        <f t="shared" si="0"/>
        <v>100</v>
      </c>
      <c r="T9" s="1681" t="s">
        <v>25</v>
      </c>
      <c r="U9" s="1682">
        <f t="shared" si="1"/>
        <v>100</v>
      </c>
      <c r="V9" s="1681" t="s">
        <v>25</v>
      </c>
      <c r="W9" s="1682">
        <f t="shared" si="2"/>
        <v>100</v>
      </c>
      <c r="X9" s="1683"/>
      <c r="Y9" s="3517"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657"/>
      <c r="Q10" s="2915" t="str">
        <f t="shared" si="6"/>
        <v>土地使用年限（年）</v>
      </c>
      <c r="R10" s="1681" t="s">
        <v>25</v>
      </c>
      <c r="S10" s="1682">
        <f t="shared" si="0"/>
        <v>100</v>
      </c>
      <c r="T10" s="1681" t="s">
        <v>25</v>
      </c>
      <c r="U10" s="1682">
        <f t="shared" si="1"/>
        <v>100</v>
      </c>
      <c r="V10" s="1681" t="s">
        <v>25</v>
      </c>
      <c r="W10" s="1682">
        <f t="shared" si="2"/>
        <v>100</v>
      </c>
      <c r="X10" s="1683"/>
      <c r="Y10" s="3517"/>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657"/>
      <c r="Q11" s="2915" t="str">
        <f t="shared" si="6"/>
        <v>容积率</v>
      </c>
      <c r="R11" s="1681" t="s">
        <v>25</v>
      </c>
      <c r="S11" s="1682" t="e">
        <f t="shared" si="0"/>
        <v>#N/A</v>
      </c>
      <c r="T11" s="1681" t="s">
        <v>25</v>
      </c>
      <c r="U11" s="1682" t="e">
        <f t="shared" si="1"/>
        <v>#N/A</v>
      </c>
      <c r="V11" s="1681" t="s">
        <v>25</v>
      </c>
      <c r="W11" s="1682" t="e">
        <f t="shared" si="2"/>
        <v>#N/A</v>
      </c>
      <c r="X11" s="1683"/>
      <c r="Y11" s="351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657"/>
      <c r="Q12" s="2915">
        <f t="shared" si="6"/>
        <v>111</v>
      </c>
      <c r="R12" s="1681" t="s">
        <v>25</v>
      </c>
      <c r="S12" s="1682">
        <f t="shared" si="0"/>
        <v>100</v>
      </c>
      <c r="T12" s="1681" t="s">
        <v>25</v>
      </c>
      <c r="U12" s="1682">
        <f t="shared" si="1"/>
        <v>100</v>
      </c>
      <c r="V12" s="1681" t="s">
        <v>25</v>
      </c>
      <c r="W12" s="1682">
        <f t="shared" si="2"/>
        <v>100</v>
      </c>
      <c r="X12" s="1683"/>
      <c r="Y12" s="351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657"/>
      <c r="Q13" s="2915">
        <f t="shared" si="6"/>
        <v>111</v>
      </c>
      <c r="R13" s="1681" t="s">
        <v>25</v>
      </c>
      <c r="S13" s="1682">
        <f t="shared" si="0"/>
        <v>100</v>
      </c>
      <c r="T13" s="1681" t="s">
        <v>25</v>
      </c>
      <c r="U13" s="1682">
        <f t="shared" si="1"/>
        <v>100</v>
      </c>
      <c r="V13" s="1681" t="s">
        <v>25</v>
      </c>
      <c r="W13" s="1682">
        <f t="shared" si="2"/>
        <v>100</v>
      </c>
      <c r="X13" s="1683"/>
      <c r="Y13" s="3517"/>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657"/>
      <c r="Q14" s="2915">
        <f t="shared" si="6"/>
        <v>111</v>
      </c>
      <c r="R14" s="1681" t="s">
        <v>25</v>
      </c>
      <c r="S14" s="1682">
        <f t="shared" si="0"/>
        <v>100</v>
      </c>
      <c r="T14" s="1681" t="s">
        <v>25</v>
      </c>
      <c r="U14" s="1682">
        <f t="shared" si="1"/>
        <v>100</v>
      </c>
      <c r="V14" s="1681" t="s">
        <v>25</v>
      </c>
      <c r="W14" s="1682">
        <f t="shared" si="2"/>
        <v>100</v>
      </c>
      <c r="X14" s="1683"/>
      <c r="Y14" s="3517"/>
      <c r="Z14" s="1694">
        <f t="shared" si="7"/>
        <v>111</v>
      </c>
      <c r="AA14" s="1684">
        <f t="shared" si="3"/>
        <v>1</v>
      </c>
      <c r="AB14" s="1684">
        <f t="shared" si="4"/>
        <v>1</v>
      </c>
      <c r="AC14" s="1684">
        <f t="shared" si="5"/>
        <v>1</v>
      </c>
    </row>
    <row r="15" spans="1:29" ht="71.25">
      <c r="A15" s="1718" t="s">
        <v>2269</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645" t="s">
        <v>2270</v>
      </c>
      <c r="Q15" s="2916" t="str">
        <f t="shared" si="6"/>
        <v>办公集聚程度</v>
      </c>
      <c r="R15" s="1726" t="s">
        <v>25</v>
      </c>
      <c r="S15" s="1727">
        <f t="shared" si="0"/>
        <v>100</v>
      </c>
      <c r="T15" s="1726" t="s">
        <v>25</v>
      </c>
      <c r="U15" s="1727">
        <f t="shared" si="1"/>
        <v>100</v>
      </c>
      <c r="V15" s="1726" t="s">
        <v>25</v>
      </c>
      <c r="W15" s="1727">
        <f t="shared" si="2"/>
        <v>100</v>
      </c>
      <c r="X15" s="2075"/>
      <c r="Y15" s="3645"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646"/>
      <c r="Q16" s="2916"/>
      <c r="R16" s="1726"/>
      <c r="S16" s="1727"/>
      <c r="T16" s="1726"/>
      <c r="U16" s="1727"/>
      <c r="V16" s="1726"/>
      <c r="W16" s="1727"/>
      <c r="X16" s="2075"/>
      <c r="Y16" s="3646"/>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646"/>
      <c r="Q17" s="2916" t="str">
        <f>B17</f>
        <v>交通便捷度</v>
      </c>
      <c r="R17" s="1726" t="s">
        <v>25</v>
      </c>
      <c r="S17" s="1727">
        <f>F17</f>
        <v>100</v>
      </c>
      <c r="T17" s="1726" t="s">
        <v>25</v>
      </c>
      <c r="U17" s="1727">
        <f>H17</f>
        <v>100</v>
      </c>
      <c r="V17" s="1726" t="s">
        <v>25</v>
      </c>
      <c r="W17" s="1727">
        <f>J17</f>
        <v>100</v>
      </c>
      <c r="X17" s="2075"/>
      <c r="Y17" s="3646"/>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646"/>
      <c r="Q18" s="2916"/>
      <c r="R18" s="1726"/>
      <c r="S18" s="1727"/>
      <c r="T18" s="1726"/>
      <c r="U18" s="1727"/>
      <c r="V18" s="1726"/>
      <c r="W18" s="1727"/>
      <c r="X18" s="2075"/>
      <c r="Y18" s="3646"/>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646"/>
      <c r="Q19" s="2916" t="str">
        <f>B19</f>
        <v>公共配套设施</v>
      </c>
      <c r="R19" s="1726" t="s">
        <v>25</v>
      </c>
      <c r="S19" s="1727">
        <f>F19</f>
        <v>100</v>
      </c>
      <c r="T19" s="1726" t="s">
        <v>25</v>
      </c>
      <c r="U19" s="1727">
        <f>H19</f>
        <v>100</v>
      </c>
      <c r="V19" s="1726" t="s">
        <v>25</v>
      </c>
      <c r="W19" s="1727">
        <f>J19</f>
        <v>100</v>
      </c>
      <c r="X19" s="2075"/>
      <c r="Y19" s="3646"/>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646"/>
      <c r="Q20" s="2916"/>
      <c r="R20" s="1726"/>
      <c r="S20" s="1727"/>
      <c r="T20" s="1726"/>
      <c r="U20" s="1727"/>
      <c r="V20" s="1726"/>
      <c r="W20" s="1727"/>
      <c r="X20" s="2075"/>
      <c r="Y20" s="3646"/>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646"/>
      <c r="Q21" s="2916" t="str">
        <f>B21</f>
        <v>基础设施水平</v>
      </c>
      <c r="R21" s="1726" t="s">
        <v>25</v>
      </c>
      <c r="S21" s="1727">
        <f>F21</f>
        <v>100</v>
      </c>
      <c r="T21" s="1726" t="s">
        <v>25</v>
      </c>
      <c r="U21" s="1727">
        <f>H21</f>
        <v>100</v>
      </c>
      <c r="V21" s="1726" t="s">
        <v>25</v>
      </c>
      <c r="W21" s="1727">
        <f>J21</f>
        <v>100</v>
      </c>
      <c r="X21" s="2075"/>
      <c r="Y21" s="3646"/>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646"/>
      <c r="Q22" s="2916"/>
      <c r="R22" s="1726"/>
      <c r="S22" s="1727"/>
      <c r="T22" s="1726"/>
      <c r="U22" s="1727"/>
      <c r="V22" s="1726"/>
      <c r="W22" s="1727"/>
      <c r="X22" s="2075"/>
      <c r="Y22" s="3646"/>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646"/>
      <c r="Q23" s="2916" t="str">
        <f>B23</f>
        <v>环境质量</v>
      </c>
      <c r="R23" s="1726" t="s">
        <v>25</v>
      </c>
      <c r="S23" s="1727">
        <f>F23</f>
        <v>100</v>
      </c>
      <c r="T23" s="1726" t="s">
        <v>25</v>
      </c>
      <c r="U23" s="1727">
        <f>H23</f>
        <v>100</v>
      </c>
      <c r="V23" s="1726" t="s">
        <v>25</v>
      </c>
      <c r="W23" s="1727">
        <f>J23</f>
        <v>100</v>
      </c>
      <c r="X23" s="2075"/>
      <c r="Y23" s="3646"/>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646"/>
      <c r="Q24" s="2916"/>
      <c r="R24" s="1726"/>
      <c r="S24" s="1727"/>
      <c r="T24" s="1726"/>
      <c r="U24" s="1727"/>
      <c r="V24" s="1726"/>
      <c r="W24" s="1727"/>
      <c r="X24" s="2075"/>
      <c r="Y24" s="3646"/>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646"/>
      <c r="Q25" s="2916" t="str">
        <f>B25</f>
        <v>毗邻道路的类型与等级</v>
      </c>
      <c r="R25" s="1726" t="s">
        <v>25</v>
      </c>
      <c r="S25" s="1727">
        <f>F25</f>
        <v>100</v>
      </c>
      <c r="T25" s="1726" t="s">
        <v>25</v>
      </c>
      <c r="U25" s="1727">
        <f>H25</f>
        <v>100</v>
      </c>
      <c r="V25" s="1726" t="s">
        <v>25</v>
      </c>
      <c r="W25" s="1727">
        <f>J25</f>
        <v>100</v>
      </c>
      <c r="X25" s="2075"/>
      <c r="Y25" s="3646"/>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646"/>
      <c r="Q26" s="2916"/>
      <c r="R26" s="1726"/>
      <c r="S26" s="1727"/>
      <c r="T26" s="1726"/>
      <c r="U26" s="1727"/>
      <c r="V26" s="1726"/>
      <c r="W26" s="1727"/>
      <c r="X26" s="2075"/>
      <c r="Y26" s="3646"/>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646"/>
      <c r="Q27" s="2916" t="str">
        <f t="shared" ref="Q27:Q47" si="11">B27</f>
        <v>楼层</v>
      </c>
      <c r="R27" s="1726" t="s">
        <v>25</v>
      </c>
      <c r="S27" s="1727">
        <f>F27</f>
        <v>100</v>
      </c>
      <c r="T27" s="1726" t="s">
        <v>25</v>
      </c>
      <c r="U27" s="1727">
        <f>H27</f>
        <v>100</v>
      </c>
      <c r="V27" s="1726" t="s">
        <v>25</v>
      </c>
      <c r="W27" s="1727">
        <f>J27</f>
        <v>100</v>
      </c>
      <c r="X27" s="2075"/>
      <c r="Y27" s="3646"/>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646"/>
      <c r="Q28" s="2915" t="str">
        <f t="shared" si="11"/>
        <v>朝向</v>
      </c>
      <c r="R28" s="1681" t="s">
        <v>25</v>
      </c>
      <c r="S28" s="1682">
        <f>F28</f>
        <v>100</v>
      </c>
      <c r="T28" s="1681" t="s">
        <v>25</v>
      </c>
      <c r="U28" s="1682">
        <f>H28</f>
        <v>100</v>
      </c>
      <c r="V28" s="1681" t="s">
        <v>25</v>
      </c>
      <c r="W28" s="1682">
        <f>J28</f>
        <v>100</v>
      </c>
      <c r="X28" s="1683"/>
      <c r="Y28" s="3646"/>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646"/>
      <c r="Q29" s="2916">
        <f t="shared" si="11"/>
        <v>111</v>
      </c>
      <c r="R29" s="1726" t="s">
        <v>25</v>
      </c>
      <c r="S29" s="1727">
        <f t="shared" ref="S29:S47" si="12">F29</f>
        <v>100</v>
      </c>
      <c r="T29" s="1726" t="s">
        <v>25</v>
      </c>
      <c r="U29" s="1727">
        <f t="shared" ref="U29:U47" si="13">H29</f>
        <v>100</v>
      </c>
      <c r="V29" s="1726" t="s">
        <v>25</v>
      </c>
      <c r="W29" s="1727">
        <f t="shared" ref="W29:W47" si="14">J29</f>
        <v>100</v>
      </c>
      <c r="X29" s="2075"/>
      <c r="Y29" s="3646"/>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646"/>
      <c r="Q30" s="2916">
        <f t="shared" si="11"/>
        <v>111</v>
      </c>
      <c r="R30" s="1726" t="s">
        <v>25</v>
      </c>
      <c r="S30" s="1727">
        <f t="shared" si="12"/>
        <v>100</v>
      </c>
      <c r="T30" s="1726" t="s">
        <v>25</v>
      </c>
      <c r="U30" s="1727">
        <f t="shared" si="13"/>
        <v>100</v>
      </c>
      <c r="V30" s="1726" t="s">
        <v>25</v>
      </c>
      <c r="W30" s="1727">
        <f t="shared" si="14"/>
        <v>100</v>
      </c>
      <c r="X30" s="2075"/>
      <c r="Y30" s="3646"/>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646"/>
      <c r="Q31" s="2916">
        <f t="shared" si="11"/>
        <v>111</v>
      </c>
      <c r="R31" s="1726" t="s">
        <v>25</v>
      </c>
      <c r="S31" s="1727">
        <f t="shared" si="12"/>
        <v>100</v>
      </c>
      <c r="T31" s="1726" t="s">
        <v>25</v>
      </c>
      <c r="U31" s="1727">
        <f t="shared" si="13"/>
        <v>100</v>
      </c>
      <c r="V31" s="1726" t="s">
        <v>25</v>
      </c>
      <c r="W31" s="1727">
        <f t="shared" si="14"/>
        <v>100</v>
      </c>
      <c r="X31" s="2075"/>
      <c r="Y31" s="3646"/>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646"/>
      <c r="Q32" s="2916">
        <f t="shared" si="11"/>
        <v>111</v>
      </c>
      <c r="R32" s="1726" t="s">
        <v>25</v>
      </c>
      <c r="S32" s="1727">
        <f t="shared" si="12"/>
        <v>100</v>
      </c>
      <c r="T32" s="1726" t="s">
        <v>25</v>
      </c>
      <c r="U32" s="1727">
        <f t="shared" si="13"/>
        <v>100</v>
      </c>
      <c r="V32" s="1726" t="s">
        <v>25</v>
      </c>
      <c r="W32" s="1727">
        <f t="shared" si="14"/>
        <v>100</v>
      </c>
      <c r="X32" s="2075"/>
      <c r="Y32" s="3646"/>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668" t="s">
        <v>2276</v>
      </c>
      <c r="Q33" s="2916" t="str">
        <f t="shared" si="11"/>
        <v>建筑类型</v>
      </c>
      <c r="R33" s="1726" t="s">
        <v>25</v>
      </c>
      <c r="S33" s="1727">
        <f t="shared" si="12"/>
        <v>100</v>
      </c>
      <c r="T33" s="1726" t="s">
        <v>25</v>
      </c>
      <c r="U33" s="1727">
        <f t="shared" si="13"/>
        <v>100</v>
      </c>
      <c r="V33" s="1726" t="s">
        <v>25</v>
      </c>
      <c r="W33" s="1727">
        <f t="shared" si="14"/>
        <v>100</v>
      </c>
      <c r="X33" s="2075"/>
      <c r="Y33" s="3650"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650"/>
      <c r="Q34" s="1767" t="str">
        <f t="shared" si="11"/>
        <v>项目建筑规模</v>
      </c>
      <c r="R34" s="1768" t="s">
        <v>25</v>
      </c>
      <c r="S34" s="1769" t="e">
        <f t="shared" si="12"/>
        <v>#N/A</v>
      </c>
      <c r="T34" s="1768" t="s">
        <v>25</v>
      </c>
      <c r="U34" s="1769" t="e">
        <f t="shared" si="13"/>
        <v>#N/A</v>
      </c>
      <c r="V34" s="1768" t="s">
        <v>25</v>
      </c>
      <c r="W34" s="1769" t="e">
        <f t="shared" si="14"/>
        <v>#N/A</v>
      </c>
      <c r="X34" s="1770"/>
      <c r="Y34" s="3650"/>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650"/>
      <c r="Q35" s="2916" t="str">
        <f t="shared" si="11"/>
        <v>建筑结构</v>
      </c>
      <c r="R35" s="1726" t="s">
        <v>25</v>
      </c>
      <c r="S35" s="1727">
        <f t="shared" si="12"/>
        <v>100</v>
      </c>
      <c r="T35" s="1726" t="s">
        <v>25</v>
      </c>
      <c r="U35" s="1727">
        <f t="shared" si="13"/>
        <v>100</v>
      </c>
      <c r="V35" s="1726" t="s">
        <v>25</v>
      </c>
      <c r="W35" s="1727">
        <f t="shared" si="14"/>
        <v>100</v>
      </c>
      <c r="X35" s="2075"/>
      <c r="Y35" s="3650"/>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650"/>
      <c r="Q36" s="2916" t="str">
        <f t="shared" si="11"/>
        <v>公共部分装修</v>
      </c>
      <c r="R36" s="1726" t="s">
        <v>25</v>
      </c>
      <c r="S36" s="1727">
        <f t="shared" si="12"/>
        <v>100</v>
      </c>
      <c r="T36" s="1726" t="s">
        <v>25</v>
      </c>
      <c r="U36" s="1727">
        <f t="shared" si="13"/>
        <v>100</v>
      </c>
      <c r="V36" s="1726" t="s">
        <v>25</v>
      </c>
      <c r="W36" s="1727">
        <f t="shared" si="14"/>
        <v>100</v>
      </c>
      <c r="X36" s="2075"/>
      <c r="Y36" s="3650"/>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650"/>
      <c r="Q37" s="2916" t="str">
        <f t="shared" si="11"/>
        <v>成新度</v>
      </c>
      <c r="R37" s="1726" t="s">
        <v>25</v>
      </c>
      <c r="S37" s="1727" t="e">
        <f t="shared" si="12"/>
        <v>#N/A</v>
      </c>
      <c r="T37" s="1726" t="s">
        <v>25</v>
      </c>
      <c r="U37" s="1727" t="e">
        <f t="shared" si="13"/>
        <v>#N/A</v>
      </c>
      <c r="V37" s="1726" t="s">
        <v>25</v>
      </c>
      <c r="W37" s="1727" t="e">
        <f t="shared" si="14"/>
        <v>#N/A</v>
      </c>
      <c r="X37" s="2075"/>
      <c r="Y37" s="3650"/>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650"/>
      <c r="Q38" s="2915" t="str">
        <f t="shared" si="11"/>
        <v>写字楼等级</v>
      </c>
      <c r="R38" s="1681" t="s">
        <v>25</v>
      </c>
      <c r="S38" s="1682">
        <f t="shared" si="12"/>
        <v>100</v>
      </c>
      <c r="T38" s="1681" t="s">
        <v>25</v>
      </c>
      <c r="U38" s="1682">
        <f t="shared" si="13"/>
        <v>100</v>
      </c>
      <c r="V38" s="1681" t="s">
        <v>25</v>
      </c>
      <c r="W38" s="1682">
        <f t="shared" si="14"/>
        <v>100</v>
      </c>
      <c r="X38" s="1683"/>
      <c r="Y38" s="3650"/>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650" t="s">
        <v>2276</v>
      </c>
      <c r="Q39" s="2916" t="str">
        <f t="shared" si="11"/>
        <v>物业管理</v>
      </c>
      <c r="R39" s="1726" t="s">
        <v>25</v>
      </c>
      <c r="S39" s="1727">
        <f t="shared" si="12"/>
        <v>100</v>
      </c>
      <c r="T39" s="1726" t="s">
        <v>25</v>
      </c>
      <c r="U39" s="1727">
        <f t="shared" si="13"/>
        <v>100</v>
      </c>
      <c r="V39" s="1726" t="s">
        <v>25</v>
      </c>
      <c r="W39" s="1727">
        <f t="shared" si="14"/>
        <v>100</v>
      </c>
      <c r="X39" s="2075"/>
      <c r="Y39" s="3650" t="s">
        <v>2276</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650"/>
      <c r="Q40" s="2916" t="str">
        <f t="shared" si="11"/>
        <v>市政基础设施</v>
      </c>
      <c r="R40" s="1726" t="s">
        <v>25</v>
      </c>
      <c r="S40" s="1727">
        <f t="shared" si="12"/>
        <v>100</v>
      </c>
      <c r="T40" s="1726" t="s">
        <v>25</v>
      </c>
      <c r="U40" s="1727">
        <f t="shared" si="13"/>
        <v>100</v>
      </c>
      <c r="V40" s="1726" t="s">
        <v>25</v>
      </c>
      <c r="W40" s="1727">
        <f t="shared" si="14"/>
        <v>100</v>
      </c>
      <c r="X40" s="2075"/>
      <c r="Y40" s="3650"/>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650"/>
      <c r="Q41" s="2916" t="str">
        <f t="shared" si="11"/>
        <v>层高</v>
      </c>
      <c r="R41" s="1726" t="s">
        <v>25</v>
      </c>
      <c r="S41" s="1727">
        <f t="shared" si="12"/>
        <v>100</v>
      </c>
      <c r="T41" s="1726" t="s">
        <v>25</v>
      </c>
      <c r="U41" s="1727">
        <f t="shared" si="13"/>
        <v>100</v>
      </c>
      <c r="V41" s="1726" t="s">
        <v>25</v>
      </c>
      <c r="W41" s="1727">
        <f t="shared" si="14"/>
        <v>100</v>
      </c>
      <c r="X41" s="2075"/>
      <c r="Y41" s="3650"/>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650"/>
      <c r="Q42" s="1767" t="str">
        <f t="shared" si="11"/>
        <v>单套建筑面积</v>
      </c>
      <c r="R42" s="1768" t="s">
        <v>25</v>
      </c>
      <c r="S42" s="1769">
        <f t="shared" si="12"/>
        <v>100</v>
      </c>
      <c r="T42" s="1768" t="s">
        <v>25</v>
      </c>
      <c r="U42" s="1769">
        <f t="shared" si="13"/>
        <v>100</v>
      </c>
      <c r="V42" s="1768" t="s">
        <v>25</v>
      </c>
      <c r="W42" s="1769">
        <f t="shared" si="14"/>
        <v>100</v>
      </c>
      <c r="X42" s="1770"/>
      <c r="Y42" s="3650"/>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650"/>
      <c r="Q43" s="2916" t="str">
        <f t="shared" si="11"/>
        <v>内部装修</v>
      </c>
      <c r="R43" s="1726" t="s">
        <v>25</v>
      </c>
      <c r="S43" s="1727">
        <f t="shared" si="12"/>
        <v>100</v>
      </c>
      <c r="T43" s="1726" t="s">
        <v>25</v>
      </c>
      <c r="U43" s="1727">
        <f t="shared" si="13"/>
        <v>100</v>
      </c>
      <c r="V43" s="1726" t="s">
        <v>25</v>
      </c>
      <c r="W43" s="1727">
        <f t="shared" si="14"/>
        <v>100</v>
      </c>
      <c r="X43" s="2075"/>
      <c r="Y43" s="3650"/>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650"/>
      <c r="Q44" s="2916" t="str">
        <f t="shared" si="11"/>
        <v>内部装修维护情况</v>
      </c>
      <c r="R44" s="1726" t="s">
        <v>25</v>
      </c>
      <c r="S44" s="1727">
        <f t="shared" si="12"/>
        <v>100</v>
      </c>
      <c r="T44" s="1726" t="s">
        <v>25</v>
      </c>
      <c r="U44" s="1727">
        <f t="shared" si="13"/>
        <v>100</v>
      </c>
      <c r="V44" s="1726" t="s">
        <v>25</v>
      </c>
      <c r="W44" s="1727">
        <f t="shared" si="14"/>
        <v>100</v>
      </c>
      <c r="X44" s="2075"/>
      <c r="Y44" s="3650"/>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650"/>
      <c r="Q45" s="2915">
        <f t="shared" si="11"/>
        <v>111</v>
      </c>
      <c r="R45" s="1681" t="s">
        <v>25</v>
      </c>
      <c r="S45" s="1682">
        <f t="shared" si="12"/>
        <v>100</v>
      </c>
      <c r="T45" s="1681" t="s">
        <v>25</v>
      </c>
      <c r="U45" s="1682">
        <f t="shared" si="13"/>
        <v>100</v>
      </c>
      <c r="V45" s="1681" t="s">
        <v>25</v>
      </c>
      <c r="W45" s="1682">
        <f t="shared" si="14"/>
        <v>100</v>
      </c>
      <c r="X45" s="1683"/>
      <c r="Y45" s="3650"/>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650"/>
      <c r="Q46" s="2916">
        <f t="shared" si="11"/>
        <v>111</v>
      </c>
      <c r="R46" s="1726" t="s">
        <v>25</v>
      </c>
      <c r="S46" s="1727">
        <f t="shared" si="12"/>
        <v>100</v>
      </c>
      <c r="T46" s="1726" t="s">
        <v>25</v>
      </c>
      <c r="U46" s="1727">
        <f t="shared" si="13"/>
        <v>100</v>
      </c>
      <c r="V46" s="1726" t="s">
        <v>25</v>
      </c>
      <c r="W46" s="1727">
        <f t="shared" si="14"/>
        <v>100</v>
      </c>
      <c r="X46" s="2075"/>
      <c r="Y46" s="3650"/>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651"/>
      <c r="Q47" s="2916">
        <f t="shared" si="11"/>
        <v>111</v>
      </c>
      <c r="R47" s="1726" t="s">
        <v>25</v>
      </c>
      <c r="S47" s="1727">
        <f t="shared" si="12"/>
        <v>100</v>
      </c>
      <c r="T47" s="1726" t="s">
        <v>25</v>
      </c>
      <c r="U47" s="1727">
        <f t="shared" si="13"/>
        <v>100</v>
      </c>
      <c r="V47" s="1726" t="s">
        <v>25</v>
      </c>
      <c r="W47" s="1727">
        <f t="shared" si="14"/>
        <v>100</v>
      </c>
      <c r="X47" s="2075"/>
      <c r="Y47" s="3651"/>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657" t="str">
        <f>A48</f>
        <v>成交单价（元/平方米）</v>
      </c>
      <c r="Q48" s="3657"/>
      <c r="R48" s="3658">
        <f>E48</f>
        <v>0</v>
      </c>
      <c r="S48" s="3658"/>
      <c r="T48" s="3658">
        <f>G48</f>
        <v>0</v>
      </c>
      <c r="U48" s="3658"/>
      <c r="V48" s="3658">
        <f>I48</f>
        <v>0</v>
      </c>
      <c r="W48" s="3658"/>
      <c r="X48" s="1792"/>
      <c r="Y48" s="2074"/>
      <c r="Z48" s="1792"/>
      <c r="AA48" s="1792"/>
      <c r="AB48" s="1792"/>
      <c r="AC48" s="1792"/>
    </row>
    <row r="49" spans="1:29" ht="15.75" thickBot="1">
      <c r="A49" s="1794" t="s">
        <v>2370</v>
      </c>
      <c r="B49" s="1795"/>
      <c r="C49" s="1796" t="e">
        <f>R50</f>
        <v>#DIV/0!</v>
      </c>
      <c r="D49" s="1797" t="s">
        <v>2744</v>
      </c>
      <c r="E49" s="1798" t="e">
        <f>R49</f>
        <v>#DIV/0!</v>
      </c>
      <c r="F49" s="1799"/>
      <c r="G49" s="1796" t="e">
        <f>T49</f>
        <v>#DIV/0!</v>
      </c>
      <c r="H49" s="1799"/>
      <c r="I49" s="1798" t="e">
        <f>V49</f>
        <v>#DIV/0!</v>
      </c>
      <c r="J49" s="1799"/>
      <c r="K49" s="2511">
        <f>F49+H49+J49</f>
        <v>0</v>
      </c>
      <c r="L49" s="3003"/>
      <c r="M49" s="2998"/>
      <c r="N49" s="2998"/>
      <c r="O49" s="2998"/>
      <c r="P49" s="3657" t="str">
        <f>A49</f>
        <v>比较价值（元/平方米）</v>
      </c>
      <c r="Q49" s="3657"/>
      <c r="R49" s="3658" t="e">
        <f>IF(E1="售价",ROUND(PRODUCT(R48,AA7:AA47),0),ROUND(PRODUCT(R48,AA7:AA47),1))</f>
        <v>#DIV/0!</v>
      </c>
      <c r="S49" s="3658"/>
      <c r="T49" s="3658" t="e">
        <f>IF(E1="售价",ROUND(PRODUCT(T48,AB7:AB47),0),ROUND(PRODUCT(T48,AB7:AB47),1))</f>
        <v>#DIV/0!</v>
      </c>
      <c r="U49" s="3658"/>
      <c r="V49" s="3658" t="e">
        <f>IF(E1="售价",ROUND(PRODUCT(V48,AC7:AC47),0),ROUND(PRODUCT(V48,AC7:AC47),1))</f>
        <v>#DIV/0!</v>
      </c>
      <c r="W49" s="3658"/>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663" t="str">
        <f>A50</f>
        <v>估价对象XX用房的比较价值（楼面单价，元/平方米）</v>
      </c>
      <c r="Q50" s="3664"/>
      <c r="R50" s="3665" t="e">
        <f>IF(E1="售价",ROUND(IF(D49="简单平均",AVERAGE(R49:V49),R49*F49+T49*H49+V49*J49),0),ROUND(IF(D49="简单平均",AVERAGE(R49:V49),R49*F49+T49*H49+V49*J49),1))</f>
        <v>#DIV/0!</v>
      </c>
      <c r="S50" s="3665"/>
      <c r="T50" s="3665"/>
      <c r="U50" s="3665"/>
      <c r="V50" s="3665"/>
      <c r="W50" s="3665"/>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2009-9</v>
      </c>
      <c r="D59" s="1826">
        <f>EDATE(C59,-1)</f>
        <v>40026</v>
      </c>
      <c r="E59" s="1826">
        <f t="shared" ref="E59:O59" si="16">EDATE(D59,-1)</f>
        <v>39995</v>
      </c>
      <c r="F59" s="1826">
        <f t="shared" si="16"/>
        <v>39965</v>
      </c>
      <c r="G59" s="1826">
        <f t="shared" si="16"/>
        <v>39934</v>
      </c>
      <c r="H59" s="1826">
        <f t="shared" si="16"/>
        <v>39904</v>
      </c>
      <c r="I59" s="1826">
        <f t="shared" si="16"/>
        <v>39873</v>
      </c>
      <c r="J59" s="1826">
        <f t="shared" si="16"/>
        <v>39845</v>
      </c>
      <c r="K59" s="1826">
        <f t="shared" si="16"/>
        <v>39814</v>
      </c>
      <c r="L59" s="1826">
        <f t="shared" si="16"/>
        <v>39783</v>
      </c>
      <c r="M59" s="1826">
        <f t="shared" si="16"/>
        <v>39753</v>
      </c>
      <c r="N59" s="1826">
        <f t="shared" si="16"/>
        <v>39722</v>
      </c>
      <c r="O59" s="1826">
        <f t="shared" si="16"/>
        <v>39692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2399</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146.78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81" t="s">
        <v>2246</v>
      </c>
      <c r="D4" s="3682"/>
      <c r="E4" s="3683" t="s">
        <v>2247</v>
      </c>
      <c r="F4" s="3684"/>
      <c r="G4" s="3681" t="s">
        <v>2248</v>
      </c>
      <c r="H4" s="3682"/>
      <c r="I4" s="3681" t="s">
        <v>2249</v>
      </c>
      <c r="J4" s="3682"/>
      <c r="K4" s="496" t="s">
        <v>2250</v>
      </c>
      <c r="L4" s="3025"/>
      <c r="M4" s="3026"/>
      <c r="N4" s="3026"/>
      <c r="O4" s="3026"/>
      <c r="P4" s="3685" t="s">
        <v>2251</v>
      </c>
      <c r="Q4" s="3686"/>
      <c r="R4" s="3691" t="s">
        <v>2247</v>
      </c>
      <c r="S4" s="3692"/>
      <c r="T4" s="3691" t="s">
        <v>2248</v>
      </c>
      <c r="U4" s="3692"/>
      <c r="V4" s="3697" t="s">
        <v>2249</v>
      </c>
      <c r="W4" s="3697"/>
      <c r="X4" s="1335"/>
      <c r="Y4" s="3691" t="s">
        <v>2251</v>
      </c>
      <c r="Z4" s="3692"/>
      <c r="AA4" s="3678" t="s">
        <v>2247</v>
      </c>
      <c r="AB4" s="3679" t="s">
        <v>2248</v>
      </c>
      <c r="AC4" s="3678" t="s">
        <v>2249</v>
      </c>
    </row>
    <row r="5" spans="1:29" ht="15">
      <c r="A5" s="297"/>
      <c r="B5" s="298"/>
      <c r="C5" s="3674" t="s">
        <v>2252</v>
      </c>
      <c r="D5" s="3675"/>
      <c r="E5" s="3698" t="s">
        <v>2253</v>
      </c>
      <c r="F5" s="3699"/>
      <c r="G5" s="3674" t="s">
        <v>2254</v>
      </c>
      <c r="H5" s="3675"/>
      <c r="I5" s="3674" t="s">
        <v>2255</v>
      </c>
      <c r="J5" s="3675"/>
      <c r="K5" s="496"/>
      <c r="L5" s="3025"/>
      <c r="M5" s="3026"/>
      <c r="N5" s="3026"/>
      <c r="O5" s="3026"/>
      <c r="P5" s="3687"/>
      <c r="Q5" s="3688"/>
      <c r="R5" s="3693"/>
      <c r="S5" s="3694"/>
      <c r="T5" s="3693"/>
      <c r="U5" s="3694"/>
      <c r="V5" s="3697"/>
      <c r="W5" s="3697"/>
      <c r="X5" s="1335"/>
      <c r="Y5" s="3693"/>
      <c r="Z5" s="3694"/>
      <c r="AA5" s="3679"/>
      <c r="AB5" s="3679"/>
      <c r="AC5" s="3679"/>
    </row>
    <row r="6" spans="1:29" ht="15.75" thickBot="1">
      <c r="A6" s="299"/>
      <c r="B6" s="300"/>
      <c r="C6" s="3671" t="s">
        <v>2256</v>
      </c>
      <c r="D6" s="3672"/>
      <c r="E6" s="3669" t="s">
        <v>2256</v>
      </c>
      <c r="F6" s="3670"/>
      <c r="G6" s="3671" t="s">
        <v>2256</v>
      </c>
      <c r="H6" s="3672"/>
      <c r="I6" s="3671" t="s">
        <v>2256</v>
      </c>
      <c r="J6" s="3672"/>
      <c r="K6" s="496" t="s">
        <v>2257</v>
      </c>
      <c r="L6" s="3025"/>
      <c r="M6" s="3026"/>
      <c r="N6" s="3026"/>
      <c r="O6" s="3026"/>
      <c r="P6" s="3689"/>
      <c r="Q6" s="3690"/>
      <c r="R6" s="3693"/>
      <c r="S6" s="3694"/>
      <c r="T6" s="3695"/>
      <c r="U6" s="3696"/>
      <c r="V6" s="3697"/>
      <c r="W6" s="3697"/>
      <c r="X6" s="1335"/>
      <c r="Y6" s="3695"/>
      <c r="Z6" s="3696"/>
      <c r="AA6" s="3680"/>
      <c r="AB6" s="3680"/>
      <c r="AC6" s="3680"/>
    </row>
    <row r="7" spans="1:29" s="25" customFormat="1" ht="15.75" thickBot="1">
      <c r="A7" s="301" t="s">
        <v>2258</v>
      </c>
      <c r="B7" s="302"/>
      <c r="C7" s="303">
        <f>'数据-取费表'!B2</f>
        <v>40065</v>
      </c>
      <c r="D7" s="304">
        <v>100</v>
      </c>
      <c r="E7" s="305"/>
      <c r="F7" s="306">
        <f>SUMIF(52:52,YEAR(E7)&amp;"-"&amp;MONTH(E7),53:53)</f>
        <v>0</v>
      </c>
      <c r="G7" s="305"/>
      <c r="H7" s="304">
        <f>SUMIF(52:52,YEAR(G7)&amp;"-"&amp;MONTH(G7),53:53)</f>
        <v>0</v>
      </c>
      <c r="I7" s="305"/>
      <c r="J7" s="304">
        <f>SUMIF(52:52,YEAR(I7)&amp;"-"&amp;MONTH(I7),53:53)</f>
        <v>0</v>
      </c>
      <c r="K7" s="497"/>
      <c r="L7" s="3027"/>
      <c r="M7" s="3028"/>
      <c r="N7" s="3028"/>
      <c r="O7" s="3028"/>
      <c r="P7" s="3676" t="s">
        <v>2259</v>
      </c>
      <c r="Q7" s="3700"/>
      <c r="R7" s="627" t="s">
        <v>25</v>
      </c>
      <c r="S7" s="628">
        <f t="shared" ref="S7:S15" si="0">F7</f>
        <v>0</v>
      </c>
      <c r="T7" s="627" t="s">
        <v>25</v>
      </c>
      <c r="U7" s="628">
        <f t="shared" ref="U7:U15" si="1">H7</f>
        <v>0</v>
      </c>
      <c r="V7" s="627" t="s">
        <v>25</v>
      </c>
      <c r="W7" s="628">
        <f t="shared" ref="W7:W15" si="2">J7</f>
        <v>0</v>
      </c>
      <c r="X7" s="629"/>
      <c r="Y7" s="3676" t="s">
        <v>2259</v>
      </c>
      <c r="Z7" s="3677"/>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676" t="s">
        <v>2262</v>
      </c>
      <c r="Q8" s="3677"/>
      <c r="R8" s="627" t="s">
        <v>25</v>
      </c>
      <c r="S8" s="628">
        <f t="shared" si="0"/>
        <v>0</v>
      </c>
      <c r="T8" s="627" t="s">
        <v>25</v>
      </c>
      <c r="U8" s="628">
        <f t="shared" si="1"/>
        <v>0</v>
      </c>
      <c r="V8" s="627" t="s">
        <v>25</v>
      </c>
      <c r="W8" s="628">
        <f t="shared" si="2"/>
        <v>0</v>
      </c>
      <c r="X8" s="629"/>
      <c r="Y8" s="3676" t="s">
        <v>2262</v>
      </c>
      <c r="Z8" s="3677"/>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673" t="s">
        <v>2265</v>
      </c>
      <c r="Q9" s="1327" t="str">
        <f t="shared" ref="Q9:Q15" si="6">B9</f>
        <v>用途</v>
      </c>
      <c r="R9" s="627" t="s">
        <v>25</v>
      </c>
      <c r="S9" s="628">
        <f t="shared" si="0"/>
        <v>100</v>
      </c>
      <c r="T9" s="627" t="s">
        <v>25</v>
      </c>
      <c r="U9" s="628">
        <f t="shared" si="1"/>
        <v>100</v>
      </c>
      <c r="V9" s="627" t="s">
        <v>25</v>
      </c>
      <c r="W9" s="628">
        <f t="shared" si="2"/>
        <v>100</v>
      </c>
      <c r="X9" s="629"/>
      <c r="Y9" s="3703"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673"/>
      <c r="Q10" s="1327" t="str">
        <f t="shared" si="6"/>
        <v>土地使用年限（年）</v>
      </c>
      <c r="R10" s="627" t="s">
        <v>25</v>
      </c>
      <c r="S10" s="628">
        <f t="shared" si="0"/>
        <v>100</v>
      </c>
      <c r="T10" s="627" t="s">
        <v>25</v>
      </c>
      <c r="U10" s="628">
        <f t="shared" si="1"/>
        <v>100</v>
      </c>
      <c r="V10" s="627" t="s">
        <v>25</v>
      </c>
      <c r="W10" s="628">
        <f t="shared" si="2"/>
        <v>100</v>
      </c>
      <c r="X10" s="629"/>
      <c r="Y10" s="3703"/>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673"/>
      <c r="Q11" s="1327" t="str">
        <f t="shared" si="6"/>
        <v>容积率</v>
      </c>
      <c r="R11" s="627" t="s">
        <v>25</v>
      </c>
      <c r="S11" s="628" t="e">
        <f t="shared" si="0"/>
        <v>#N/A</v>
      </c>
      <c r="T11" s="627" t="s">
        <v>25</v>
      </c>
      <c r="U11" s="628" t="e">
        <f t="shared" si="1"/>
        <v>#N/A</v>
      </c>
      <c r="V11" s="627" t="s">
        <v>25</v>
      </c>
      <c r="W11" s="628" t="e">
        <f t="shared" si="2"/>
        <v>#N/A</v>
      </c>
      <c r="X11" s="629"/>
      <c r="Y11" s="370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673"/>
      <c r="Q12" s="1327">
        <f t="shared" si="6"/>
        <v>111</v>
      </c>
      <c r="R12" s="627" t="s">
        <v>25</v>
      </c>
      <c r="S12" s="628">
        <f t="shared" si="0"/>
        <v>100</v>
      </c>
      <c r="T12" s="627" t="s">
        <v>25</v>
      </c>
      <c r="U12" s="628">
        <f t="shared" si="1"/>
        <v>100</v>
      </c>
      <c r="V12" s="627" t="s">
        <v>25</v>
      </c>
      <c r="W12" s="628">
        <f t="shared" si="2"/>
        <v>100</v>
      </c>
      <c r="X12" s="629"/>
      <c r="Y12" s="370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673"/>
      <c r="Q13" s="1327">
        <f t="shared" si="6"/>
        <v>111</v>
      </c>
      <c r="R13" s="627" t="s">
        <v>25</v>
      </c>
      <c r="S13" s="628">
        <f t="shared" si="0"/>
        <v>100</v>
      </c>
      <c r="T13" s="627" t="s">
        <v>25</v>
      </c>
      <c r="U13" s="628">
        <f t="shared" si="1"/>
        <v>100</v>
      </c>
      <c r="V13" s="627" t="s">
        <v>25</v>
      </c>
      <c r="W13" s="628">
        <f t="shared" si="2"/>
        <v>100</v>
      </c>
      <c r="X13" s="629"/>
      <c r="Y13" s="370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673"/>
      <c r="Q14" s="1327">
        <f t="shared" si="6"/>
        <v>111</v>
      </c>
      <c r="R14" s="627" t="s">
        <v>25</v>
      </c>
      <c r="S14" s="628">
        <f t="shared" si="0"/>
        <v>100</v>
      </c>
      <c r="T14" s="627" t="s">
        <v>25</v>
      </c>
      <c r="U14" s="628">
        <f t="shared" si="1"/>
        <v>100</v>
      </c>
      <c r="V14" s="627" t="s">
        <v>25</v>
      </c>
      <c r="W14" s="628">
        <f t="shared" si="2"/>
        <v>100</v>
      </c>
      <c r="X14" s="629"/>
      <c r="Y14" s="3703"/>
      <c r="Z14" s="19">
        <f t="shared" si="7"/>
        <v>111</v>
      </c>
      <c r="AA14" s="630">
        <f t="shared" si="3"/>
        <v>1</v>
      </c>
      <c r="AB14" s="630">
        <f t="shared" si="4"/>
        <v>1</v>
      </c>
      <c r="AC14" s="630">
        <f t="shared" si="5"/>
        <v>1</v>
      </c>
    </row>
    <row r="15" spans="1:29" ht="57">
      <c r="A15" s="329" t="s">
        <v>2269</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701" t="s">
        <v>2270</v>
      </c>
      <c r="Q15" s="1334" t="str">
        <f t="shared" si="6"/>
        <v>产业集聚程度</v>
      </c>
      <c r="R15" s="631" t="s">
        <v>25</v>
      </c>
      <c r="S15" s="632">
        <f t="shared" si="0"/>
        <v>100</v>
      </c>
      <c r="T15" s="631" t="s">
        <v>25</v>
      </c>
      <c r="U15" s="632">
        <f t="shared" si="1"/>
        <v>100</v>
      </c>
      <c r="V15" s="631" t="s">
        <v>25</v>
      </c>
      <c r="W15" s="632">
        <f t="shared" si="2"/>
        <v>100</v>
      </c>
      <c r="X15" s="1335"/>
      <c r="Y15" s="3701"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702"/>
      <c r="Q16" s="1334"/>
      <c r="R16" s="631"/>
      <c r="S16" s="632"/>
      <c r="T16" s="631"/>
      <c r="U16" s="632"/>
      <c r="V16" s="631"/>
      <c r="W16" s="632"/>
      <c r="X16" s="1335"/>
      <c r="Y16" s="3702"/>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702"/>
      <c r="Q17" s="1334" t="str">
        <f>B17</f>
        <v>交通便捷度</v>
      </c>
      <c r="R17" s="631" t="s">
        <v>25</v>
      </c>
      <c r="S17" s="632">
        <f>F17</f>
        <v>100</v>
      </c>
      <c r="T17" s="631" t="s">
        <v>25</v>
      </c>
      <c r="U17" s="632">
        <f>H17</f>
        <v>100</v>
      </c>
      <c r="V17" s="631" t="s">
        <v>25</v>
      </c>
      <c r="W17" s="632">
        <f>J17</f>
        <v>100</v>
      </c>
      <c r="X17" s="1335"/>
      <c r="Y17" s="370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702"/>
      <c r="Q18" s="1334"/>
      <c r="R18" s="631"/>
      <c r="S18" s="632"/>
      <c r="T18" s="631"/>
      <c r="U18" s="632"/>
      <c r="V18" s="631"/>
      <c r="W18" s="632"/>
      <c r="X18" s="1335"/>
      <c r="Y18" s="3702"/>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702"/>
      <c r="Q19" s="1334" t="str">
        <f>B19</f>
        <v>公共配套设施</v>
      </c>
      <c r="R19" s="631" t="s">
        <v>25</v>
      </c>
      <c r="S19" s="632">
        <f>F19</f>
        <v>100</v>
      </c>
      <c r="T19" s="631" t="s">
        <v>25</v>
      </c>
      <c r="U19" s="632">
        <f>H19</f>
        <v>100</v>
      </c>
      <c r="V19" s="631" t="s">
        <v>25</v>
      </c>
      <c r="W19" s="632">
        <f>J19</f>
        <v>100</v>
      </c>
      <c r="X19" s="1335"/>
      <c r="Y19" s="370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702"/>
      <c r="Q20" s="1334"/>
      <c r="R20" s="631"/>
      <c r="S20" s="632"/>
      <c r="T20" s="631"/>
      <c r="U20" s="632"/>
      <c r="V20" s="631"/>
      <c r="W20" s="632"/>
      <c r="X20" s="1335"/>
      <c r="Y20" s="3702"/>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702"/>
      <c r="Q21" s="1334" t="str">
        <f>B21</f>
        <v>基础设施水平</v>
      </c>
      <c r="R21" s="631" t="s">
        <v>25</v>
      </c>
      <c r="S21" s="632">
        <f>F21</f>
        <v>100</v>
      </c>
      <c r="T21" s="631" t="s">
        <v>25</v>
      </c>
      <c r="U21" s="632">
        <f>H21</f>
        <v>100</v>
      </c>
      <c r="V21" s="631" t="s">
        <v>25</v>
      </c>
      <c r="W21" s="632">
        <f>J21</f>
        <v>100</v>
      </c>
      <c r="X21" s="1335"/>
      <c r="Y21" s="370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702"/>
      <c r="Q22" s="1334"/>
      <c r="R22" s="631"/>
      <c r="S22" s="632"/>
      <c r="T22" s="631"/>
      <c r="U22" s="632"/>
      <c r="V22" s="631"/>
      <c r="W22" s="632"/>
      <c r="X22" s="1335"/>
      <c r="Y22" s="3702"/>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702"/>
      <c r="Q23" s="1334" t="str">
        <f>B23</f>
        <v>环境质量</v>
      </c>
      <c r="R23" s="631" t="s">
        <v>25</v>
      </c>
      <c r="S23" s="632">
        <f>F23</f>
        <v>100</v>
      </c>
      <c r="T23" s="631" t="s">
        <v>25</v>
      </c>
      <c r="U23" s="632">
        <f>H23</f>
        <v>100</v>
      </c>
      <c r="V23" s="631" t="s">
        <v>25</v>
      </c>
      <c r="W23" s="632">
        <f>J23</f>
        <v>100</v>
      </c>
      <c r="X23" s="1335"/>
      <c r="Y23" s="370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702"/>
      <c r="Q24" s="1334"/>
      <c r="R24" s="631"/>
      <c r="S24" s="632"/>
      <c r="T24" s="631"/>
      <c r="U24" s="632"/>
      <c r="V24" s="631"/>
      <c r="W24" s="632"/>
      <c r="X24" s="1335"/>
      <c r="Y24" s="370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702"/>
      <c r="Q25" s="1334">
        <f>B25</f>
        <v>111</v>
      </c>
      <c r="R25" s="631" t="s">
        <v>25</v>
      </c>
      <c r="S25" s="632">
        <f>F25</f>
        <v>100</v>
      </c>
      <c r="T25" s="631" t="s">
        <v>25</v>
      </c>
      <c r="U25" s="632">
        <f>H25</f>
        <v>100</v>
      </c>
      <c r="V25" s="631" t="s">
        <v>25</v>
      </c>
      <c r="W25" s="632">
        <f>J25</f>
        <v>100</v>
      </c>
      <c r="X25" s="1335"/>
      <c r="Y25" s="370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702"/>
      <c r="Q26" s="1334">
        <f t="shared" ref="Q26:Q40" si="11">B26</f>
        <v>111</v>
      </c>
      <c r="R26" s="631" t="s">
        <v>25</v>
      </c>
      <c r="S26" s="632">
        <f>F26</f>
        <v>100</v>
      </c>
      <c r="T26" s="631" t="s">
        <v>25</v>
      </c>
      <c r="U26" s="632">
        <f>H26</f>
        <v>100</v>
      </c>
      <c r="V26" s="631" t="s">
        <v>25</v>
      </c>
      <c r="W26" s="632">
        <f>J26</f>
        <v>100</v>
      </c>
      <c r="X26" s="1335"/>
      <c r="Y26" s="370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702"/>
      <c r="Q27" s="1327">
        <f t="shared" si="11"/>
        <v>111</v>
      </c>
      <c r="R27" s="627" t="s">
        <v>25</v>
      </c>
      <c r="S27" s="628">
        <f>F27</f>
        <v>100</v>
      </c>
      <c r="T27" s="627" t="s">
        <v>25</v>
      </c>
      <c r="U27" s="628">
        <f>H27</f>
        <v>100</v>
      </c>
      <c r="V27" s="627" t="s">
        <v>25</v>
      </c>
      <c r="W27" s="628">
        <f>J27</f>
        <v>100</v>
      </c>
      <c r="X27" s="629"/>
      <c r="Y27" s="370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702"/>
      <c r="Q28" s="1334">
        <f t="shared" si="11"/>
        <v>111</v>
      </c>
      <c r="R28" s="631" t="s">
        <v>25</v>
      </c>
      <c r="S28" s="632">
        <f t="shared" ref="S28:S40" si="12">F28</f>
        <v>100</v>
      </c>
      <c r="T28" s="631" t="s">
        <v>25</v>
      </c>
      <c r="U28" s="632">
        <f t="shared" ref="U28:U40" si="13">H28</f>
        <v>100</v>
      </c>
      <c r="V28" s="631" t="s">
        <v>25</v>
      </c>
      <c r="W28" s="632">
        <f t="shared" ref="W28:W40" si="14">J28</f>
        <v>100</v>
      </c>
      <c r="X28" s="1335"/>
      <c r="Y28" s="3702"/>
      <c r="Z28" s="1336">
        <f t="shared" ref="Z28:Z40" si="15">Q28</f>
        <v>111</v>
      </c>
      <c r="AA28" s="1337">
        <f t="shared" si="3"/>
        <v>1</v>
      </c>
      <c r="AB28" s="1337">
        <f t="shared" si="4"/>
        <v>1</v>
      </c>
      <c r="AC28" s="1337">
        <f t="shared" si="5"/>
        <v>1</v>
      </c>
    </row>
    <row r="29" spans="1:29" ht="29.2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704" t="s">
        <v>2276</v>
      </c>
      <c r="Q29" s="1334" t="str">
        <f t="shared" si="11"/>
        <v>建筑类型</v>
      </c>
      <c r="R29" s="631" t="s">
        <v>25</v>
      </c>
      <c r="S29" s="632">
        <f t="shared" si="12"/>
        <v>100</v>
      </c>
      <c r="T29" s="631" t="s">
        <v>25</v>
      </c>
      <c r="U29" s="632">
        <f t="shared" si="13"/>
        <v>100</v>
      </c>
      <c r="V29" s="631" t="s">
        <v>25</v>
      </c>
      <c r="W29" s="632">
        <f t="shared" si="14"/>
        <v>100</v>
      </c>
      <c r="X29" s="1335"/>
      <c r="Y29" s="3705"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705"/>
      <c r="Q30" s="633" t="str">
        <f t="shared" si="11"/>
        <v>项目建筑规模</v>
      </c>
      <c r="R30" s="634" t="s">
        <v>25</v>
      </c>
      <c r="S30" s="635" t="e">
        <f t="shared" si="12"/>
        <v>#N/A</v>
      </c>
      <c r="T30" s="634" t="s">
        <v>25</v>
      </c>
      <c r="U30" s="635" t="e">
        <f t="shared" si="13"/>
        <v>#N/A</v>
      </c>
      <c r="V30" s="634" t="s">
        <v>25</v>
      </c>
      <c r="W30" s="635" t="e">
        <f t="shared" si="14"/>
        <v>#N/A</v>
      </c>
      <c r="X30" s="636"/>
      <c r="Y30" s="3705"/>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705"/>
      <c r="Q31" s="1334" t="str">
        <f t="shared" si="11"/>
        <v>建筑结构</v>
      </c>
      <c r="R31" s="631" t="s">
        <v>25</v>
      </c>
      <c r="S31" s="632">
        <f t="shared" si="12"/>
        <v>100</v>
      </c>
      <c r="T31" s="631" t="s">
        <v>25</v>
      </c>
      <c r="U31" s="632">
        <f t="shared" si="13"/>
        <v>100</v>
      </c>
      <c r="V31" s="631" t="s">
        <v>25</v>
      </c>
      <c r="W31" s="632">
        <f t="shared" si="14"/>
        <v>100</v>
      </c>
      <c r="X31" s="1335"/>
      <c r="Y31" s="3705"/>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705"/>
      <c r="Q32" s="1334" t="str">
        <f t="shared" si="11"/>
        <v>公共部分装修</v>
      </c>
      <c r="R32" s="631" t="s">
        <v>25</v>
      </c>
      <c r="S32" s="632">
        <f t="shared" si="12"/>
        <v>100</v>
      </c>
      <c r="T32" s="631" t="s">
        <v>25</v>
      </c>
      <c r="U32" s="632">
        <f t="shared" si="13"/>
        <v>100</v>
      </c>
      <c r="V32" s="631" t="s">
        <v>25</v>
      </c>
      <c r="W32" s="632">
        <f t="shared" si="14"/>
        <v>100</v>
      </c>
      <c r="X32" s="1335"/>
      <c r="Y32" s="3705"/>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705"/>
      <c r="Q33" s="1334" t="str">
        <f t="shared" si="11"/>
        <v>成新度</v>
      </c>
      <c r="R33" s="631" t="s">
        <v>25</v>
      </c>
      <c r="S33" s="632" t="e">
        <f t="shared" si="12"/>
        <v>#N/A</v>
      </c>
      <c r="T33" s="631" t="s">
        <v>25</v>
      </c>
      <c r="U33" s="632" t="e">
        <f t="shared" si="13"/>
        <v>#N/A</v>
      </c>
      <c r="V33" s="631" t="s">
        <v>25</v>
      </c>
      <c r="W33" s="632" t="e">
        <f t="shared" si="14"/>
        <v>#N/A</v>
      </c>
      <c r="X33" s="1335"/>
      <c r="Y33" s="3705"/>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705"/>
      <c r="Q34" s="1327" t="str">
        <f t="shared" si="11"/>
        <v>物业管理</v>
      </c>
      <c r="R34" s="627" t="s">
        <v>25</v>
      </c>
      <c r="S34" s="628">
        <f t="shared" si="12"/>
        <v>100</v>
      </c>
      <c r="T34" s="627" t="s">
        <v>25</v>
      </c>
      <c r="U34" s="628">
        <f t="shared" si="13"/>
        <v>100</v>
      </c>
      <c r="V34" s="627" t="s">
        <v>25</v>
      </c>
      <c r="W34" s="628">
        <f t="shared" si="14"/>
        <v>100</v>
      </c>
      <c r="X34" s="629"/>
      <c r="Y34" s="3705"/>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705" t="s">
        <v>2276</v>
      </c>
      <c r="Q35" s="1334" t="str">
        <f t="shared" si="11"/>
        <v>市政基础设施</v>
      </c>
      <c r="R35" s="631" t="s">
        <v>25</v>
      </c>
      <c r="S35" s="632">
        <f t="shared" si="12"/>
        <v>100</v>
      </c>
      <c r="T35" s="631" t="s">
        <v>25</v>
      </c>
      <c r="U35" s="632">
        <f t="shared" si="13"/>
        <v>100</v>
      </c>
      <c r="V35" s="631" t="s">
        <v>25</v>
      </c>
      <c r="W35" s="632">
        <f t="shared" si="14"/>
        <v>100</v>
      </c>
      <c r="X35" s="1335"/>
      <c r="Y35" s="3705" t="s">
        <v>2276</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705"/>
      <c r="Q36" s="1334" t="str">
        <f t="shared" si="11"/>
        <v>内部装修</v>
      </c>
      <c r="R36" s="631" t="s">
        <v>25</v>
      </c>
      <c r="S36" s="632">
        <f t="shared" si="12"/>
        <v>100</v>
      </c>
      <c r="T36" s="631" t="s">
        <v>25</v>
      </c>
      <c r="U36" s="632">
        <f t="shared" si="13"/>
        <v>100</v>
      </c>
      <c r="V36" s="631" t="s">
        <v>25</v>
      </c>
      <c r="W36" s="632">
        <f t="shared" si="14"/>
        <v>100</v>
      </c>
      <c r="X36" s="1335"/>
      <c r="Y36" s="3705"/>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705"/>
      <c r="Q37" s="1334" t="str">
        <f t="shared" si="11"/>
        <v>内部装修状况</v>
      </c>
      <c r="R37" s="631" t="s">
        <v>25</v>
      </c>
      <c r="S37" s="632">
        <f t="shared" si="12"/>
        <v>100</v>
      </c>
      <c r="T37" s="631" t="s">
        <v>25</v>
      </c>
      <c r="U37" s="632">
        <f t="shared" si="13"/>
        <v>100</v>
      </c>
      <c r="V37" s="631" t="s">
        <v>25</v>
      </c>
      <c r="W37" s="632">
        <f t="shared" si="14"/>
        <v>100</v>
      </c>
      <c r="X37" s="1335"/>
      <c r="Y37" s="370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705"/>
      <c r="Q38" s="633">
        <f t="shared" si="11"/>
        <v>111</v>
      </c>
      <c r="R38" s="634" t="s">
        <v>25</v>
      </c>
      <c r="S38" s="635">
        <f t="shared" si="12"/>
        <v>100</v>
      </c>
      <c r="T38" s="634" t="s">
        <v>25</v>
      </c>
      <c r="U38" s="635">
        <f t="shared" si="13"/>
        <v>100</v>
      </c>
      <c r="V38" s="634" t="s">
        <v>25</v>
      </c>
      <c r="W38" s="635">
        <f t="shared" si="14"/>
        <v>100</v>
      </c>
      <c r="X38" s="636"/>
      <c r="Y38" s="370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705"/>
      <c r="Q39" s="1334">
        <f t="shared" si="11"/>
        <v>111</v>
      </c>
      <c r="R39" s="631" t="s">
        <v>25</v>
      </c>
      <c r="S39" s="632">
        <f t="shared" si="12"/>
        <v>100</v>
      </c>
      <c r="T39" s="631" t="s">
        <v>25</v>
      </c>
      <c r="U39" s="632">
        <f t="shared" si="13"/>
        <v>100</v>
      </c>
      <c r="V39" s="631" t="s">
        <v>25</v>
      </c>
      <c r="W39" s="632">
        <f t="shared" si="14"/>
        <v>100</v>
      </c>
      <c r="X39" s="1335"/>
      <c r="Y39" s="3705"/>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706"/>
      <c r="Q40" s="1334">
        <f t="shared" si="11"/>
        <v>111</v>
      </c>
      <c r="R40" s="631" t="s">
        <v>25</v>
      </c>
      <c r="S40" s="632">
        <f t="shared" si="12"/>
        <v>100</v>
      </c>
      <c r="T40" s="631" t="s">
        <v>25</v>
      </c>
      <c r="U40" s="632">
        <f t="shared" si="13"/>
        <v>100</v>
      </c>
      <c r="V40" s="631" t="s">
        <v>25</v>
      </c>
      <c r="W40" s="632">
        <f t="shared" si="14"/>
        <v>100</v>
      </c>
      <c r="X40" s="1335"/>
      <c r="Y40" s="3706"/>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673" t="str">
        <f>A41</f>
        <v>成交单价（元/平方米）</v>
      </c>
      <c r="Q41" s="3673"/>
      <c r="R41" s="3707">
        <f>E41</f>
        <v>0</v>
      </c>
      <c r="S41" s="3707"/>
      <c r="T41" s="3707">
        <f>G41</f>
        <v>0</v>
      </c>
      <c r="U41" s="3707"/>
      <c r="V41" s="3707">
        <f>I41</f>
        <v>0</v>
      </c>
      <c r="W41" s="3707"/>
      <c r="X41" s="618"/>
      <c r="Y41" s="638"/>
      <c r="Z41" s="618"/>
      <c r="AA41" s="618"/>
      <c r="AB41" s="618"/>
      <c r="AC41" s="618"/>
    </row>
    <row r="42" spans="1:29" ht="15.75" thickBot="1">
      <c r="A42" s="374" t="s">
        <v>2370</v>
      </c>
      <c r="B42" s="375"/>
      <c r="C42" s="1159" t="e">
        <f>R43</f>
        <v>#DIV/0!</v>
      </c>
      <c r="D42" s="1797" t="s">
        <v>2744</v>
      </c>
      <c r="E42" s="1160" t="e">
        <f>R42</f>
        <v>#DIV/0!</v>
      </c>
      <c r="F42" s="1799"/>
      <c r="G42" s="1159" t="e">
        <f>T42</f>
        <v>#DIV/0!</v>
      </c>
      <c r="H42" s="1799"/>
      <c r="I42" s="1160" t="e">
        <f>V42</f>
        <v>#DIV/0!</v>
      </c>
      <c r="J42" s="1799"/>
      <c r="K42" s="2511">
        <f>F42+H42+J42</f>
        <v>0</v>
      </c>
      <c r="L42" s="3037"/>
      <c r="N42" s="3026"/>
      <c r="P42" s="3673" t="str">
        <f>A42</f>
        <v>比较价值（元/平方米）</v>
      </c>
      <c r="Q42" s="3673"/>
      <c r="R42" s="3707" t="e">
        <f>IF(E1="售价",ROUND(PRODUCT(R41,AA7:AA40),0),ROUND(PRODUCT(R41,AA7:AA40),1))</f>
        <v>#DIV/0!</v>
      </c>
      <c r="S42" s="3707"/>
      <c r="T42" s="3707" t="e">
        <f>IF(E1="售价",ROUND(PRODUCT(T41,AB7:AB40),0),ROUND(PRODUCT(T41,AB7:AB40),1))</f>
        <v>#DIV/0!</v>
      </c>
      <c r="U42" s="3707"/>
      <c r="V42" s="3707" t="e">
        <f>IF(E1="售价",ROUND(PRODUCT(V41,AC7:AC40),0),ROUND(PRODUCT(V41,AC7:AC40),1))</f>
        <v>#DIV/0!</v>
      </c>
      <c r="W42" s="3707"/>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708" t="str">
        <f>A43</f>
        <v>估价对象XX用房的比较价值（楼面单价，元/平方米）</v>
      </c>
      <c r="Q43" s="3709"/>
      <c r="R43" s="3710" t="e">
        <f>IF(E1="售价",ROUND(IF(D42="简单平均",AVERAGE(R42:V42),R42*F42+T42*H42+V42*J42),0),ROUND(IF(D42="简单平均",AVERAGE(R42:V42),R42*F42+T42*H42+V42*J42),1))</f>
        <v>#DIV/0!</v>
      </c>
      <c r="S43" s="3710"/>
      <c r="T43" s="3710"/>
      <c r="U43" s="3710"/>
      <c r="V43" s="3710"/>
      <c r="W43" s="3710"/>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2009-9</v>
      </c>
      <c r="D52" s="1188">
        <f>EDATE(C52,-1)</f>
        <v>40026</v>
      </c>
      <c r="E52" s="1189">
        <f t="shared" ref="E52:O52" si="16">EDATE(D52,-1)</f>
        <v>39995</v>
      </c>
      <c r="F52" s="1189">
        <f t="shared" si="16"/>
        <v>39965</v>
      </c>
      <c r="G52" s="1189">
        <f t="shared" si="16"/>
        <v>39934</v>
      </c>
      <c r="H52" s="1189">
        <f t="shared" si="16"/>
        <v>39904</v>
      </c>
      <c r="I52" s="1189">
        <f t="shared" si="16"/>
        <v>39873</v>
      </c>
      <c r="J52" s="1189">
        <f t="shared" si="16"/>
        <v>39845</v>
      </c>
      <c r="K52" s="1189">
        <f t="shared" si="16"/>
        <v>39814</v>
      </c>
      <c r="L52" s="1189">
        <f t="shared" si="16"/>
        <v>39783</v>
      </c>
      <c r="M52" s="1189">
        <f t="shared" si="16"/>
        <v>39753</v>
      </c>
      <c r="N52" s="1189">
        <f t="shared" si="16"/>
        <v>39722</v>
      </c>
      <c r="O52" s="1189">
        <f t="shared" si="16"/>
        <v>39692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146.78</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81" t="s">
        <v>2246</v>
      </c>
      <c r="D4" s="3682"/>
      <c r="E4" s="3683" t="s">
        <v>2247</v>
      </c>
      <c r="F4" s="3684"/>
      <c r="G4" s="3681" t="s">
        <v>2248</v>
      </c>
      <c r="H4" s="3682"/>
      <c r="I4" s="3681" t="s">
        <v>2249</v>
      </c>
      <c r="J4" s="3682"/>
      <c r="K4" s="496" t="s">
        <v>2250</v>
      </c>
      <c r="L4" s="3025"/>
      <c r="M4" s="3026"/>
      <c r="N4" s="3026"/>
      <c r="O4" s="3026"/>
      <c r="P4" s="3685" t="s">
        <v>2251</v>
      </c>
      <c r="Q4" s="3686"/>
      <c r="R4" s="3691" t="s">
        <v>2247</v>
      </c>
      <c r="S4" s="3692"/>
      <c r="T4" s="3691" t="s">
        <v>2248</v>
      </c>
      <c r="U4" s="3692"/>
      <c r="V4" s="3697" t="s">
        <v>2249</v>
      </c>
      <c r="W4" s="3697"/>
      <c r="X4" s="1335"/>
      <c r="Y4" s="3691" t="s">
        <v>2251</v>
      </c>
      <c r="Z4" s="3692"/>
      <c r="AA4" s="3678" t="s">
        <v>2247</v>
      </c>
      <c r="AB4" s="3679" t="s">
        <v>2248</v>
      </c>
      <c r="AC4" s="3678" t="s">
        <v>2249</v>
      </c>
    </row>
    <row r="5" spans="1:29" ht="15">
      <c r="A5" s="297"/>
      <c r="B5" s="298"/>
      <c r="C5" s="3674" t="s">
        <v>2252</v>
      </c>
      <c r="D5" s="3675"/>
      <c r="E5" s="3698" t="s">
        <v>2253</v>
      </c>
      <c r="F5" s="3699"/>
      <c r="G5" s="3674" t="s">
        <v>2254</v>
      </c>
      <c r="H5" s="3675"/>
      <c r="I5" s="3674" t="s">
        <v>2255</v>
      </c>
      <c r="J5" s="3675"/>
      <c r="K5" s="496"/>
      <c r="L5" s="3025"/>
      <c r="M5" s="3026"/>
      <c r="N5" s="3026"/>
      <c r="O5" s="3026"/>
      <c r="P5" s="3687"/>
      <c r="Q5" s="3688"/>
      <c r="R5" s="3693"/>
      <c r="S5" s="3694"/>
      <c r="T5" s="3693"/>
      <c r="U5" s="3694"/>
      <c r="V5" s="3697"/>
      <c r="W5" s="3697"/>
      <c r="X5" s="1335"/>
      <c r="Y5" s="3693"/>
      <c r="Z5" s="3694"/>
      <c r="AA5" s="3679"/>
      <c r="AB5" s="3679"/>
      <c r="AC5" s="3679"/>
    </row>
    <row r="6" spans="1:29" ht="15.75" thickBot="1">
      <c r="A6" s="299"/>
      <c r="B6" s="300"/>
      <c r="C6" s="3671" t="s">
        <v>2256</v>
      </c>
      <c r="D6" s="3672"/>
      <c r="E6" s="3669" t="s">
        <v>2256</v>
      </c>
      <c r="F6" s="3670"/>
      <c r="G6" s="3671" t="s">
        <v>2256</v>
      </c>
      <c r="H6" s="3672"/>
      <c r="I6" s="3671" t="s">
        <v>2256</v>
      </c>
      <c r="J6" s="3672"/>
      <c r="K6" s="496" t="s">
        <v>2257</v>
      </c>
      <c r="L6" s="3025"/>
      <c r="M6" s="3026"/>
      <c r="N6" s="3026"/>
      <c r="O6" s="3026"/>
      <c r="P6" s="3689"/>
      <c r="Q6" s="3690"/>
      <c r="R6" s="3693"/>
      <c r="S6" s="3694"/>
      <c r="T6" s="3695"/>
      <c r="U6" s="3696"/>
      <c r="V6" s="3697"/>
      <c r="W6" s="3697"/>
      <c r="X6" s="1335"/>
      <c r="Y6" s="3695"/>
      <c r="Z6" s="3696"/>
      <c r="AA6" s="3680"/>
      <c r="AB6" s="3680"/>
      <c r="AC6" s="3680"/>
    </row>
    <row r="7" spans="1:29" s="25" customFormat="1" ht="15.75" thickBot="1">
      <c r="A7" s="301" t="s">
        <v>2258</v>
      </c>
      <c r="B7" s="302"/>
      <c r="C7" s="303">
        <f>'数据-取费表'!B2</f>
        <v>40065</v>
      </c>
      <c r="D7" s="304">
        <v>100</v>
      </c>
      <c r="E7" s="305"/>
      <c r="F7" s="306">
        <f>SUMIF(48:48,YEAR(E7)&amp;"-"&amp;MONTH(E7),49:49)</f>
        <v>0</v>
      </c>
      <c r="G7" s="305"/>
      <c r="H7" s="304">
        <f>SUMIF(48:48,YEAR(G7)&amp;"-"&amp;MONTH(G7),49:49)</f>
        <v>0</v>
      </c>
      <c r="I7" s="305"/>
      <c r="J7" s="304">
        <f>SUMIF(48:48,YEAR(I7)&amp;"-"&amp;MONTH(I7),49:49)</f>
        <v>0</v>
      </c>
      <c r="K7" s="497"/>
      <c r="L7" s="3027"/>
      <c r="M7" s="3028"/>
      <c r="N7" s="3028"/>
      <c r="O7" s="3028"/>
      <c r="P7" s="3676" t="s">
        <v>2259</v>
      </c>
      <c r="Q7" s="3700"/>
      <c r="R7" s="627" t="s">
        <v>25</v>
      </c>
      <c r="S7" s="628">
        <f t="shared" ref="S7:S14" si="0">F7</f>
        <v>0</v>
      </c>
      <c r="T7" s="627" t="s">
        <v>25</v>
      </c>
      <c r="U7" s="628">
        <f t="shared" ref="U7:U14" si="1">H7</f>
        <v>0</v>
      </c>
      <c r="V7" s="627" t="s">
        <v>25</v>
      </c>
      <c r="W7" s="628">
        <f t="shared" ref="W7:W14" si="2">J7</f>
        <v>0</v>
      </c>
      <c r="X7" s="629"/>
      <c r="Y7" s="3676" t="s">
        <v>2259</v>
      </c>
      <c r="Z7" s="3677"/>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676" t="s">
        <v>2262</v>
      </c>
      <c r="Q8" s="3677"/>
      <c r="R8" s="627" t="s">
        <v>25</v>
      </c>
      <c r="S8" s="628">
        <f t="shared" si="0"/>
        <v>0</v>
      </c>
      <c r="T8" s="627" t="s">
        <v>25</v>
      </c>
      <c r="U8" s="628">
        <f t="shared" si="1"/>
        <v>0</v>
      </c>
      <c r="V8" s="627" t="s">
        <v>25</v>
      </c>
      <c r="W8" s="628">
        <f t="shared" si="2"/>
        <v>0</v>
      </c>
      <c r="X8" s="629"/>
      <c r="Y8" s="3676" t="s">
        <v>2262</v>
      </c>
      <c r="Z8" s="3677"/>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673" t="s">
        <v>2265</v>
      </c>
      <c r="Q9" s="1327" t="str">
        <f t="shared" ref="Q9:Q14" si="6">B9</f>
        <v>用途</v>
      </c>
      <c r="R9" s="627" t="s">
        <v>25</v>
      </c>
      <c r="S9" s="628">
        <f t="shared" si="0"/>
        <v>100</v>
      </c>
      <c r="T9" s="627" t="s">
        <v>25</v>
      </c>
      <c r="U9" s="628">
        <f t="shared" si="1"/>
        <v>100</v>
      </c>
      <c r="V9" s="627" t="s">
        <v>25</v>
      </c>
      <c r="W9" s="628">
        <f t="shared" si="2"/>
        <v>100</v>
      </c>
      <c r="X9" s="629"/>
      <c r="Y9" s="3703"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673"/>
      <c r="Q10" s="1327" t="str">
        <f t="shared" si="6"/>
        <v>土地使用年限（年）</v>
      </c>
      <c r="R10" s="627" t="s">
        <v>25</v>
      </c>
      <c r="S10" s="628">
        <f t="shared" si="0"/>
        <v>100</v>
      </c>
      <c r="T10" s="627" t="s">
        <v>25</v>
      </c>
      <c r="U10" s="628">
        <f t="shared" si="1"/>
        <v>100</v>
      </c>
      <c r="V10" s="627" t="s">
        <v>25</v>
      </c>
      <c r="W10" s="628">
        <f t="shared" si="2"/>
        <v>100</v>
      </c>
      <c r="X10" s="629"/>
      <c r="Y10" s="370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673"/>
      <c r="Q11" s="1327">
        <f t="shared" si="6"/>
        <v>111</v>
      </c>
      <c r="R11" s="627" t="s">
        <v>25</v>
      </c>
      <c r="S11" s="628">
        <f t="shared" si="0"/>
        <v>100</v>
      </c>
      <c r="T11" s="627" t="s">
        <v>25</v>
      </c>
      <c r="U11" s="628">
        <f t="shared" si="1"/>
        <v>100</v>
      </c>
      <c r="V11" s="627" t="s">
        <v>25</v>
      </c>
      <c r="W11" s="628">
        <f t="shared" si="2"/>
        <v>100</v>
      </c>
      <c r="X11" s="629"/>
      <c r="Y11" s="370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673"/>
      <c r="Q12" s="1327">
        <f t="shared" si="6"/>
        <v>111</v>
      </c>
      <c r="R12" s="627" t="s">
        <v>25</v>
      </c>
      <c r="S12" s="628">
        <f t="shared" si="0"/>
        <v>100</v>
      </c>
      <c r="T12" s="627" t="s">
        <v>25</v>
      </c>
      <c r="U12" s="628">
        <f t="shared" si="1"/>
        <v>100</v>
      </c>
      <c r="V12" s="627" t="s">
        <v>25</v>
      </c>
      <c r="W12" s="628">
        <f t="shared" si="2"/>
        <v>100</v>
      </c>
      <c r="X12" s="629"/>
      <c r="Y12" s="370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673"/>
      <c r="Q13" s="1327">
        <f t="shared" si="6"/>
        <v>111</v>
      </c>
      <c r="R13" s="627" t="s">
        <v>25</v>
      </c>
      <c r="S13" s="628">
        <f t="shared" si="0"/>
        <v>100</v>
      </c>
      <c r="T13" s="627" t="s">
        <v>25</v>
      </c>
      <c r="U13" s="628">
        <f t="shared" si="1"/>
        <v>100</v>
      </c>
      <c r="V13" s="627" t="s">
        <v>25</v>
      </c>
      <c r="W13" s="628">
        <f t="shared" si="2"/>
        <v>100</v>
      </c>
      <c r="X13" s="629"/>
      <c r="Y13" s="3703"/>
      <c r="Z13" s="19">
        <f t="shared" si="7"/>
        <v>111</v>
      </c>
      <c r="AA13" s="630">
        <f t="shared" si="3"/>
        <v>1</v>
      </c>
      <c r="AB13" s="630">
        <f t="shared" si="4"/>
        <v>1</v>
      </c>
      <c r="AC13" s="630">
        <f t="shared" si="5"/>
        <v>1</v>
      </c>
    </row>
    <row r="14" spans="1:29" ht="85.5">
      <c r="A14" s="294" t="s">
        <v>2269</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701" t="s">
        <v>2270</v>
      </c>
      <c r="Q14" s="1334" t="str">
        <f t="shared" si="6"/>
        <v>交通便捷度</v>
      </c>
      <c r="R14" s="631" t="s">
        <v>25</v>
      </c>
      <c r="S14" s="632">
        <f t="shared" si="0"/>
        <v>100</v>
      </c>
      <c r="T14" s="631" t="s">
        <v>25</v>
      </c>
      <c r="U14" s="632">
        <f t="shared" si="1"/>
        <v>100</v>
      </c>
      <c r="V14" s="631" t="s">
        <v>25</v>
      </c>
      <c r="W14" s="632">
        <f t="shared" si="2"/>
        <v>100</v>
      </c>
      <c r="X14" s="1335"/>
      <c r="Y14" s="3701"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702"/>
      <c r="Q15" s="1334"/>
      <c r="R15" s="631"/>
      <c r="S15" s="632"/>
      <c r="T15" s="631"/>
      <c r="U15" s="632"/>
      <c r="V15" s="631"/>
      <c r="W15" s="632"/>
      <c r="X15" s="1335"/>
      <c r="Y15" s="3702"/>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702"/>
      <c r="Q16" s="1334" t="str">
        <f>B16</f>
        <v>公共配套设施</v>
      </c>
      <c r="R16" s="631" t="s">
        <v>25</v>
      </c>
      <c r="S16" s="632">
        <f>F16</f>
        <v>100</v>
      </c>
      <c r="T16" s="631" t="s">
        <v>25</v>
      </c>
      <c r="U16" s="632">
        <f>H16</f>
        <v>100</v>
      </c>
      <c r="V16" s="631" t="s">
        <v>25</v>
      </c>
      <c r="W16" s="632">
        <f>J16</f>
        <v>100</v>
      </c>
      <c r="X16" s="1335"/>
      <c r="Y16" s="370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702"/>
      <c r="Q17" s="1334"/>
      <c r="R17" s="631"/>
      <c r="S17" s="632"/>
      <c r="T17" s="631"/>
      <c r="U17" s="632"/>
      <c r="V17" s="631"/>
      <c r="W17" s="632"/>
      <c r="X17" s="1335"/>
      <c r="Y17" s="3702"/>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702"/>
      <c r="Q18" s="1334" t="str">
        <f>B18</f>
        <v>基础设施水平</v>
      </c>
      <c r="R18" s="631" t="s">
        <v>25</v>
      </c>
      <c r="S18" s="632">
        <f>F18</f>
        <v>100</v>
      </c>
      <c r="T18" s="631" t="s">
        <v>25</v>
      </c>
      <c r="U18" s="632">
        <f>H18</f>
        <v>100</v>
      </c>
      <c r="V18" s="631" t="s">
        <v>25</v>
      </c>
      <c r="W18" s="632">
        <f>J18</f>
        <v>100</v>
      </c>
      <c r="X18" s="1335"/>
      <c r="Y18" s="370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702"/>
      <c r="Q19" s="1334"/>
      <c r="R19" s="631"/>
      <c r="S19" s="632"/>
      <c r="T19" s="631"/>
      <c r="U19" s="632"/>
      <c r="V19" s="631"/>
      <c r="W19" s="632"/>
      <c r="X19" s="1335"/>
      <c r="Y19" s="3702"/>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702"/>
      <c r="Q20" s="1334" t="str">
        <f>B20</f>
        <v>自然及人文环境</v>
      </c>
      <c r="R20" s="631" t="s">
        <v>25</v>
      </c>
      <c r="S20" s="632">
        <f>F20</f>
        <v>100</v>
      </c>
      <c r="T20" s="631" t="s">
        <v>25</v>
      </c>
      <c r="U20" s="632">
        <f>H20</f>
        <v>100</v>
      </c>
      <c r="V20" s="631" t="s">
        <v>25</v>
      </c>
      <c r="W20" s="632">
        <f>J20</f>
        <v>100</v>
      </c>
      <c r="X20" s="1335"/>
      <c r="Y20" s="370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702"/>
      <c r="Q21" s="1334"/>
      <c r="R21" s="631"/>
      <c r="S21" s="632"/>
      <c r="T21" s="631"/>
      <c r="U21" s="632"/>
      <c r="V21" s="631"/>
      <c r="W21" s="632"/>
      <c r="X21" s="1335"/>
      <c r="Y21" s="3702"/>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702"/>
      <c r="Q22" s="1334" t="str">
        <f>B22</f>
        <v>楼层</v>
      </c>
      <c r="R22" s="631" t="s">
        <v>25</v>
      </c>
      <c r="S22" s="632">
        <f>F22</f>
        <v>100</v>
      </c>
      <c r="T22" s="631" t="s">
        <v>25</v>
      </c>
      <c r="U22" s="632">
        <f>H22</f>
        <v>100</v>
      </c>
      <c r="V22" s="631" t="s">
        <v>25</v>
      </c>
      <c r="W22" s="632">
        <f>J22</f>
        <v>100</v>
      </c>
      <c r="X22" s="1335"/>
      <c r="Y22" s="370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702"/>
      <c r="Q23" s="1334">
        <f>B23</f>
        <v>111</v>
      </c>
      <c r="R23" s="631" t="s">
        <v>25</v>
      </c>
      <c r="S23" s="632">
        <f>F23</f>
        <v>100</v>
      </c>
      <c r="T23" s="631" t="s">
        <v>25</v>
      </c>
      <c r="U23" s="632">
        <f>H23</f>
        <v>100</v>
      </c>
      <c r="V23" s="631" t="s">
        <v>25</v>
      </c>
      <c r="W23" s="632">
        <f>J23</f>
        <v>100</v>
      </c>
      <c r="X23" s="1335"/>
      <c r="Y23" s="370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702"/>
      <c r="Q24" s="1334">
        <f t="shared" ref="Q24:Q36" si="11">B24</f>
        <v>111</v>
      </c>
      <c r="R24" s="631" t="s">
        <v>25</v>
      </c>
      <c r="S24" s="632">
        <f>F24</f>
        <v>100</v>
      </c>
      <c r="T24" s="631" t="s">
        <v>25</v>
      </c>
      <c r="U24" s="632">
        <f>H24</f>
        <v>100</v>
      </c>
      <c r="V24" s="631" t="s">
        <v>25</v>
      </c>
      <c r="W24" s="632">
        <f>J24</f>
        <v>100</v>
      </c>
      <c r="X24" s="1335"/>
      <c r="Y24" s="370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702"/>
      <c r="Q25" s="1327">
        <f t="shared" si="11"/>
        <v>111</v>
      </c>
      <c r="R25" s="627" t="s">
        <v>25</v>
      </c>
      <c r="S25" s="628">
        <f>F25</f>
        <v>100</v>
      </c>
      <c r="T25" s="627" t="s">
        <v>25</v>
      </c>
      <c r="U25" s="628">
        <f>H25</f>
        <v>100</v>
      </c>
      <c r="V25" s="627" t="s">
        <v>25</v>
      </c>
      <c r="W25" s="628">
        <f>J25</f>
        <v>100</v>
      </c>
      <c r="X25" s="629"/>
      <c r="Y25" s="3702"/>
      <c r="Z25" s="19">
        <f>Q25</f>
        <v>111</v>
      </c>
      <c r="AA25" s="1337">
        <f>D25/F25</f>
        <v>1</v>
      </c>
      <c r="AB25" s="1337">
        <f>D25/H25</f>
        <v>1</v>
      </c>
      <c r="AC25" s="1337">
        <f>D25/J25</f>
        <v>1</v>
      </c>
    </row>
    <row r="26" spans="1:29" ht="29.2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704"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705" t="s">
        <v>2276</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705"/>
      <c r="Q27" s="633" t="str">
        <f t="shared" si="11"/>
        <v>项目停车位配比</v>
      </c>
      <c r="R27" s="634" t="s">
        <v>25</v>
      </c>
      <c r="S27" s="635">
        <f t="shared" si="12"/>
        <v>100</v>
      </c>
      <c r="T27" s="634" t="s">
        <v>25</v>
      </c>
      <c r="U27" s="635">
        <f t="shared" si="13"/>
        <v>100</v>
      </c>
      <c r="V27" s="634" t="s">
        <v>25</v>
      </c>
      <c r="W27" s="635">
        <f t="shared" si="14"/>
        <v>100</v>
      </c>
      <c r="X27" s="636"/>
      <c r="Y27" s="3705"/>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705"/>
      <c r="Q28" s="1334" t="str">
        <f t="shared" si="11"/>
        <v>公共部分装修</v>
      </c>
      <c r="R28" s="631" t="s">
        <v>25</v>
      </c>
      <c r="S28" s="632">
        <f t="shared" si="12"/>
        <v>100</v>
      </c>
      <c r="T28" s="631" t="s">
        <v>25</v>
      </c>
      <c r="U28" s="632">
        <f t="shared" si="13"/>
        <v>100</v>
      </c>
      <c r="V28" s="631" t="s">
        <v>25</v>
      </c>
      <c r="W28" s="632">
        <f t="shared" si="14"/>
        <v>100</v>
      </c>
      <c r="X28" s="1335"/>
      <c r="Y28" s="3705"/>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705"/>
      <c r="Q29" s="1334" t="str">
        <f t="shared" si="11"/>
        <v>成新率</v>
      </c>
      <c r="R29" s="631" t="s">
        <v>25</v>
      </c>
      <c r="S29" s="632" t="e">
        <f t="shared" si="12"/>
        <v>#N/A</v>
      </c>
      <c r="T29" s="631" t="s">
        <v>25</v>
      </c>
      <c r="U29" s="632" t="e">
        <f t="shared" si="13"/>
        <v>#N/A</v>
      </c>
      <c r="V29" s="631" t="s">
        <v>25</v>
      </c>
      <c r="W29" s="632" t="e">
        <f t="shared" si="14"/>
        <v>#N/A</v>
      </c>
      <c r="X29" s="1335"/>
      <c r="Y29" s="3705"/>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705"/>
      <c r="Q30" s="1334" t="str">
        <f t="shared" si="11"/>
        <v>物业等级</v>
      </c>
      <c r="R30" s="631" t="s">
        <v>25</v>
      </c>
      <c r="S30" s="632">
        <f t="shared" si="12"/>
        <v>100</v>
      </c>
      <c r="T30" s="631" t="s">
        <v>25</v>
      </c>
      <c r="U30" s="632">
        <f t="shared" si="13"/>
        <v>100</v>
      </c>
      <c r="V30" s="631" t="s">
        <v>25</v>
      </c>
      <c r="W30" s="632">
        <f t="shared" si="14"/>
        <v>100</v>
      </c>
      <c r="X30" s="1335"/>
      <c r="Y30" s="3705"/>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705"/>
      <c r="Q31" s="1327" t="str">
        <f t="shared" si="11"/>
        <v>停车位面积</v>
      </c>
      <c r="R31" s="627" t="s">
        <v>25</v>
      </c>
      <c r="S31" s="628" t="e">
        <f t="shared" si="12"/>
        <v>#N/A</v>
      </c>
      <c r="T31" s="627" t="s">
        <v>25</v>
      </c>
      <c r="U31" s="628" t="e">
        <f t="shared" si="13"/>
        <v>#N/A</v>
      </c>
      <c r="V31" s="627" t="s">
        <v>25</v>
      </c>
      <c r="W31" s="628" t="e">
        <f t="shared" si="14"/>
        <v>#N/A</v>
      </c>
      <c r="X31" s="629"/>
      <c r="Y31" s="3705"/>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705" t="s">
        <v>2276</v>
      </c>
      <c r="Q32" s="1334" t="str">
        <f t="shared" si="11"/>
        <v>车位类型</v>
      </c>
      <c r="R32" s="631" t="s">
        <v>25</v>
      </c>
      <c r="S32" s="632">
        <f t="shared" si="12"/>
        <v>100</v>
      </c>
      <c r="T32" s="631" t="s">
        <v>25</v>
      </c>
      <c r="U32" s="632">
        <f t="shared" si="13"/>
        <v>100</v>
      </c>
      <c r="V32" s="631" t="s">
        <v>25</v>
      </c>
      <c r="W32" s="632">
        <f t="shared" si="14"/>
        <v>100</v>
      </c>
      <c r="X32" s="1335"/>
      <c r="Y32" s="3705" t="s">
        <v>2276</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705"/>
      <c r="Q33" s="1334" t="str">
        <f t="shared" si="11"/>
        <v>是否直接入户</v>
      </c>
      <c r="R33" s="631" t="s">
        <v>25</v>
      </c>
      <c r="S33" s="632">
        <f t="shared" si="12"/>
        <v>100</v>
      </c>
      <c r="T33" s="631" t="s">
        <v>25</v>
      </c>
      <c r="U33" s="632">
        <f t="shared" si="13"/>
        <v>100</v>
      </c>
      <c r="V33" s="631" t="s">
        <v>25</v>
      </c>
      <c r="W33" s="632">
        <f t="shared" si="14"/>
        <v>100</v>
      </c>
      <c r="X33" s="1335"/>
      <c r="Y33" s="370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705"/>
      <c r="Q34" s="1334">
        <f t="shared" si="11"/>
        <v>111</v>
      </c>
      <c r="R34" s="631" t="s">
        <v>25</v>
      </c>
      <c r="S34" s="632">
        <f t="shared" si="12"/>
        <v>100</v>
      </c>
      <c r="T34" s="631" t="s">
        <v>25</v>
      </c>
      <c r="U34" s="632">
        <f t="shared" si="13"/>
        <v>100</v>
      </c>
      <c r="V34" s="631" t="s">
        <v>25</v>
      </c>
      <c r="W34" s="632">
        <f t="shared" si="14"/>
        <v>100</v>
      </c>
      <c r="X34" s="1335"/>
      <c r="Y34" s="370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705"/>
      <c r="Q35" s="633">
        <f t="shared" si="11"/>
        <v>111</v>
      </c>
      <c r="R35" s="634" t="s">
        <v>25</v>
      </c>
      <c r="S35" s="635">
        <f t="shared" si="12"/>
        <v>100</v>
      </c>
      <c r="T35" s="634" t="s">
        <v>25</v>
      </c>
      <c r="U35" s="635">
        <f t="shared" si="13"/>
        <v>100</v>
      </c>
      <c r="V35" s="634" t="s">
        <v>25</v>
      </c>
      <c r="W35" s="635">
        <f t="shared" si="14"/>
        <v>100</v>
      </c>
      <c r="X35" s="636"/>
      <c r="Y35" s="370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705"/>
      <c r="Q36" s="1334">
        <f t="shared" si="11"/>
        <v>111</v>
      </c>
      <c r="R36" s="631" t="s">
        <v>25</v>
      </c>
      <c r="S36" s="632">
        <f t="shared" si="12"/>
        <v>100</v>
      </c>
      <c r="T36" s="631" t="s">
        <v>25</v>
      </c>
      <c r="U36" s="632">
        <f t="shared" si="13"/>
        <v>100</v>
      </c>
      <c r="V36" s="631" t="s">
        <v>25</v>
      </c>
      <c r="W36" s="632">
        <f t="shared" si="14"/>
        <v>100</v>
      </c>
      <c r="X36" s="1335"/>
      <c r="Y36" s="3705"/>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673" t="str">
        <f>A37</f>
        <v>成交单价</v>
      </c>
      <c r="Q37" s="3673"/>
      <c r="R37" s="3707">
        <f>E37</f>
        <v>0</v>
      </c>
      <c r="S37" s="3707"/>
      <c r="T37" s="3707">
        <f>G37</f>
        <v>0</v>
      </c>
      <c r="U37" s="3707"/>
      <c r="V37" s="3707">
        <f>I37</f>
        <v>0</v>
      </c>
      <c r="W37" s="3707"/>
      <c r="X37" s="618"/>
      <c r="Y37" s="638"/>
      <c r="Z37" s="618"/>
      <c r="AA37" s="618"/>
      <c r="AB37" s="618"/>
      <c r="AC37" s="618"/>
    </row>
    <row r="38" spans="1:29" ht="15.75" thickBot="1">
      <c r="A38" s="374" t="s">
        <v>2419</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673" t="str">
        <f>A38</f>
        <v>比较价值</v>
      </c>
      <c r="Q38" s="3673"/>
      <c r="R38" s="3707" t="e">
        <f>IF(E1="售价",ROUND(PRODUCT(R37,AA7:AA36),0),ROUND(PRODUCT(R37,AA7:AA36),1))</f>
        <v>#DIV/0!</v>
      </c>
      <c r="S38" s="3707"/>
      <c r="T38" s="3707" t="e">
        <f>IF(E1="售价",ROUND(PRODUCT(T37,AB7:AB36),0),ROUND(PRODUCT(T37,AB7:AB36),1))</f>
        <v>#DIV/0!</v>
      </c>
      <c r="U38" s="3707"/>
      <c r="V38" s="3707" t="e">
        <f>IF(E1="售价",ROUND(PRODUCT(V37,AC7:AC36),0),ROUND(PRODUCT(V37,AC7:AC36),1))</f>
        <v>#DIV/0!</v>
      </c>
      <c r="W38" s="3707"/>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708" t="str">
        <f>A39</f>
        <v>估价对象XX用房的比较价值（楼面单价，元/平方米）</v>
      </c>
      <c r="Q39" s="3709"/>
      <c r="R39" s="3710" t="e">
        <f>IF(E1="售价",ROUND(IF(D38="简单平均",AVERAGE(R38:W38),R38*F38+T38*H38+V38*J38),0),ROUND(IF(D38="简单平均",AVERAGE(R38:V38),R38*F38+T38*H38+V38*J38),1))</f>
        <v>#DIV/0!</v>
      </c>
      <c r="S39" s="3710"/>
      <c r="T39" s="3710"/>
      <c r="U39" s="3710"/>
      <c r="V39" s="3710"/>
      <c r="W39" s="3710"/>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2009-9</v>
      </c>
      <c r="D48" s="1188">
        <f>EDATE(C48,-1)</f>
        <v>40026</v>
      </c>
      <c r="E48" s="1188">
        <f t="shared" ref="E48:O48" si="16">EDATE(D48,-1)</f>
        <v>39995</v>
      </c>
      <c r="F48" s="1188">
        <f t="shared" si="16"/>
        <v>39965</v>
      </c>
      <c r="G48" s="1188">
        <f t="shared" si="16"/>
        <v>39934</v>
      </c>
      <c r="H48" s="1188">
        <f t="shared" si="16"/>
        <v>39904</v>
      </c>
      <c r="I48" s="1188">
        <f t="shared" si="16"/>
        <v>39873</v>
      </c>
      <c r="J48" s="1188">
        <f t="shared" si="16"/>
        <v>39845</v>
      </c>
      <c r="K48" s="1188">
        <f t="shared" si="16"/>
        <v>39814</v>
      </c>
      <c r="L48" s="1188">
        <f t="shared" si="16"/>
        <v>39783</v>
      </c>
      <c r="M48" s="1188">
        <f t="shared" si="16"/>
        <v>39753</v>
      </c>
      <c r="N48" s="1188">
        <f t="shared" si="16"/>
        <v>39722</v>
      </c>
      <c r="O48" s="1188">
        <f t="shared" si="16"/>
        <v>39692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146.78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81" t="s">
        <v>2246</v>
      </c>
      <c r="D4" s="3682"/>
      <c r="E4" s="3683" t="s">
        <v>2247</v>
      </c>
      <c r="F4" s="3684"/>
      <c r="G4" s="3681" t="s">
        <v>2248</v>
      </c>
      <c r="H4" s="3682"/>
      <c r="I4" s="3681" t="s">
        <v>2249</v>
      </c>
      <c r="J4" s="3682"/>
      <c r="K4" s="496" t="s">
        <v>2250</v>
      </c>
      <c r="L4" s="3025"/>
      <c r="M4" s="3026"/>
      <c r="N4" s="3026"/>
      <c r="O4" s="3026"/>
      <c r="P4" s="3685" t="s">
        <v>2251</v>
      </c>
      <c r="Q4" s="3686"/>
      <c r="R4" s="3691" t="s">
        <v>2247</v>
      </c>
      <c r="S4" s="3692"/>
      <c r="T4" s="3691" t="s">
        <v>2248</v>
      </c>
      <c r="U4" s="3692"/>
      <c r="V4" s="3697" t="s">
        <v>2249</v>
      </c>
      <c r="W4" s="3697"/>
      <c r="X4" s="1335"/>
      <c r="Y4" s="3691" t="s">
        <v>2251</v>
      </c>
      <c r="Z4" s="3692"/>
      <c r="AA4" s="3678" t="s">
        <v>2247</v>
      </c>
      <c r="AB4" s="3679" t="s">
        <v>2248</v>
      </c>
      <c r="AC4" s="3678" t="s">
        <v>2249</v>
      </c>
    </row>
    <row r="5" spans="1:29" ht="15">
      <c r="A5" s="297"/>
      <c r="B5" s="298"/>
      <c r="C5" s="3674" t="s">
        <v>2252</v>
      </c>
      <c r="D5" s="3675"/>
      <c r="E5" s="3698" t="s">
        <v>2253</v>
      </c>
      <c r="F5" s="3699"/>
      <c r="G5" s="3674" t="s">
        <v>2254</v>
      </c>
      <c r="H5" s="3675"/>
      <c r="I5" s="3674" t="s">
        <v>2255</v>
      </c>
      <c r="J5" s="3675"/>
      <c r="K5" s="496"/>
      <c r="L5" s="3025"/>
      <c r="M5" s="3026"/>
      <c r="N5" s="3026"/>
      <c r="O5" s="3026"/>
      <c r="P5" s="3687"/>
      <c r="Q5" s="3688"/>
      <c r="R5" s="3693"/>
      <c r="S5" s="3694"/>
      <c r="T5" s="3693"/>
      <c r="U5" s="3694"/>
      <c r="V5" s="3697"/>
      <c r="W5" s="3697"/>
      <c r="X5" s="1335"/>
      <c r="Y5" s="3693"/>
      <c r="Z5" s="3694"/>
      <c r="AA5" s="3679"/>
      <c r="AB5" s="3679"/>
      <c r="AC5" s="3679"/>
    </row>
    <row r="6" spans="1:29" ht="15.75" thickBot="1">
      <c r="A6" s="299"/>
      <c r="B6" s="300"/>
      <c r="C6" s="3671" t="s">
        <v>2256</v>
      </c>
      <c r="D6" s="3672"/>
      <c r="E6" s="3669" t="s">
        <v>2256</v>
      </c>
      <c r="F6" s="3670"/>
      <c r="G6" s="3671" t="s">
        <v>2256</v>
      </c>
      <c r="H6" s="3672"/>
      <c r="I6" s="3671" t="s">
        <v>2256</v>
      </c>
      <c r="J6" s="3672"/>
      <c r="K6" s="496" t="s">
        <v>2257</v>
      </c>
      <c r="L6" s="3025"/>
      <c r="M6" s="3026"/>
      <c r="N6" s="3026"/>
      <c r="O6" s="3026"/>
      <c r="P6" s="3689"/>
      <c r="Q6" s="3690"/>
      <c r="R6" s="3693"/>
      <c r="S6" s="3694"/>
      <c r="T6" s="3695"/>
      <c r="U6" s="3696"/>
      <c r="V6" s="3697"/>
      <c r="W6" s="3697"/>
      <c r="X6" s="1335"/>
      <c r="Y6" s="3695"/>
      <c r="Z6" s="3696"/>
      <c r="AA6" s="3680"/>
      <c r="AB6" s="3680"/>
      <c r="AC6" s="3680"/>
    </row>
    <row r="7" spans="1:29" s="25" customFormat="1" ht="15.75" thickBot="1">
      <c r="A7" s="301" t="s">
        <v>2258</v>
      </c>
      <c r="B7" s="302"/>
      <c r="C7" s="303">
        <f>'数据-取费表'!B2</f>
        <v>40065</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676" t="s">
        <v>2259</v>
      </c>
      <c r="Q7" s="3700"/>
      <c r="R7" s="627" t="s">
        <v>25</v>
      </c>
      <c r="S7" s="628">
        <f t="shared" ref="S7:S14" si="0">F7</f>
        <v>0</v>
      </c>
      <c r="T7" s="627" t="s">
        <v>25</v>
      </c>
      <c r="U7" s="628">
        <f t="shared" ref="U7:U14" si="1">H7</f>
        <v>0</v>
      </c>
      <c r="V7" s="627" t="s">
        <v>25</v>
      </c>
      <c r="W7" s="628">
        <f t="shared" ref="W7:W14" si="2">J7</f>
        <v>0</v>
      </c>
      <c r="X7" s="629"/>
      <c r="Y7" s="3676" t="s">
        <v>2259</v>
      </c>
      <c r="Z7" s="3677"/>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676" t="s">
        <v>2262</v>
      </c>
      <c r="Q8" s="3677"/>
      <c r="R8" s="627" t="s">
        <v>25</v>
      </c>
      <c r="S8" s="628">
        <f t="shared" si="0"/>
        <v>0</v>
      </c>
      <c r="T8" s="627" t="s">
        <v>25</v>
      </c>
      <c r="U8" s="628">
        <f t="shared" si="1"/>
        <v>0</v>
      </c>
      <c r="V8" s="627" t="s">
        <v>25</v>
      </c>
      <c r="W8" s="628">
        <f t="shared" si="2"/>
        <v>0</v>
      </c>
      <c r="X8" s="629"/>
      <c r="Y8" s="3676" t="s">
        <v>2262</v>
      </c>
      <c r="Z8" s="3677"/>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673" t="s">
        <v>2265</v>
      </c>
      <c r="Q9" s="1327" t="str">
        <f t="shared" ref="Q9:Q14" si="6">B9</f>
        <v>用途</v>
      </c>
      <c r="R9" s="627" t="s">
        <v>25</v>
      </c>
      <c r="S9" s="628">
        <f t="shared" si="0"/>
        <v>100</v>
      </c>
      <c r="T9" s="627" t="s">
        <v>25</v>
      </c>
      <c r="U9" s="628">
        <f t="shared" si="1"/>
        <v>100</v>
      </c>
      <c r="V9" s="627" t="s">
        <v>25</v>
      </c>
      <c r="W9" s="628">
        <f t="shared" si="2"/>
        <v>100</v>
      </c>
      <c r="X9" s="629"/>
      <c r="Y9" s="3703"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673"/>
      <c r="Q10" s="1327" t="str">
        <f t="shared" si="6"/>
        <v>土地使用年限（年）</v>
      </c>
      <c r="R10" s="627" t="s">
        <v>25</v>
      </c>
      <c r="S10" s="628">
        <f t="shared" si="0"/>
        <v>100</v>
      </c>
      <c r="T10" s="627" t="s">
        <v>25</v>
      </c>
      <c r="U10" s="628">
        <f t="shared" si="1"/>
        <v>100</v>
      </c>
      <c r="V10" s="627" t="s">
        <v>25</v>
      </c>
      <c r="W10" s="628">
        <f t="shared" si="2"/>
        <v>100</v>
      </c>
      <c r="X10" s="629"/>
      <c r="Y10" s="370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673"/>
      <c r="Q11" s="1327">
        <f t="shared" si="6"/>
        <v>111</v>
      </c>
      <c r="R11" s="627" t="s">
        <v>25</v>
      </c>
      <c r="S11" s="628">
        <f t="shared" si="0"/>
        <v>100</v>
      </c>
      <c r="T11" s="627" t="s">
        <v>25</v>
      </c>
      <c r="U11" s="628">
        <f t="shared" si="1"/>
        <v>100</v>
      </c>
      <c r="V11" s="627" t="s">
        <v>25</v>
      </c>
      <c r="W11" s="628">
        <f t="shared" si="2"/>
        <v>100</v>
      </c>
      <c r="X11" s="629"/>
      <c r="Y11" s="370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673"/>
      <c r="Q12" s="1327">
        <f t="shared" si="6"/>
        <v>111</v>
      </c>
      <c r="R12" s="627" t="s">
        <v>25</v>
      </c>
      <c r="S12" s="628">
        <f t="shared" si="0"/>
        <v>100</v>
      </c>
      <c r="T12" s="627" t="s">
        <v>25</v>
      </c>
      <c r="U12" s="628">
        <f t="shared" si="1"/>
        <v>100</v>
      </c>
      <c r="V12" s="627" t="s">
        <v>25</v>
      </c>
      <c r="W12" s="628">
        <f t="shared" si="2"/>
        <v>100</v>
      </c>
      <c r="X12" s="629"/>
      <c r="Y12" s="370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673"/>
      <c r="Q13" s="1327">
        <f t="shared" si="6"/>
        <v>111</v>
      </c>
      <c r="R13" s="627" t="s">
        <v>25</v>
      </c>
      <c r="S13" s="628">
        <f t="shared" si="0"/>
        <v>100</v>
      </c>
      <c r="T13" s="627" t="s">
        <v>25</v>
      </c>
      <c r="U13" s="628">
        <f t="shared" si="1"/>
        <v>100</v>
      </c>
      <c r="V13" s="627" t="s">
        <v>25</v>
      </c>
      <c r="W13" s="628">
        <f t="shared" si="2"/>
        <v>100</v>
      </c>
      <c r="X13" s="629"/>
      <c r="Y13" s="3703"/>
      <c r="Z13" s="19">
        <f t="shared" si="7"/>
        <v>111</v>
      </c>
      <c r="AA13" s="630">
        <f t="shared" si="3"/>
        <v>1</v>
      </c>
      <c r="AB13" s="630">
        <f t="shared" si="4"/>
        <v>1</v>
      </c>
      <c r="AC13" s="630">
        <f t="shared" si="5"/>
        <v>1</v>
      </c>
    </row>
    <row r="14" spans="1:29" ht="85.5">
      <c r="A14" s="329" t="s">
        <v>2269</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701" t="s">
        <v>2270</v>
      </c>
      <c r="Q14" s="1334" t="str">
        <f t="shared" si="6"/>
        <v>交通便捷度</v>
      </c>
      <c r="R14" s="631" t="s">
        <v>25</v>
      </c>
      <c r="S14" s="632">
        <f t="shared" si="0"/>
        <v>100</v>
      </c>
      <c r="T14" s="631" t="s">
        <v>25</v>
      </c>
      <c r="U14" s="632">
        <f t="shared" si="1"/>
        <v>100</v>
      </c>
      <c r="V14" s="631" t="s">
        <v>25</v>
      </c>
      <c r="W14" s="632">
        <f t="shared" si="2"/>
        <v>100</v>
      </c>
      <c r="X14" s="1335"/>
      <c r="Y14" s="3701"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702"/>
      <c r="Q15" s="1334"/>
      <c r="R15" s="631"/>
      <c r="S15" s="632"/>
      <c r="T15" s="631"/>
      <c r="U15" s="632"/>
      <c r="V15" s="631"/>
      <c r="W15" s="632"/>
      <c r="X15" s="1335"/>
      <c r="Y15" s="3702"/>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702"/>
      <c r="Q16" s="1334" t="str">
        <f>B16</f>
        <v>公共配套设施</v>
      </c>
      <c r="R16" s="631" t="s">
        <v>25</v>
      </c>
      <c r="S16" s="632">
        <f>F16</f>
        <v>100</v>
      </c>
      <c r="T16" s="631" t="s">
        <v>25</v>
      </c>
      <c r="U16" s="632">
        <f>H16</f>
        <v>100</v>
      </c>
      <c r="V16" s="631" t="s">
        <v>25</v>
      </c>
      <c r="W16" s="632">
        <f>J16</f>
        <v>100</v>
      </c>
      <c r="X16" s="1335"/>
      <c r="Y16" s="370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702"/>
      <c r="Q17" s="1334"/>
      <c r="R17" s="631"/>
      <c r="S17" s="632"/>
      <c r="T17" s="631"/>
      <c r="U17" s="632"/>
      <c r="V17" s="631"/>
      <c r="W17" s="632"/>
      <c r="X17" s="1335"/>
      <c r="Y17" s="3702"/>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702"/>
      <c r="Q18" s="1334" t="str">
        <f>B18</f>
        <v>基础设施水平</v>
      </c>
      <c r="R18" s="631" t="s">
        <v>25</v>
      </c>
      <c r="S18" s="632">
        <f>F18</f>
        <v>100</v>
      </c>
      <c r="T18" s="631" t="s">
        <v>25</v>
      </c>
      <c r="U18" s="632">
        <f>H18</f>
        <v>100</v>
      </c>
      <c r="V18" s="631" t="s">
        <v>25</v>
      </c>
      <c r="W18" s="632">
        <f>J18</f>
        <v>100</v>
      </c>
      <c r="X18" s="1335"/>
      <c r="Y18" s="370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702"/>
      <c r="Q19" s="1334"/>
      <c r="R19" s="631"/>
      <c r="S19" s="632"/>
      <c r="T19" s="631"/>
      <c r="U19" s="632"/>
      <c r="V19" s="631"/>
      <c r="W19" s="632"/>
      <c r="X19" s="1335"/>
      <c r="Y19" s="3702"/>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702"/>
      <c r="Q20" s="1334" t="str">
        <f>B20</f>
        <v>自然及人文环境</v>
      </c>
      <c r="R20" s="631" t="s">
        <v>25</v>
      </c>
      <c r="S20" s="632">
        <f>F20</f>
        <v>100</v>
      </c>
      <c r="T20" s="631" t="s">
        <v>25</v>
      </c>
      <c r="U20" s="632">
        <f>H20</f>
        <v>100</v>
      </c>
      <c r="V20" s="631" t="s">
        <v>25</v>
      </c>
      <c r="W20" s="632">
        <f>J20</f>
        <v>100</v>
      </c>
      <c r="X20" s="1335"/>
      <c r="Y20" s="370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702"/>
      <c r="Q21" s="1334"/>
      <c r="R21" s="631"/>
      <c r="S21" s="632"/>
      <c r="T21" s="631"/>
      <c r="U21" s="632"/>
      <c r="V21" s="631"/>
      <c r="W21" s="632"/>
      <c r="X21" s="1335"/>
      <c r="Y21" s="3702"/>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702"/>
      <c r="Q22" s="1334" t="str">
        <f>B22</f>
        <v>楼层</v>
      </c>
      <c r="R22" s="631" t="s">
        <v>25</v>
      </c>
      <c r="S22" s="632">
        <f>F22</f>
        <v>100</v>
      </c>
      <c r="T22" s="631" t="s">
        <v>25</v>
      </c>
      <c r="U22" s="632">
        <f>H22</f>
        <v>100</v>
      </c>
      <c r="V22" s="631" t="s">
        <v>25</v>
      </c>
      <c r="W22" s="632">
        <f>J22</f>
        <v>100</v>
      </c>
      <c r="X22" s="1335"/>
      <c r="Y22" s="370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702"/>
      <c r="Q23" s="1334">
        <f>B23</f>
        <v>111</v>
      </c>
      <c r="R23" s="631" t="s">
        <v>25</v>
      </c>
      <c r="S23" s="632">
        <f>F23</f>
        <v>100</v>
      </c>
      <c r="T23" s="631" t="s">
        <v>25</v>
      </c>
      <c r="U23" s="632">
        <f>H23</f>
        <v>100</v>
      </c>
      <c r="V23" s="631" t="s">
        <v>25</v>
      </c>
      <c r="W23" s="632">
        <f>J23</f>
        <v>100</v>
      </c>
      <c r="X23" s="1335"/>
      <c r="Y23" s="370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702"/>
      <c r="Q24" s="1334">
        <f t="shared" ref="Q24:Q34" si="11">B24</f>
        <v>111</v>
      </c>
      <c r="R24" s="631" t="s">
        <v>25</v>
      </c>
      <c r="S24" s="632">
        <f>F24</f>
        <v>100</v>
      </c>
      <c r="T24" s="631" t="s">
        <v>25</v>
      </c>
      <c r="U24" s="632">
        <f>H24</f>
        <v>100</v>
      </c>
      <c r="V24" s="631" t="s">
        <v>25</v>
      </c>
      <c r="W24" s="632">
        <f>J24</f>
        <v>100</v>
      </c>
      <c r="X24" s="1335"/>
      <c r="Y24" s="370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702"/>
      <c r="Q25" s="1327">
        <f t="shared" si="11"/>
        <v>111</v>
      </c>
      <c r="R25" s="627" t="s">
        <v>25</v>
      </c>
      <c r="S25" s="628">
        <f>F25</f>
        <v>100</v>
      </c>
      <c r="T25" s="627" t="s">
        <v>25</v>
      </c>
      <c r="U25" s="628">
        <f>H25</f>
        <v>100</v>
      </c>
      <c r="V25" s="627" t="s">
        <v>25</v>
      </c>
      <c r="W25" s="628">
        <f>J25</f>
        <v>100</v>
      </c>
      <c r="X25" s="629"/>
      <c r="Y25" s="3702"/>
      <c r="Z25" s="19">
        <f>Q25</f>
        <v>111</v>
      </c>
      <c r="AA25" s="1337">
        <f>D25/F25</f>
        <v>1</v>
      </c>
      <c r="AB25" s="1337">
        <f>D25/H25</f>
        <v>1</v>
      </c>
      <c r="AC25" s="1337">
        <f>D25/J25</f>
        <v>1</v>
      </c>
    </row>
    <row r="26" spans="1:29" ht="29.2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704"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705" t="s">
        <v>2276</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705"/>
      <c r="Q27" s="633" t="str">
        <f t="shared" si="11"/>
        <v>成新率</v>
      </c>
      <c r="R27" s="634" t="s">
        <v>25</v>
      </c>
      <c r="S27" s="635" t="e">
        <f t="shared" si="12"/>
        <v>#N/A</v>
      </c>
      <c r="T27" s="634" t="s">
        <v>25</v>
      </c>
      <c r="U27" s="635" t="e">
        <f t="shared" si="13"/>
        <v>#N/A</v>
      </c>
      <c r="V27" s="634" t="s">
        <v>25</v>
      </c>
      <c r="W27" s="635" t="e">
        <f t="shared" si="14"/>
        <v>#N/A</v>
      </c>
      <c r="X27" s="636"/>
      <c r="Y27" s="3705"/>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705"/>
      <c r="Q28" s="1334" t="str">
        <f t="shared" si="11"/>
        <v>物业等级</v>
      </c>
      <c r="R28" s="631" t="s">
        <v>25</v>
      </c>
      <c r="S28" s="632">
        <f t="shared" si="12"/>
        <v>100</v>
      </c>
      <c r="T28" s="631" t="s">
        <v>25</v>
      </c>
      <c r="U28" s="632">
        <f t="shared" si="13"/>
        <v>100</v>
      </c>
      <c r="V28" s="631" t="s">
        <v>25</v>
      </c>
      <c r="W28" s="632">
        <f t="shared" si="14"/>
        <v>100</v>
      </c>
      <c r="X28" s="1335"/>
      <c r="Y28" s="3705"/>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705"/>
      <c r="Q29" s="1334" t="str">
        <f t="shared" si="11"/>
        <v>有无电梯</v>
      </c>
      <c r="R29" s="631" t="s">
        <v>25</v>
      </c>
      <c r="S29" s="632">
        <f t="shared" si="12"/>
        <v>100</v>
      </c>
      <c r="T29" s="631" t="s">
        <v>25</v>
      </c>
      <c r="U29" s="632">
        <f t="shared" si="13"/>
        <v>100</v>
      </c>
      <c r="V29" s="631" t="s">
        <v>25</v>
      </c>
      <c r="W29" s="632">
        <f t="shared" si="14"/>
        <v>100</v>
      </c>
      <c r="X29" s="1335"/>
      <c r="Y29" s="3705"/>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705"/>
      <c r="Q30" s="1334" t="str">
        <f t="shared" si="11"/>
        <v>建筑面积</v>
      </c>
      <c r="R30" s="631" t="s">
        <v>25</v>
      </c>
      <c r="S30" s="632" t="e">
        <f t="shared" si="12"/>
        <v>#N/A</v>
      </c>
      <c r="T30" s="631" t="s">
        <v>25</v>
      </c>
      <c r="U30" s="632" t="e">
        <f t="shared" si="13"/>
        <v>#N/A</v>
      </c>
      <c r="V30" s="631" t="s">
        <v>25</v>
      </c>
      <c r="W30" s="632" t="e">
        <f t="shared" si="14"/>
        <v>#N/A</v>
      </c>
      <c r="X30" s="1335"/>
      <c r="Y30" s="3705"/>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705"/>
      <c r="Q31" s="1327" t="str">
        <f t="shared" si="11"/>
        <v>是否封闭</v>
      </c>
      <c r="R31" s="627" t="s">
        <v>25</v>
      </c>
      <c r="S31" s="628">
        <f t="shared" si="12"/>
        <v>100</v>
      </c>
      <c r="T31" s="627" t="s">
        <v>25</v>
      </c>
      <c r="U31" s="628">
        <f t="shared" si="13"/>
        <v>100</v>
      </c>
      <c r="V31" s="627" t="s">
        <v>25</v>
      </c>
      <c r="W31" s="628">
        <f t="shared" si="14"/>
        <v>100</v>
      </c>
      <c r="X31" s="629"/>
      <c r="Y31" s="370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705" t="s">
        <v>2276</v>
      </c>
      <c r="Q32" s="1334">
        <f t="shared" si="11"/>
        <v>111</v>
      </c>
      <c r="R32" s="631" t="s">
        <v>25</v>
      </c>
      <c r="S32" s="632">
        <f t="shared" si="12"/>
        <v>100</v>
      </c>
      <c r="T32" s="631" t="s">
        <v>25</v>
      </c>
      <c r="U32" s="632">
        <f t="shared" si="13"/>
        <v>100</v>
      </c>
      <c r="V32" s="631" t="s">
        <v>25</v>
      </c>
      <c r="W32" s="632">
        <f t="shared" si="14"/>
        <v>100</v>
      </c>
      <c r="X32" s="1335"/>
      <c r="Y32" s="3705"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705"/>
      <c r="Q33" s="1334">
        <f t="shared" si="11"/>
        <v>111</v>
      </c>
      <c r="R33" s="631" t="s">
        <v>25</v>
      </c>
      <c r="S33" s="632">
        <f t="shared" si="12"/>
        <v>100</v>
      </c>
      <c r="T33" s="631" t="s">
        <v>25</v>
      </c>
      <c r="U33" s="632">
        <f t="shared" si="13"/>
        <v>100</v>
      </c>
      <c r="V33" s="631" t="s">
        <v>25</v>
      </c>
      <c r="W33" s="632">
        <f t="shared" si="14"/>
        <v>100</v>
      </c>
      <c r="X33" s="1335"/>
      <c r="Y33" s="3705"/>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705"/>
      <c r="Q34" s="1334">
        <f t="shared" si="11"/>
        <v>111</v>
      </c>
      <c r="R34" s="631" t="s">
        <v>25</v>
      </c>
      <c r="S34" s="632">
        <f t="shared" si="12"/>
        <v>100</v>
      </c>
      <c r="T34" s="631" t="s">
        <v>25</v>
      </c>
      <c r="U34" s="632">
        <f t="shared" si="13"/>
        <v>100</v>
      </c>
      <c r="V34" s="631" t="s">
        <v>25</v>
      </c>
      <c r="W34" s="632">
        <f t="shared" si="14"/>
        <v>100</v>
      </c>
      <c r="X34" s="1335"/>
      <c r="Y34" s="3705"/>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673" t="str">
        <f>A35</f>
        <v>成交单价（元/平方米）</v>
      </c>
      <c r="Q35" s="3673"/>
      <c r="R35" s="3707">
        <f>E35</f>
        <v>0</v>
      </c>
      <c r="S35" s="3707"/>
      <c r="T35" s="3707">
        <f>G35</f>
        <v>0</v>
      </c>
      <c r="U35" s="3707"/>
      <c r="V35" s="3707">
        <f>I35</f>
        <v>0</v>
      </c>
      <c r="W35" s="3707"/>
      <c r="X35" s="618"/>
      <c r="Y35" s="638"/>
      <c r="Z35" s="618"/>
      <c r="AA35" s="618"/>
      <c r="AB35" s="618"/>
      <c r="AC35" s="618"/>
    </row>
    <row r="36" spans="1:29" ht="15.75" thickBot="1">
      <c r="A36" s="374" t="s">
        <v>2370</v>
      </c>
      <c r="B36" s="375"/>
      <c r="C36" s="1159" t="e">
        <f>R37</f>
        <v>#DIV/0!</v>
      </c>
      <c r="D36" s="1797" t="s">
        <v>2744</v>
      </c>
      <c r="E36" s="1160" t="e">
        <f>R36</f>
        <v>#DIV/0!</v>
      </c>
      <c r="F36" s="1799"/>
      <c r="G36" s="1159" t="e">
        <f>T36</f>
        <v>#DIV/0!</v>
      </c>
      <c r="H36" s="1799"/>
      <c r="I36" s="1160" t="e">
        <f>V36</f>
        <v>#DIV/0!</v>
      </c>
      <c r="J36" s="1799"/>
      <c r="K36" s="2511">
        <f>F36+H36+J36</f>
        <v>0</v>
      </c>
      <c r="L36" s="3037"/>
      <c r="N36" s="3026"/>
      <c r="P36" s="3673" t="str">
        <f>A36</f>
        <v>比较价值（元/平方米）</v>
      </c>
      <c r="Q36" s="3673"/>
      <c r="R36" s="3707" t="e">
        <f>IF(E1="售价",ROUND(PRODUCT(R35,AA7:AA34),0),ROUND(PRODUCT(R35,AA7:AA34),1))</f>
        <v>#DIV/0!</v>
      </c>
      <c r="S36" s="3707"/>
      <c r="T36" s="3707" t="e">
        <f>IF(E1="售价",ROUND(PRODUCT(T35,AB7:AB34),0),ROUND(PRODUCT(T35,AB7:AB34),1))</f>
        <v>#DIV/0!</v>
      </c>
      <c r="U36" s="3707"/>
      <c r="V36" s="3707" t="e">
        <f>IF(E1="售价",ROUND(PRODUCT(V35,AC7:AC34),0),ROUND(PRODUCT(V35,AC7:AC34),1))</f>
        <v>#DIV/0!</v>
      </c>
      <c r="W36" s="3707"/>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708" t="str">
        <f>A37</f>
        <v>估价对象XX用房的比较价值（楼面单价，元/平方米）</v>
      </c>
      <c r="Q37" s="3709"/>
      <c r="R37" s="3710" t="e">
        <f>IF(E1="售价",ROUND(IF(D36="简单平均",AVERAGE(R36:W36),R36*F36+T36*H36+V36*J36),0),ROUND(IF(D36="简单平均",AVERAGE(R36:V36),R36*F36+T36*H36+V36*J36),1))</f>
        <v>#DIV/0!</v>
      </c>
      <c r="S37" s="3710"/>
      <c r="T37" s="3710"/>
      <c r="U37" s="3710"/>
      <c r="V37" s="3710"/>
      <c r="W37" s="3710"/>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2009-9</v>
      </c>
      <c r="D46" s="1188">
        <f>EDATE(C46,-1)</f>
        <v>40026</v>
      </c>
      <c r="E46" s="1188">
        <f t="shared" ref="E46:O46" si="16">EDATE(D46,-1)</f>
        <v>39995</v>
      </c>
      <c r="F46" s="1188">
        <f t="shared" si="16"/>
        <v>39965</v>
      </c>
      <c r="G46" s="1188">
        <f t="shared" si="16"/>
        <v>39934</v>
      </c>
      <c r="H46" s="1188">
        <f t="shared" si="16"/>
        <v>39904</v>
      </c>
      <c r="I46" s="1188">
        <f t="shared" si="16"/>
        <v>39873</v>
      </c>
      <c r="J46" s="1188">
        <f t="shared" si="16"/>
        <v>39845</v>
      </c>
      <c r="K46" s="1188">
        <f t="shared" si="16"/>
        <v>39814</v>
      </c>
      <c r="L46" s="1188">
        <f t="shared" si="16"/>
        <v>39783</v>
      </c>
      <c r="M46" s="1188">
        <f t="shared" si="16"/>
        <v>39753</v>
      </c>
      <c r="N46" s="1188">
        <f t="shared" si="16"/>
        <v>39722</v>
      </c>
      <c r="O46" s="1188">
        <f t="shared" si="16"/>
        <v>39692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N50" sqref="N5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619" t="s">
        <v>2246</v>
      </c>
      <c r="D4" s="3620"/>
      <c r="E4" s="3621" t="s">
        <v>2247</v>
      </c>
      <c r="F4" s="3622"/>
      <c r="G4" s="3619" t="s">
        <v>2248</v>
      </c>
      <c r="H4" s="3620"/>
      <c r="I4" s="3619" t="s">
        <v>2249</v>
      </c>
      <c r="J4" s="3620"/>
      <c r="K4" s="1966" t="s">
        <v>2250</v>
      </c>
      <c r="L4" s="2997"/>
      <c r="M4" s="2998"/>
      <c r="N4" s="2998"/>
      <c r="O4" s="2998"/>
      <c r="P4" s="3623" t="s">
        <v>2251</v>
      </c>
      <c r="Q4" s="3624"/>
      <c r="R4" s="3629" t="s">
        <v>2247</v>
      </c>
      <c r="S4" s="3630"/>
      <c r="T4" s="3629" t="s">
        <v>2248</v>
      </c>
      <c r="U4" s="3630"/>
      <c r="V4" s="3635" t="s">
        <v>2249</v>
      </c>
      <c r="W4" s="3635"/>
      <c r="X4" s="1666"/>
      <c r="Y4" s="3629" t="s">
        <v>2251</v>
      </c>
      <c r="Z4" s="3630"/>
      <c r="AA4" s="3616" t="s">
        <v>2247</v>
      </c>
      <c r="AB4" s="3617" t="s">
        <v>2248</v>
      </c>
      <c r="AC4" s="3616" t="s">
        <v>2249</v>
      </c>
    </row>
    <row r="5" spans="1:30" ht="15">
      <c r="A5" s="1668"/>
      <c r="B5" s="1669"/>
      <c r="C5" s="3652" t="s">
        <v>2252</v>
      </c>
      <c r="D5" s="3639"/>
      <c r="E5" s="3667" t="s">
        <v>2253</v>
      </c>
      <c r="F5" s="3637"/>
      <c r="G5" s="3652" t="s">
        <v>2254</v>
      </c>
      <c r="H5" s="3639"/>
      <c r="I5" s="3652" t="s">
        <v>2255</v>
      </c>
      <c r="J5" s="3639"/>
      <c r="K5" s="1966"/>
      <c r="L5" s="2997"/>
      <c r="M5" s="2998"/>
      <c r="N5" s="2998"/>
      <c r="O5" s="2998"/>
      <c r="P5" s="3625"/>
      <c r="Q5" s="3626"/>
      <c r="R5" s="3631"/>
      <c r="S5" s="3632"/>
      <c r="T5" s="3631"/>
      <c r="U5" s="3632"/>
      <c r="V5" s="3635"/>
      <c r="W5" s="3635"/>
      <c r="X5" s="1666"/>
      <c r="Y5" s="3631"/>
      <c r="Z5" s="3632"/>
      <c r="AA5" s="3617"/>
      <c r="AB5" s="3617"/>
      <c r="AC5" s="3617"/>
    </row>
    <row r="6" spans="1:30" ht="15.75" thickBot="1">
      <c r="A6" s="1671"/>
      <c r="B6" s="1672"/>
      <c r="C6" s="3640" t="s">
        <v>2256</v>
      </c>
      <c r="D6" s="3641"/>
      <c r="E6" s="3666" t="s">
        <v>2256</v>
      </c>
      <c r="F6" s="3644"/>
      <c r="G6" s="3640" t="s">
        <v>2256</v>
      </c>
      <c r="H6" s="3641"/>
      <c r="I6" s="3640" t="s">
        <v>2256</v>
      </c>
      <c r="J6" s="3641"/>
      <c r="K6" s="1966" t="s">
        <v>2257</v>
      </c>
      <c r="L6" s="2997"/>
      <c r="M6" s="2998"/>
      <c r="N6" s="2998"/>
      <c r="O6" s="2998"/>
      <c r="P6" s="3627"/>
      <c r="Q6" s="3628"/>
      <c r="R6" s="3631"/>
      <c r="S6" s="3632"/>
      <c r="T6" s="3633"/>
      <c r="U6" s="3634"/>
      <c r="V6" s="3635"/>
      <c r="W6" s="3635"/>
      <c r="X6" s="1666"/>
      <c r="Y6" s="3633"/>
      <c r="Z6" s="3634"/>
      <c r="AA6" s="3618"/>
      <c r="AB6" s="3618"/>
      <c r="AC6" s="3618"/>
    </row>
    <row r="7" spans="1:30" s="1685" customFormat="1" ht="15.75" thickBot="1">
      <c r="A7" s="1673" t="s">
        <v>2258</v>
      </c>
      <c r="B7" s="1674"/>
      <c r="C7" s="1675">
        <f>'数据-取费表'!B2</f>
        <v>40065</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653" t="s">
        <v>2259</v>
      </c>
      <c r="Q7" s="3655"/>
      <c r="R7" s="1681" t="s">
        <v>25</v>
      </c>
      <c r="S7" s="1682">
        <f t="shared" ref="S7:S15" si="0">F7</f>
        <v>0</v>
      </c>
      <c r="T7" s="1681" t="s">
        <v>25</v>
      </c>
      <c r="U7" s="1682">
        <f t="shared" ref="U7:U15" si="1">H7</f>
        <v>0</v>
      </c>
      <c r="V7" s="1681" t="s">
        <v>25</v>
      </c>
      <c r="W7" s="1682">
        <f t="shared" ref="W7:W15" si="2">J7</f>
        <v>0</v>
      </c>
      <c r="X7" s="1683"/>
      <c r="Y7" s="3653" t="s">
        <v>2259</v>
      </c>
      <c r="Z7" s="3654"/>
      <c r="AA7" s="1684" t="e">
        <f>D7/F7</f>
        <v>#DIV/0!</v>
      </c>
      <c r="AB7" s="1684" t="e">
        <f>D7/H7</f>
        <v>#DIV/0!</v>
      </c>
      <c r="AC7" s="1684" t="e">
        <f>D7/J7</f>
        <v>#DIV/0!</v>
      </c>
    </row>
    <row r="8" spans="1:30" s="1685" customFormat="1" ht="15.75" thickBot="1">
      <c r="A8" s="1673" t="s">
        <v>2260</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653" t="s">
        <v>2262</v>
      </c>
      <c r="Q8" s="3654"/>
      <c r="R8" s="1681" t="s">
        <v>25</v>
      </c>
      <c r="S8" s="1682">
        <f t="shared" si="0"/>
        <v>0</v>
      </c>
      <c r="T8" s="1681" t="s">
        <v>25</v>
      </c>
      <c r="U8" s="1682">
        <f t="shared" si="1"/>
        <v>0</v>
      </c>
      <c r="V8" s="1681" t="s">
        <v>25</v>
      </c>
      <c r="W8" s="1682">
        <f t="shared" si="2"/>
        <v>0</v>
      </c>
      <c r="X8" s="1683"/>
      <c r="Y8" s="3653" t="s">
        <v>2262</v>
      </c>
      <c r="Z8" s="3654"/>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657" t="s">
        <v>2265</v>
      </c>
      <c r="Q9" s="1635" t="str">
        <f t="shared" ref="Q9:Q15" si="6">B9</f>
        <v>用途</v>
      </c>
      <c r="R9" s="1681" t="s">
        <v>25</v>
      </c>
      <c r="S9" s="1682">
        <f t="shared" si="0"/>
        <v>100</v>
      </c>
      <c r="T9" s="1681" t="s">
        <v>25</v>
      </c>
      <c r="U9" s="1682">
        <f t="shared" si="1"/>
        <v>100</v>
      </c>
      <c r="V9" s="1681" t="s">
        <v>25</v>
      </c>
      <c r="W9" s="1682">
        <f t="shared" si="2"/>
        <v>100</v>
      </c>
      <c r="X9" s="1683"/>
      <c r="Y9" s="3517"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103</v>
      </c>
      <c r="G10" s="1758"/>
      <c r="H10" s="1698">
        <f>ROUND(100/'数据-取费表'!B14,0)</f>
        <v>103</v>
      </c>
      <c r="I10" s="1758"/>
      <c r="J10" s="1698">
        <f>ROUND(100/'数据-取费表'!B14,0)</f>
        <v>103</v>
      </c>
      <c r="K10" s="1970"/>
      <c r="L10" s="2999"/>
      <c r="M10" s="3000"/>
      <c r="N10" s="3000"/>
      <c r="O10" s="3045"/>
      <c r="P10" s="3657"/>
      <c r="Q10" s="1635" t="str">
        <f t="shared" si="6"/>
        <v>土地使用年限（年）</v>
      </c>
      <c r="R10" s="1681" t="s">
        <v>25</v>
      </c>
      <c r="S10" s="1682">
        <f t="shared" si="0"/>
        <v>103</v>
      </c>
      <c r="T10" s="1681" t="s">
        <v>25</v>
      </c>
      <c r="U10" s="1682">
        <f t="shared" si="1"/>
        <v>103</v>
      </c>
      <c r="V10" s="1681" t="s">
        <v>25</v>
      </c>
      <c r="W10" s="1682">
        <f t="shared" si="2"/>
        <v>103</v>
      </c>
      <c r="X10" s="1683"/>
      <c r="Y10" s="3517"/>
      <c r="Z10" s="1694" t="str">
        <f t="shared" si="7"/>
        <v>土地使用年限（年）</v>
      </c>
      <c r="AA10" s="1684">
        <f t="shared" si="3"/>
        <v>0.970873786407767</v>
      </c>
      <c r="AB10" s="1684">
        <f t="shared" si="4"/>
        <v>0.970873786407767</v>
      </c>
      <c r="AC10" s="1684">
        <f t="shared" si="5"/>
        <v>0.970873786407767</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657"/>
      <c r="Q11" s="1635" t="str">
        <f t="shared" si="6"/>
        <v>容积率</v>
      </c>
      <c r="R11" s="1681" t="s">
        <v>25</v>
      </c>
      <c r="S11" s="1682" t="e">
        <f t="shared" si="0"/>
        <v>#N/A</v>
      </c>
      <c r="T11" s="1681" t="s">
        <v>25</v>
      </c>
      <c r="U11" s="1682" t="e">
        <f t="shared" si="1"/>
        <v>#N/A</v>
      </c>
      <c r="V11" s="1681" t="s">
        <v>25</v>
      </c>
      <c r="W11" s="1682" t="e">
        <f t="shared" si="2"/>
        <v>#N/A</v>
      </c>
      <c r="X11" s="1683"/>
      <c r="Y11" s="3517"/>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657"/>
      <c r="Q12" s="1635" t="str">
        <f t="shared" si="6"/>
        <v>配建</v>
      </c>
      <c r="R12" s="1681" t="s">
        <v>25</v>
      </c>
      <c r="S12" s="1682">
        <f t="shared" si="0"/>
        <v>100</v>
      </c>
      <c r="T12" s="1681" t="s">
        <v>25</v>
      </c>
      <c r="U12" s="1682">
        <f t="shared" si="1"/>
        <v>100</v>
      </c>
      <c r="V12" s="1681" t="s">
        <v>25</v>
      </c>
      <c r="W12" s="1682">
        <f t="shared" si="2"/>
        <v>100</v>
      </c>
      <c r="X12" s="1683"/>
      <c r="Y12" s="351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657"/>
      <c r="Q13" s="1635">
        <f t="shared" si="6"/>
        <v>111</v>
      </c>
      <c r="R13" s="1681" t="s">
        <v>25</v>
      </c>
      <c r="S13" s="1682">
        <f t="shared" si="0"/>
        <v>100</v>
      </c>
      <c r="T13" s="1681" t="s">
        <v>25</v>
      </c>
      <c r="U13" s="1682">
        <f t="shared" si="1"/>
        <v>100</v>
      </c>
      <c r="V13" s="1681" t="s">
        <v>25</v>
      </c>
      <c r="W13" s="1682">
        <f t="shared" si="2"/>
        <v>100</v>
      </c>
      <c r="X13" s="1683"/>
      <c r="Y13" s="351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657"/>
      <c r="Q14" s="1635">
        <f t="shared" si="6"/>
        <v>111</v>
      </c>
      <c r="R14" s="1681" t="s">
        <v>25</v>
      </c>
      <c r="S14" s="1682">
        <f t="shared" si="0"/>
        <v>100</v>
      </c>
      <c r="T14" s="1681" t="s">
        <v>25</v>
      </c>
      <c r="U14" s="1682">
        <f t="shared" si="1"/>
        <v>100</v>
      </c>
      <c r="V14" s="1681" t="s">
        <v>25</v>
      </c>
      <c r="W14" s="1682">
        <f t="shared" si="2"/>
        <v>100</v>
      </c>
      <c r="X14" s="1683"/>
      <c r="Y14" s="3517"/>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645" t="s">
        <v>2270</v>
      </c>
      <c r="Q15" s="1616" t="str">
        <f t="shared" si="6"/>
        <v>居住社区成熟度</v>
      </c>
      <c r="R15" s="1726" t="s">
        <v>25</v>
      </c>
      <c r="S15" s="1727">
        <f t="shared" si="0"/>
        <v>100</v>
      </c>
      <c r="T15" s="1726" t="s">
        <v>25</v>
      </c>
      <c r="U15" s="1727">
        <f t="shared" si="1"/>
        <v>100</v>
      </c>
      <c r="V15" s="1726" t="s">
        <v>25</v>
      </c>
      <c r="W15" s="1727">
        <f t="shared" si="2"/>
        <v>100</v>
      </c>
      <c r="X15" s="1666"/>
      <c r="Y15" s="3645"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646"/>
      <c r="Q16" s="1616"/>
      <c r="R16" s="1726"/>
      <c r="S16" s="1727"/>
      <c r="T16" s="1726"/>
      <c r="U16" s="1727"/>
      <c r="V16" s="1726"/>
      <c r="W16" s="1727"/>
      <c r="X16" s="1666"/>
      <c r="Y16" s="3646"/>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646"/>
      <c r="Q17" s="1616" t="str">
        <f>B17</f>
        <v>商业繁华度</v>
      </c>
      <c r="R17" s="1726" t="s">
        <v>25</v>
      </c>
      <c r="S17" s="1727">
        <f>F17</f>
        <v>100</v>
      </c>
      <c r="T17" s="1726" t="s">
        <v>25</v>
      </c>
      <c r="U17" s="1727">
        <f>H17</f>
        <v>100</v>
      </c>
      <c r="V17" s="1726" t="s">
        <v>25</v>
      </c>
      <c r="W17" s="1727">
        <f>J17</f>
        <v>100</v>
      </c>
      <c r="X17" s="1666"/>
      <c r="Y17" s="3646"/>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646"/>
      <c r="Q18" s="1616"/>
      <c r="R18" s="1726"/>
      <c r="S18" s="1727"/>
      <c r="T18" s="1726"/>
      <c r="U18" s="1727"/>
      <c r="V18" s="1726"/>
      <c r="W18" s="1727"/>
      <c r="X18" s="1666"/>
      <c r="Y18" s="3646"/>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646"/>
      <c r="Q19" s="1616" t="str">
        <f>B19</f>
        <v>办公集聚程度</v>
      </c>
      <c r="R19" s="1726" t="s">
        <v>25</v>
      </c>
      <c r="S19" s="1727">
        <f>F19</f>
        <v>100</v>
      </c>
      <c r="T19" s="1726" t="s">
        <v>25</v>
      </c>
      <c r="U19" s="1727">
        <f>H19</f>
        <v>100</v>
      </c>
      <c r="V19" s="1726" t="s">
        <v>25</v>
      </c>
      <c r="W19" s="1727">
        <f>J19</f>
        <v>100</v>
      </c>
      <c r="X19" s="1666"/>
      <c r="Y19" s="3646"/>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646"/>
      <c r="Q20" s="1616"/>
      <c r="R20" s="1726"/>
      <c r="S20" s="1727"/>
      <c r="T20" s="1726"/>
      <c r="U20" s="1727"/>
      <c r="V20" s="1726"/>
      <c r="W20" s="1727"/>
      <c r="X20" s="1666"/>
      <c r="Y20" s="3646"/>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646"/>
      <c r="Q21" s="1616" t="str">
        <f>B21</f>
        <v>交通便捷度</v>
      </c>
      <c r="R21" s="1726" t="s">
        <v>25</v>
      </c>
      <c r="S21" s="1727">
        <f>F21</f>
        <v>100</v>
      </c>
      <c r="T21" s="1726" t="s">
        <v>25</v>
      </c>
      <c r="U21" s="1727">
        <f>H21</f>
        <v>100</v>
      </c>
      <c r="V21" s="1726" t="s">
        <v>25</v>
      </c>
      <c r="W21" s="1727">
        <f>J21</f>
        <v>100</v>
      </c>
      <c r="X21" s="1666"/>
      <c r="Y21" s="3646"/>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646"/>
      <c r="Q22" s="1616"/>
      <c r="R22" s="1726"/>
      <c r="S22" s="1727"/>
      <c r="T22" s="1726"/>
      <c r="U22" s="1727"/>
      <c r="V22" s="1726"/>
      <c r="W22" s="1727"/>
      <c r="X22" s="1666"/>
      <c r="Y22" s="3646"/>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646"/>
      <c r="Q23" s="1616" t="str">
        <f t="shared" ref="Q23:Q37" si="8">B23</f>
        <v>区域土地利用方向</v>
      </c>
      <c r="R23" s="1726" t="s">
        <v>25</v>
      </c>
      <c r="S23" s="1727">
        <f>F23</f>
        <v>100</v>
      </c>
      <c r="T23" s="1726" t="s">
        <v>25</v>
      </c>
      <c r="U23" s="1727">
        <f>H23</f>
        <v>100</v>
      </c>
      <c r="V23" s="1726" t="s">
        <v>25</v>
      </c>
      <c r="W23" s="1727">
        <f>J23</f>
        <v>100</v>
      </c>
      <c r="X23" s="1666"/>
      <c r="Y23" s="3646"/>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646"/>
      <c r="Q24" s="1616"/>
      <c r="R24" s="1726"/>
      <c r="S24" s="1727"/>
      <c r="T24" s="1726"/>
      <c r="U24" s="1727"/>
      <c r="V24" s="1726"/>
      <c r="W24" s="1727"/>
      <c r="X24" s="1666"/>
      <c r="Y24" s="3646"/>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646"/>
      <c r="Q25" s="1616" t="str">
        <f t="shared" si="8"/>
        <v>自然及人文环境状况</v>
      </c>
      <c r="R25" s="1726" t="s">
        <v>25</v>
      </c>
      <c r="S25" s="1727">
        <f>F25</f>
        <v>100</v>
      </c>
      <c r="T25" s="1726" t="s">
        <v>25</v>
      </c>
      <c r="U25" s="1727">
        <f>H25</f>
        <v>100</v>
      </c>
      <c r="V25" s="1726" t="s">
        <v>25</v>
      </c>
      <c r="W25" s="1727">
        <f>J25</f>
        <v>100</v>
      </c>
      <c r="X25" s="1666"/>
      <c r="Y25" s="3646"/>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646"/>
      <c r="Q26" s="1616"/>
      <c r="R26" s="1726"/>
      <c r="S26" s="1727"/>
      <c r="T26" s="1726"/>
      <c r="U26" s="1727"/>
      <c r="V26" s="1726"/>
      <c r="W26" s="1727"/>
      <c r="X26" s="1666"/>
      <c r="Y26" s="3646"/>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646"/>
      <c r="Q27" s="1635" t="str">
        <f t="shared" ref="Q27" si="9">B27</f>
        <v>公共配套设施</v>
      </c>
      <c r="R27" s="1681" t="s">
        <v>25</v>
      </c>
      <c r="S27" s="1682">
        <f>F27</f>
        <v>100</v>
      </c>
      <c r="T27" s="1681" t="s">
        <v>25</v>
      </c>
      <c r="U27" s="1682">
        <f>H27</f>
        <v>100</v>
      </c>
      <c r="V27" s="1681" t="s">
        <v>25</v>
      </c>
      <c r="W27" s="1682">
        <f>J27</f>
        <v>100</v>
      </c>
      <c r="X27" s="1666"/>
      <c r="Y27" s="3646"/>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646"/>
      <c r="Q28" s="1616"/>
      <c r="R28" s="1726"/>
      <c r="S28" s="1727"/>
      <c r="T28" s="1726"/>
      <c r="U28" s="1727"/>
      <c r="V28" s="1726"/>
      <c r="W28" s="1727"/>
      <c r="X28" s="1666"/>
      <c r="Y28" s="3646"/>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646"/>
      <c r="Q29" s="1635" t="str">
        <f t="shared" si="8"/>
        <v>基础设施水平</v>
      </c>
      <c r="R29" s="1681" t="s">
        <v>25</v>
      </c>
      <c r="S29" s="1682">
        <f>F29</f>
        <v>100</v>
      </c>
      <c r="T29" s="1681" t="s">
        <v>25</v>
      </c>
      <c r="U29" s="1682">
        <f>H29</f>
        <v>100</v>
      </c>
      <c r="V29" s="1681" t="s">
        <v>25</v>
      </c>
      <c r="W29" s="1682">
        <f>J29</f>
        <v>100</v>
      </c>
      <c r="X29" s="1683"/>
      <c r="Y29" s="3646"/>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646"/>
      <c r="Q30" s="1635"/>
      <c r="R30" s="1681"/>
      <c r="S30" s="1682"/>
      <c r="T30" s="1681"/>
      <c r="U30" s="1682"/>
      <c r="V30" s="1681"/>
      <c r="W30" s="1682"/>
      <c r="X30" s="1683"/>
      <c r="Y30" s="3646"/>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646"/>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646"/>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646"/>
      <c r="Q32" s="1616" t="str">
        <f t="shared" si="8"/>
        <v>毗邻道路的类型与等级</v>
      </c>
      <c r="R32" s="1726" t="s">
        <v>25</v>
      </c>
      <c r="S32" s="1727">
        <f t="shared" si="10"/>
        <v>100</v>
      </c>
      <c r="T32" s="1726" t="s">
        <v>25</v>
      </c>
      <c r="U32" s="1727">
        <f t="shared" si="11"/>
        <v>100</v>
      </c>
      <c r="V32" s="1726" t="s">
        <v>25</v>
      </c>
      <c r="W32" s="1727">
        <f t="shared" si="12"/>
        <v>100</v>
      </c>
      <c r="X32" s="1666"/>
      <c r="Y32" s="3646"/>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646"/>
      <c r="Q33" s="1616"/>
      <c r="R33" s="1726"/>
      <c r="S33" s="1727"/>
      <c r="T33" s="1726"/>
      <c r="U33" s="1727"/>
      <c r="V33" s="1726"/>
      <c r="W33" s="1727"/>
      <c r="X33" s="1666"/>
      <c r="Y33" s="3646"/>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646"/>
      <c r="Q34" s="1616" t="str">
        <f t="shared" si="8"/>
        <v>土地级别</v>
      </c>
      <c r="R34" s="1726" t="s">
        <v>25</v>
      </c>
      <c r="S34" s="1727">
        <f t="shared" si="10"/>
        <v>100</v>
      </c>
      <c r="T34" s="1726" t="s">
        <v>25</v>
      </c>
      <c r="U34" s="1727">
        <f t="shared" si="11"/>
        <v>100</v>
      </c>
      <c r="V34" s="1726" t="s">
        <v>25</v>
      </c>
      <c r="W34" s="1727">
        <f t="shared" si="12"/>
        <v>100</v>
      </c>
      <c r="X34" s="1666"/>
      <c r="Y34" s="3646"/>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646"/>
      <c r="Q35" s="1616">
        <f t="shared" si="8"/>
        <v>111</v>
      </c>
      <c r="R35" s="1726" t="s">
        <v>25</v>
      </c>
      <c r="S35" s="1727">
        <f t="shared" si="10"/>
        <v>100</v>
      </c>
      <c r="T35" s="1726" t="s">
        <v>25</v>
      </c>
      <c r="U35" s="1727">
        <f t="shared" si="11"/>
        <v>100</v>
      </c>
      <c r="V35" s="1726" t="s">
        <v>25</v>
      </c>
      <c r="W35" s="1727">
        <f t="shared" si="12"/>
        <v>100</v>
      </c>
      <c r="X35" s="1666"/>
      <c r="Y35" s="3646"/>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668" t="s">
        <v>2276</v>
      </c>
      <c r="Q36" s="1616">
        <f t="shared" si="8"/>
        <v>111</v>
      </c>
      <c r="R36" s="1726" t="s">
        <v>25</v>
      </c>
      <c r="S36" s="1727">
        <f t="shared" si="10"/>
        <v>100</v>
      </c>
      <c r="T36" s="1726" t="s">
        <v>25</v>
      </c>
      <c r="U36" s="1727">
        <f t="shared" si="11"/>
        <v>100</v>
      </c>
      <c r="V36" s="1726" t="s">
        <v>25</v>
      </c>
      <c r="W36" s="1727">
        <f t="shared" si="12"/>
        <v>100</v>
      </c>
      <c r="X36" s="1666"/>
      <c r="Y36" s="3650"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650"/>
      <c r="Q37" s="1616">
        <f t="shared" si="8"/>
        <v>111</v>
      </c>
      <c r="R37" s="1768" t="s">
        <v>25</v>
      </c>
      <c r="S37" s="1769">
        <f t="shared" si="10"/>
        <v>100</v>
      </c>
      <c r="T37" s="1768" t="s">
        <v>25</v>
      </c>
      <c r="U37" s="1769">
        <f t="shared" si="11"/>
        <v>100</v>
      </c>
      <c r="V37" s="1768" t="s">
        <v>25</v>
      </c>
      <c r="W37" s="1769">
        <f t="shared" si="12"/>
        <v>100</v>
      </c>
      <c r="X37" s="1770"/>
      <c r="Y37" s="3650"/>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650"/>
      <c r="Q38" s="1616" t="str">
        <f>B38</f>
        <v>宗地面积</v>
      </c>
      <c r="R38" s="1726" t="s">
        <v>25</v>
      </c>
      <c r="S38" s="1727" t="e">
        <f t="shared" si="10"/>
        <v>#N/A</v>
      </c>
      <c r="T38" s="1726" t="s">
        <v>25</v>
      </c>
      <c r="U38" s="1727" t="e">
        <f t="shared" si="11"/>
        <v>#N/A</v>
      </c>
      <c r="V38" s="1726" t="s">
        <v>25</v>
      </c>
      <c r="W38" s="1727" t="e">
        <f t="shared" si="12"/>
        <v>#N/A</v>
      </c>
      <c r="X38" s="1666"/>
      <c r="Y38" s="3650"/>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650"/>
      <c r="Q39" s="1616" t="str">
        <f t="shared" ref="Q39:Q45" si="14">B39</f>
        <v>宗地形状</v>
      </c>
      <c r="R39" s="1726" t="s">
        <v>25</v>
      </c>
      <c r="S39" s="1727">
        <f t="shared" si="10"/>
        <v>100</v>
      </c>
      <c r="T39" s="1726" t="s">
        <v>25</v>
      </c>
      <c r="U39" s="1727">
        <f t="shared" si="11"/>
        <v>100</v>
      </c>
      <c r="V39" s="1726" t="s">
        <v>25</v>
      </c>
      <c r="W39" s="1727">
        <f t="shared" si="12"/>
        <v>100</v>
      </c>
      <c r="X39" s="1666"/>
      <c r="Y39" s="3650"/>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650"/>
      <c r="Q40" s="1616" t="str">
        <f t="shared" si="14"/>
        <v>临街宽度及深度</v>
      </c>
      <c r="R40" s="1726" t="s">
        <v>25</v>
      </c>
      <c r="S40" s="1727">
        <f t="shared" si="10"/>
        <v>100</v>
      </c>
      <c r="T40" s="1726" t="s">
        <v>25</v>
      </c>
      <c r="U40" s="1727">
        <f t="shared" si="11"/>
        <v>100</v>
      </c>
      <c r="V40" s="1726" t="s">
        <v>25</v>
      </c>
      <c r="W40" s="1727">
        <f t="shared" si="12"/>
        <v>100</v>
      </c>
      <c r="X40" s="1666"/>
      <c r="Y40" s="3650"/>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650"/>
      <c r="Q41" s="1616" t="str">
        <f t="shared" si="14"/>
        <v>宗地开发程度</v>
      </c>
      <c r="R41" s="1681" t="s">
        <v>25</v>
      </c>
      <c r="S41" s="1682">
        <f t="shared" si="10"/>
        <v>100</v>
      </c>
      <c r="T41" s="1681" t="s">
        <v>25</v>
      </c>
      <c r="U41" s="1682">
        <f t="shared" si="11"/>
        <v>100</v>
      </c>
      <c r="V41" s="1681" t="s">
        <v>25</v>
      </c>
      <c r="W41" s="1682">
        <f t="shared" si="12"/>
        <v>100</v>
      </c>
      <c r="X41" s="1683"/>
      <c r="Y41" s="3650"/>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650" t="s">
        <v>2276</v>
      </c>
      <c r="Q42" s="1616" t="str">
        <f t="shared" si="14"/>
        <v>工程地质条件</v>
      </c>
      <c r="R42" s="1726" t="s">
        <v>25</v>
      </c>
      <c r="S42" s="1727">
        <f t="shared" si="10"/>
        <v>100</v>
      </c>
      <c r="T42" s="1726" t="s">
        <v>25</v>
      </c>
      <c r="U42" s="1727">
        <f t="shared" si="11"/>
        <v>100</v>
      </c>
      <c r="V42" s="1726" t="s">
        <v>25</v>
      </c>
      <c r="W42" s="1727">
        <f t="shared" si="12"/>
        <v>100</v>
      </c>
      <c r="X42" s="1666"/>
      <c r="Y42" s="3650"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650"/>
      <c r="Q43" s="1616">
        <f t="shared" si="14"/>
        <v>111</v>
      </c>
      <c r="R43" s="1726" t="s">
        <v>25</v>
      </c>
      <c r="S43" s="1727">
        <f t="shared" si="10"/>
        <v>100</v>
      </c>
      <c r="T43" s="1726" t="s">
        <v>25</v>
      </c>
      <c r="U43" s="1727">
        <f t="shared" si="11"/>
        <v>100</v>
      </c>
      <c r="V43" s="1726" t="s">
        <v>25</v>
      </c>
      <c r="W43" s="1727">
        <f t="shared" si="12"/>
        <v>100</v>
      </c>
      <c r="X43" s="1666"/>
      <c r="Y43" s="3650"/>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650"/>
      <c r="Q44" s="1616">
        <f t="shared" si="14"/>
        <v>111</v>
      </c>
      <c r="R44" s="1726" t="s">
        <v>25</v>
      </c>
      <c r="S44" s="1727">
        <f t="shared" si="10"/>
        <v>100</v>
      </c>
      <c r="T44" s="1726" t="s">
        <v>25</v>
      </c>
      <c r="U44" s="1727">
        <f t="shared" si="11"/>
        <v>100</v>
      </c>
      <c r="V44" s="1726" t="s">
        <v>25</v>
      </c>
      <c r="W44" s="1727">
        <f t="shared" si="12"/>
        <v>100</v>
      </c>
      <c r="X44" s="1666"/>
      <c r="Y44" s="3650"/>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650"/>
      <c r="Q45" s="1616">
        <f t="shared" si="14"/>
        <v>111</v>
      </c>
      <c r="R45" s="1768" t="s">
        <v>25</v>
      </c>
      <c r="S45" s="1769">
        <f t="shared" si="10"/>
        <v>100</v>
      </c>
      <c r="T45" s="1768" t="s">
        <v>25</v>
      </c>
      <c r="U45" s="1769">
        <f t="shared" si="11"/>
        <v>100</v>
      </c>
      <c r="V45" s="1768" t="s">
        <v>25</v>
      </c>
      <c r="W45" s="1769">
        <f t="shared" si="12"/>
        <v>100</v>
      </c>
      <c r="X45" s="1770"/>
      <c r="Y45" s="3650"/>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657" t="str">
        <f>A46</f>
        <v>成交单价</v>
      </c>
      <c r="Q46" s="3657"/>
      <c r="R46" s="3635">
        <f>E46</f>
        <v>0</v>
      </c>
      <c r="S46" s="3635"/>
      <c r="T46" s="3635">
        <f>G46</f>
        <v>0</v>
      </c>
      <c r="U46" s="3635"/>
      <c r="V46" s="3635">
        <f>I46</f>
        <v>0</v>
      </c>
      <c r="W46" s="3635"/>
      <c r="X46" s="1792"/>
      <c r="Y46" s="1793"/>
      <c r="Z46" s="1792"/>
      <c r="AA46" s="1792"/>
      <c r="AB46" s="1792"/>
      <c r="AC46" s="1792"/>
    </row>
    <row r="47" spans="1:29" ht="15.75" thickBot="1">
      <c r="A47" s="1794" t="s">
        <v>2370</v>
      </c>
      <c r="B47" s="2015"/>
      <c r="C47" s="2016" t="e">
        <f>R48</f>
        <v>#DIV/0!</v>
      </c>
      <c r="D47" s="1797" t="s">
        <v>2744</v>
      </c>
      <c r="E47" s="2016" t="e">
        <f>R47</f>
        <v>#DIV/0!</v>
      </c>
      <c r="F47" s="1799"/>
      <c r="G47" s="2017" t="e">
        <f>T47</f>
        <v>#DIV/0!</v>
      </c>
      <c r="H47" s="1799"/>
      <c r="I47" s="2016" t="e">
        <f>V47</f>
        <v>#DIV/0!</v>
      </c>
      <c r="J47" s="1799"/>
      <c r="K47" s="2511">
        <f>F47+H47+J47</f>
        <v>0</v>
      </c>
      <c r="L47" s="3003"/>
      <c r="P47" s="3657" t="str">
        <f>A47</f>
        <v>比较价值（元/平方米）</v>
      </c>
      <c r="Q47" s="3657"/>
      <c r="R47" s="3711" t="e">
        <f>ROUND(PRODUCT(R46,AA7:AA45),0)</f>
        <v>#DIV/0!</v>
      </c>
      <c r="S47" s="3711"/>
      <c r="T47" s="3711" t="e">
        <f>ROUND(PRODUCT(T46,AB7:AB45),0)</f>
        <v>#DIV/0!</v>
      </c>
      <c r="U47" s="3711"/>
      <c r="V47" s="3711" t="e">
        <f>ROUND(PRODUCT(V46,AC7:AC45),0)</f>
        <v>#DIV/0!</v>
      </c>
      <c r="W47" s="3711"/>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663" t="str">
        <f>A48</f>
        <v>估价对象XX用房的比较价值（楼面单价，元/平方米）</v>
      </c>
      <c r="Q48" s="3664"/>
      <c r="R48" s="3712" t="e">
        <f>ROUND(IF(D47="简单平均",AVERAGE(R47:W47),R47*F47+T47*H47+V47*J47),0)</f>
        <v>#DIV/0!</v>
      </c>
      <c r="S48" s="3712"/>
      <c r="T48" s="3712"/>
      <c r="U48" s="3712"/>
      <c r="V48" s="3712"/>
      <c r="W48" s="3712"/>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2009-9-1</v>
      </c>
      <c r="D68" s="2041">
        <f>EDATE(C68,-3)</f>
        <v>39965</v>
      </c>
      <c r="E68" s="2041">
        <f t="shared" ref="E68:O68" si="18">EDATE(D68,-3)</f>
        <v>39873</v>
      </c>
      <c r="F68" s="2041">
        <f t="shared" si="18"/>
        <v>39783</v>
      </c>
      <c r="G68" s="2041">
        <f t="shared" si="18"/>
        <v>39692</v>
      </c>
      <c r="H68" s="2041">
        <f t="shared" si="18"/>
        <v>39600</v>
      </c>
      <c r="I68" s="2041">
        <f t="shared" si="18"/>
        <v>39508</v>
      </c>
      <c r="J68" s="2041">
        <f t="shared" si="18"/>
        <v>39417</v>
      </c>
      <c r="K68" s="2041">
        <f t="shared" si="18"/>
        <v>39326</v>
      </c>
      <c r="L68" s="2041">
        <f t="shared" si="18"/>
        <v>39234</v>
      </c>
      <c r="M68" s="2041">
        <f t="shared" si="18"/>
        <v>39142</v>
      </c>
      <c r="N68" s="2041">
        <f t="shared" si="18"/>
        <v>39052</v>
      </c>
      <c r="O68" s="2041">
        <f t="shared" si="18"/>
        <v>38961</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2009-3</v>
      </c>
      <c r="D70" s="2049" t="str">
        <f>YEAR(D68)&amp;"-"&amp;ROUNDUP(MONTH(D68)/3,0)</f>
        <v>2009-2</v>
      </c>
      <c r="E70" s="2049" t="str">
        <f t="shared" ref="E70:O70" si="19">YEAR(E68)&amp;"-"&amp;ROUNDUP(MONTH(E68)/3,0)</f>
        <v>2009-1</v>
      </c>
      <c r="F70" s="2049" t="str">
        <f t="shared" si="19"/>
        <v>2008-4</v>
      </c>
      <c r="G70" s="2049" t="str">
        <f t="shared" si="19"/>
        <v>2008-3</v>
      </c>
      <c r="H70" s="2049" t="str">
        <f t="shared" si="19"/>
        <v>2008-2</v>
      </c>
      <c r="I70" s="2049" t="str">
        <f t="shared" si="19"/>
        <v>2008-1</v>
      </c>
      <c r="J70" s="2049" t="str">
        <f t="shared" si="19"/>
        <v>2007-4</v>
      </c>
      <c r="K70" s="2049" t="str">
        <f t="shared" si="19"/>
        <v>2007-3</v>
      </c>
      <c r="L70" s="2049" t="str">
        <f t="shared" si="19"/>
        <v>2007-2</v>
      </c>
      <c r="M70" s="2049" t="str">
        <f t="shared" si="19"/>
        <v>2007-1</v>
      </c>
      <c r="N70" s="2049" t="str">
        <f t="shared" si="19"/>
        <v>2006-4</v>
      </c>
      <c r="O70" s="2049" t="str">
        <f t="shared" si="19"/>
        <v>2006-3</v>
      </c>
      <c r="P70" s="2050"/>
    </row>
    <row r="71" spans="1:17" s="1685" customFormat="1" ht="29.25" customHeight="1">
      <c r="A71" s="2052" t="s">
        <v>2475</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估价对象为北京市房地产，为XX所有。根据《》[]，估价对象建筑面积为146.78平方米。根据《》[]，估价对象（分摊）出让国有建设用地使用权面积为平方米。估价对象用途为。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2009年9月9日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本次估价的“房地产价值”是指在正常市场情况下，在价值时点2009年9月9日，估价对象规划用途为，假定未设立法定优先受偿款下的房地产市场价值。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N50" sqref="N5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81" t="s">
        <v>2246</v>
      </c>
      <c r="D4" s="3682"/>
      <c r="E4" s="3683" t="s">
        <v>2247</v>
      </c>
      <c r="F4" s="3684"/>
      <c r="G4" s="3681" t="s">
        <v>2248</v>
      </c>
      <c r="H4" s="3682"/>
      <c r="I4" s="3681" t="s">
        <v>2249</v>
      </c>
      <c r="J4" s="3682"/>
      <c r="K4" s="496" t="s">
        <v>2250</v>
      </c>
      <c r="L4" s="3025"/>
      <c r="M4" s="3026"/>
      <c r="N4" s="3026"/>
      <c r="O4" s="3026"/>
      <c r="P4" s="3685" t="s">
        <v>2251</v>
      </c>
      <c r="Q4" s="3686"/>
      <c r="R4" s="3691" t="s">
        <v>2247</v>
      </c>
      <c r="S4" s="3692"/>
      <c r="T4" s="3691" t="s">
        <v>2248</v>
      </c>
      <c r="U4" s="3692"/>
      <c r="V4" s="3697" t="s">
        <v>2249</v>
      </c>
      <c r="W4" s="3697"/>
      <c r="X4" s="1335"/>
      <c r="Y4" s="3691" t="s">
        <v>2251</v>
      </c>
      <c r="Z4" s="3692"/>
      <c r="AA4" s="3678" t="s">
        <v>2247</v>
      </c>
      <c r="AB4" s="3679" t="s">
        <v>2248</v>
      </c>
      <c r="AC4" s="3678" t="s">
        <v>2249</v>
      </c>
    </row>
    <row r="5" spans="1:29" ht="15">
      <c r="A5" s="297"/>
      <c r="B5" s="298"/>
      <c r="C5" s="3674" t="s">
        <v>2252</v>
      </c>
      <c r="D5" s="3675"/>
      <c r="E5" s="3698" t="s">
        <v>2253</v>
      </c>
      <c r="F5" s="3699"/>
      <c r="G5" s="3674" t="s">
        <v>2254</v>
      </c>
      <c r="H5" s="3675"/>
      <c r="I5" s="3674" t="s">
        <v>2255</v>
      </c>
      <c r="J5" s="3675"/>
      <c r="K5" s="496"/>
      <c r="L5" s="3025"/>
      <c r="M5" s="3026"/>
      <c r="N5" s="3026"/>
      <c r="O5" s="3026"/>
      <c r="P5" s="3687"/>
      <c r="Q5" s="3688"/>
      <c r="R5" s="3693"/>
      <c r="S5" s="3694"/>
      <c r="T5" s="3693"/>
      <c r="U5" s="3694"/>
      <c r="V5" s="3697"/>
      <c r="W5" s="3697"/>
      <c r="X5" s="1335"/>
      <c r="Y5" s="3693"/>
      <c r="Z5" s="3694"/>
      <c r="AA5" s="3679"/>
      <c r="AB5" s="3679"/>
      <c r="AC5" s="3679"/>
    </row>
    <row r="6" spans="1:29" ht="15.75" thickBot="1">
      <c r="A6" s="299"/>
      <c r="B6" s="300"/>
      <c r="C6" s="3671" t="s">
        <v>2256</v>
      </c>
      <c r="D6" s="3672"/>
      <c r="E6" s="3669" t="s">
        <v>2256</v>
      </c>
      <c r="F6" s="3670"/>
      <c r="G6" s="3671" t="s">
        <v>2256</v>
      </c>
      <c r="H6" s="3672"/>
      <c r="I6" s="3671" t="s">
        <v>2256</v>
      </c>
      <c r="J6" s="3672"/>
      <c r="K6" s="496" t="s">
        <v>2257</v>
      </c>
      <c r="L6" s="3025"/>
      <c r="M6" s="3026"/>
      <c r="N6" s="3026"/>
      <c r="O6" s="3026"/>
      <c r="P6" s="3689"/>
      <c r="Q6" s="3690"/>
      <c r="R6" s="3693"/>
      <c r="S6" s="3694"/>
      <c r="T6" s="3695"/>
      <c r="U6" s="3696"/>
      <c r="V6" s="3697"/>
      <c r="W6" s="3697"/>
      <c r="X6" s="1335"/>
      <c r="Y6" s="3695"/>
      <c r="Z6" s="3696"/>
      <c r="AA6" s="3680"/>
      <c r="AB6" s="3680"/>
      <c r="AC6" s="3680"/>
    </row>
    <row r="7" spans="1:29" s="25" customFormat="1" ht="15.75" thickBot="1">
      <c r="A7" s="301" t="s">
        <v>2258</v>
      </c>
      <c r="B7" s="302"/>
      <c r="C7" s="303">
        <f>'数据-取费表'!B2</f>
        <v>40065</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676" t="s">
        <v>2259</v>
      </c>
      <c r="Q7" s="3700"/>
      <c r="R7" s="627" t="s">
        <v>25</v>
      </c>
      <c r="S7" s="628">
        <f t="shared" ref="S7:S15" si="0">F7</f>
        <v>0</v>
      </c>
      <c r="T7" s="627" t="s">
        <v>25</v>
      </c>
      <c r="U7" s="628">
        <f t="shared" ref="U7:U15" si="1">H7</f>
        <v>0</v>
      </c>
      <c r="V7" s="627" t="s">
        <v>25</v>
      </c>
      <c r="W7" s="628">
        <f t="shared" ref="W7:W15" si="2">J7</f>
        <v>0</v>
      </c>
      <c r="X7" s="629"/>
      <c r="Y7" s="3676" t="s">
        <v>2259</v>
      </c>
      <c r="Z7" s="3677"/>
      <c r="AA7" s="630" t="e">
        <f>D7/F7</f>
        <v>#DIV/0!</v>
      </c>
      <c r="AB7" s="630" t="e">
        <f>D7/H7</f>
        <v>#DIV/0!</v>
      </c>
      <c r="AC7" s="630" t="e">
        <f>D7/J7</f>
        <v>#DIV/0!</v>
      </c>
    </row>
    <row r="8" spans="1:29" s="25" customFormat="1" ht="15.75" thickBot="1">
      <c r="A8" s="301" t="s">
        <v>2260</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676" t="s">
        <v>2262</v>
      </c>
      <c r="Q8" s="3677"/>
      <c r="R8" s="627" t="s">
        <v>25</v>
      </c>
      <c r="S8" s="628">
        <f t="shared" si="0"/>
        <v>0</v>
      </c>
      <c r="T8" s="627" t="s">
        <v>25</v>
      </c>
      <c r="U8" s="628">
        <f t="shared" si="1"/>
        <v>0</v>
      </c>
      <c r="V8" s="627" t="s">
        <v>25</v>
      </c>
      <c r="W8" s="628">
        <f t="shared" si="2"/>
        <v>0</v>
      </c>
      <c r="X8" s="629"/>
      <c r="Y8" s="3676" t="s">
        <v>2262</v>
      </c>
      <c r="Z8" s="3677"/>
      <c r="AA8" s="630" t="e">
        <f t="shared" ref="AA8:AA40" si="3">D8/F8</f>
        <v>#DIV/0!</v>
      </c>
      <c r="AB8" s="630" t="e">
        <f t="shared" ref="AB8:AB40" si="4">D8/H8</f>
        <v>#DIV/0!</v>
      </c>
      <c r="AC8" s="630" t="e">
        <f t="shared" ref="AC8:AC40" si="5">D8/J8</f>
        <v>#DIV/0!</v>
      </c>
    </row>
    <row r="9" spans="1:29" s="25" customFormat="1">
      <c r="A9" s="308" t="s">
        <v>2263</v>
      </c>
      <c r="B9" s="24" t="s">
        <v>2264</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673" t="s">
        <v>2265</v>
      </c>
      <c r="Q9" s="1327" t="str">
        <f t="shared" ref="Q9:Q15" si="6">B9</f>
        <v>用途</v>
      </c>
      <c r="R9" s="627" t="s">
        <v>25</v>
      </c>
      <c r="S9" s="628">
        <f t="shared" si="0"/>
        <v>100</v>
      </c>
      <c r="T9" s="627" t="s">
        <v>25</v>
      </c>
      <c r="U9" s="628">
        <f t="shared" si="1"/>
        <v>100</v>
      </c>
      <c r="V9" s="627" t="s">
        <v>25</v>
      </c>
      <c r="W9" s="628">
        <f t="shared" si="2"/>
        <v>100</v>
      </c>
      <c r="X9" s="629"/>
      <c r="Y9" s="3703"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103</v>
      </c>
      <c r="G10" s="322"/>
      <c r="H10" s="29">
        <f>ROUND(100/'数据-取费表'!B14,0)</f>
        <v>103</v>
      </c>
      <c r="I10" s="322"/>
      <c r="J10" s="29">
        <f>ROUND(100/'数据-取费表'!B14,0)</f>
        <v>103</v>
      </c>
      <c r="K10" s="553"/>
      <c r="L10" s="3030"/>
      <c r="M10" s="3031"/>
      <c r="N10" s="3031"/>
      <c r="O10" s="3032"/>
      <c r="P10" s="3673"/>
      <c r="Q10" s="1327" t="str">
        <f t="shared" si="6"/>
        <v>土地使用年限（年）</v>
      </c>
      <c r="R10" s="627" t="s">
        <v>25</v>
      </c>
      <c r="S10" s="628">
        <f t="shared" si="0"/>
        <v>103</v>
      </c>
      <c r="T10" s="627" t="s">
        <v>25</v>
      </c>
      <c r="U10" s="628">
        <f t="shared" si="1"/>
        <v>103</v>
      </c>
      <c r="V10" s="627" t="s">
        <v>25</v>
      </c>
      <c r="W10" s="628">
        <f t="shared" si="2"/>
        <v>103</v>
      </c>
      <c r="X10" s="629"/>
      <c r="Y10" s="3703"/>
      <c r="Z10" s="19" t="str">
        <f t="shared" si="7"/>
        <v>土地使用年限（年）</v>
      </c>
      <c r="AA10" s="630">
        <f t="shared" si="3"/>
        <v>0.970873786407767</v>
      </c>
      <c r="AB10" s="630">
        <f t="shared" si="4"/>
        <v>0.970873786407767</v>
      </c>
      <c r="AC10" s="630">
        <f t="shared" si="5"/>
        <v>0.970873786407767</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673"/>
      <c r="Q11" s="1327" t="str">
        <f t="shared" si="6"/>
        <v>容积率</v>
      </c>
      <c r="R11" s="627" t="s">
        <v>25</v>
      </c>
      <c r="S11" s="628" t="e">
        <f t="shared" si="0"/>
        <v>#N/A</v>
      </c>
      <c r="T11" s="627" t="s">
        <v>25</v>
      </c>
      <c r="U11" s="628" t="e">
        <f t="shared" si="1"/>
        <v>#N/A</v>
      </c>
      <c r="V11" s="627" t="s">
        <v>25</v>
      </c>
      <c r="W11" s="628" t="e">
        <f t="shared" si="2"/>
        <v>#N/A</v>
      </c>
      <c r="X11" s="629"/>
      <c r="Y11" s="370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673"/>
      <c r="Q12" s="1327">
        <f t="shared" si="6"/>
        <v>111</v>
      </c>
      <c r="R12" s="627" t="s">
        <v>25</v>
      </c>
      <c r="S12" s="628">
        <f t="shared" si="0"/>
        <v>100</v>
      </c>
      <c r="T12" s="627" t="s">
        <v>25</v>
      </c>
      <c r="U12" s="628">
        <f t="shared" si="1"/>
        <v>100</v>
      </c>
      <c r="V12" s="627" t="s">
        <v>25</v>
      </c>
      <c r="W12" s="628">
        <f t="shared" si="2"/>
        <v>100</v>
      </c>
      <c r="X12" s="629"/>
      <c r="Y12" s="370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673"/>
      <c r="Q13" s="1327">
        <f t="shared" si="6"/>
        <v>111</v>
      </c>
      <c r="R13" s="627" t="s">
        <v>25</v>
      </c>
      <c r="S13" s="628">
        <f t="shared" si="0"/>
        <v>100</v>
      </c>
      <c r="T13" s="627" t="s">
        <v>25</v>
      </c>
      <c r="U13" s="628">
        <f t="shared" si="1"/>
        <v>100</v>
      </c>
      <c r="V13" s="627" t="s">
        <v>25</v>
      </c>
      <c r="W13" s="628">
        <f t="shared" si="2"/>
        <v>100</v>
      </c>
      <c r="X13" s="629"/>
      <c r="Y13" s="370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673"/>
      <c r="Q14" s="1327">
        <f t="shared" si="6"/>
        <v>111</v>
      </c>
      <c r="R14" s="627" t="s">
        <v>25</v>
      </c>
      <c r="S14" s="628">
        <f t="shared" si="0"/>
        <v>100</v>
      </c>
      <c r="T14" s="627" t="s">
        <v>25</v>
      </c>
      <c r="U14" s="628">
        <f t="shared" si="1"/>
        <v>100</v>
      </c>
      <c r="V14" s="627" t="s">
        <v>25</v>
      </c>
      <c r="W14" s="628">
        <f t="shared" si="2"/>
        <v>100</v>
      </c>
      <c r="X14" s="629"/>
      <c r="Y14" s="3703"/>
      <c r="Z14" s="19">
        <f t="shared" si="7"/>
        <v>111</v>
      </c>
      <c r="AA14" s="630">
        <f t="shared" si="3"/>
        <v>1</v>
      </c>
      <c r="AB14" s="630">
        <f t="shared" si="4"/>
        <v>1</v>
      </c>
      <c r="AC14" s="630">
        <f t="shared" si="5"/>
        <v>1</v>
      </c>
    </row>
    <row r="15" spans="1:29" ht="57">
      <c r="A15" s="329" t="s">
        <v>2269</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701" t="s">
        <v>2270</v>
      </c>
      <c r="Q15" s="1334" t="str">
        <f t="shared" si="6"/>
        <v>产业集聚程度</v>
      </c>
      <c r="R15" s="631" t="s">
        <v>25</v>
      </c>
      <c r="S15" s="632">
        <f t="shared" si="0"/>
        <v>100</v>
      </c>
      <c r="T15" s="631" t="s">
        <v>25</v>
      </c>
      <c r="U15" s="632">
        <f t="shared" si="1"/>
        <v>100</v>
      </c>
      <c r="V15" s="631" t="s">
        <v>25</v>
      </c>
      <c r="W15" s="632">
        <f t="shared" si="2"/>
        <v>100</v>
      </c>
      <c r="X15" s="1335"/>
      <c r="Y15" s="3701"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702"/>
      <c r="Q16" s="1334"/>
      <c r="R16" s="631"/>
      <c r="S16" s="632"/>
      <c r="T16" s="631"/>
      <c r="U16" s="632"/>
      <c r="V16" s="631"/>
      <c r="W16" s="632"/>
      <c r="X16" s="1335"/>
      <c r="Y16" s="3702"/>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702"/>
      <c r="Q17" s="1334" t="str">
        <f>B17</f>
        <v>交通便捷度</v>
      </c>
      <c r="R17" s="631" t="s">
        <v>25</v>
      </c>
      <c r="S17" s="632">
        <f>F17</f>
        <v>100</v>
      </c>
      <c r="T17" s="631" t="s">
        <v>25</v>
      </c>
      <c r="U17" s="632">
        <f>H17</f>
        <v>100</v>
      </c>
      <c r="V17" s="631" t="s">
        <v>25</v>
      </c>
      <c r="W17" s="632">
        <f>J17</f>
        <v>100</v>
      </c>
      <c r="X17" s="1335"/>
      <c r="Y17" s="370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702"/>
      <c r="Q18" s="1334"/>
      <c r="R18" s="631"/>
      <c r="S18" s="632"/>
      <c r="T18" s="631"/>
      <c r="U18" s="632"/>
      <c r="V18" s="631"/>
      <c r="W18" s="632"/>
      <c r="X18" s="1335"/>
      <c r="Y18" s="3702"/>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702"/>
      <c r="Q19" s="1334" t="str">
        <f t="shared" ref="Q19:Q33" si="8">B19</f>
        <v>区域土地利用方向</v>
      </c>
      <c r="R19" s="631" t="s">
        <v>25</v>
      </c>
      <c r="S19" s="632">
        <f>F19</f>
        <v>100</v>
      </c>
      <c r="T19" s="631" t="s">
        <v>25</v>
      </c>
      <c r="U19" s="632">
        <f>H19</f>
        <v>100</v>
      </c>
      <c r="V19" s="631" t="s">
        <v>25</v>
      </c>
      <c r="W19" s="632">
        <f>J19</f>
        <v>100</v>
      </c>
      <c r="X19" s="1335"/>
      <c r="Y19" s="370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702"/>
      <c r="Q20" s="1334"/>
      <c r="R20" s="631"/>
      <c r="S20" s="632"/>
      <c r="T20" s="631"/>
      <c r="U20" s="632"/>
      <c r="V20" s="631"/>
      <c r="W20" s="632"/>
      <c r="X20" s="1335"/>
      <c r="Y20" s="3702"/>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702"/>
      <c r="Q21" s="1334" t="str">
        <f t="shared" si="8"/>
        <v>环境状况</v>
      </c>
      <c r="R21" s="631" t="s">
        <v>25</v>
      </c>
      <c r="S21" s="632">
        <f>F21</f>
        <v>100</v>
      </c>
      <c r="T21" s="631" t="s">
        <v>25</v>
      </c>
      <c r="U21" s="632">
        <f>H21</f>
        <v>100</v>
      </c>
      <c r="V21" s="631" t="s">
        <v>25</v>
      </c>
      <c r="W21" s="632">
        <f>J21</f>
        <v>100</v>
      </c>
      <c r="X21" s="1335"/>
      <c r="Y21" s="370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702"/>
      <c r="Q22" s="1334"/>
      <c r="R22" s="631"/>
      <c r="S22" s="632"/>
      <c r="T22" s="631"/>
      <c r="U22" s="632"/>
      <c r="V22" s="631"/>
      <c r="W22" s="632"/>
      <c r="X22" s="1335"/>
      <c r="Y22" s="3702"/>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702"/>
      <c r="Q23" s="1327" t="str">
        <f t="shared" si="8"/>
        <v>公共配套设施</v>
      </c>
      <c r="R23" s="627" t="s">
        <v>25</v>
      </c>
      <c r="S23" s="628">
        <f>F23</f>
        <v>100</v>
      </c>
      <c r="T23" s="627" t="s">
        <v>25</v>
      </c>
      <c r="U23" s="628">
        <f>H23</f>
        <v>100</v>
      </c>
      <c r="V23" s="627" t="s">
        <v>25</v>
      </c>
      <c r="W23" s="628">
        <f>J23</f>
        <v>100</v>
      </c>
      <c r="X23" s="629"/>
      <c r="Y23" s="370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702"/>
      <c r="Q24" s="1327"/>
      <c r="R24" s="627"/>
      <c r="S24" s="628"/>
      <c r="T24" s="627"/>
      <c r="U24" s="628"/>
      <c r="V24" s="627"/>
      <c r="W24" s="628"/>
      <c r="X24" s="629"/>
      <c r="Y24" s="3702"/>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702"/>
      <c r="Q25" s="1327" t="str">
        <f t="shared" ref="Q25" si="9">B25</f>
        <v>基础设施水平</v>
      </c>
      <c r="R25" s="627" t="s">
        <v>25</v>
      </c>
      <c r="S25" s="628">
        <f>F25</f>
        <v>100</v>
      </c>
      <c r="T25" s="627" t="s">
        <v>25</v>
      </c>
      <c r="U25" s="628">
        <f>H25</f>
        <v>100</v>
      </c>
      <c r="V25" s="627" t="s">
        <v>25</v>
      </c>
      <c r="W25" s="628">
        <f>J25</f>
        <v>100</v>
      </c>
      <c r="X25" s="629"/>
      <c r="Y25" s="370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702"/>
      <c r="Q26" s="1327"/>
      <c r="R26" s="627"/>
      <c r="S26" s="628"/>
      <c r="T26" s="627"/>
      <c r="U26" s="628"/>
      <c r="V26" s="627"/>
      <c r="W26" s="628"/>
      <c r="X26" s="629"/>
      <c r="Y26" s="3702"/>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70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702"/>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702"/>
      <c r="Q28" s="1334" t="str">
        <f t="shared" si="8"/>
        <v>毗邻道路的类型与等级</v>
      </c>
      <c r="R28" s="631" t="s">
        <v>25</v>
      </c>
      <c r="S28" s="632">
        <f t="shared" si="10"/>
        <v>100</v>
      </c>
      <c r="T28" s="631" t="s">
        <v>25</v>
      </c>
      <c r="U28" s="632">
        <f t="shared" si="11"/>
        <v>100</v>
      </c>
      <c r="V28" s="631" t="s">
        <v>25</v>
      </c>
      <c r="W28" s="632">
        <f t="shared" si="12"/>
        <v>100</v>
      </c>
      <c r="X28" s="1335"/>
      <c r="Y28" s="370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702"/>
      <c r="Q29" s="1334"/>
      <c r="R29" s="631"/>
      <c r="S29" s="632"/>
      <c r="T29" s="631"/>
      <c r="U29" s="632"/>
      <c r="V29" s="631"/>
      <c r="W29" s="632"/>
      <c r="X29" s="1335"/>
      <c r="Y29" s="3702"/>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702"/>
      <c r="Q30" s="1334" t="str">
        <f t="shared" si="8"/>
        <v>土地级别</v>
      </c>
      <c r="R30" s="631" t="s">
        <v>25</v>
      </c>
      <c r="S30" s="632">
        <f t="shared" si="10"/>
        <v>100</v>
      </c>
      <c r="T30" s="631" t="s">
        <v>25</v>
      </c>
      <c r="U30" s="632">
        <f t="shared" si="11"/>
        <v>100</v>
      </c>
      <c r="V30" s="631" t="s">
        <v>25</v>
      </c>
      <c r="W30" s="632">
        <f t="shared" si="12"/>
        <v>100</v>
      </c>
      <c r="X30" s="1335"/>
      <c r="Y30" s="370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702"/>
      <c r="Q31" s="1334">
        <f t="shared" si="8"/>
        <v>111</v>
      </c>
      <c r="R31" s="631" t="s">
        <v>25</v>
      </c>
      <c r="S31" s="632">
        <f t="shared" si="10"/>
        <v>100</v>
      </c>
      <c r="T31" s="631" t="s">
        <v>25</v>
      </c>
      <c r="U31" s="632">
        <f t="shared" si="11"/>
        <v>100</v>
      </c>
      <c r="V31" s="631" t="s">
        <v>25</v>
      </c>
      <c r="W31" s="632">
        <f t="shared" si="12"/>
        <v>100</v>
      </c>
      <c r="X31" s="1335"/>
      <c r="Y31" s="370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704" t="s">
        <v>2276</v>
      </c>
      <c r="Q32" s="1334">
        <f t="shared" si="8"/>
        <v>111</v>
      </c>
      <c r="R32" s="631" t="s">
        <v>25</v>
      </c>
      <c r="S32" s="632">
        <f t="shared" si="10"/>
        <v>100</v>
      </c>
      <c r="T32" s="631" t="s">
        <v>25</v>
      </c>
      <c r="U32" s="632">
        <f t="shared" si="11"/>
        <v>100</v>
      </c>
      <c r="V32" s="631" t="s">
        <v>25</v>
      </c>
      <c r="W32" s="632">
        <f t="shared" si="12"/>
        <v>100</v>
      </c>
      <c r="X32" s="1335"/>
      <c r="Y32" s="3705"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705"/>
      <c r="Q33" s="1334">
        <f t="shared" si="8"/>
        <v>111</v>
      </c>
      <c r="R33" s="634" t="s">
        <v>25</v>
      </c>
      <c r="S33" s="635">
        <f t="shared" si="10"/>
        <v>100</v>
      </c>
      <c r="T33" s="634" t="s">
        <v>25</v>
      </c>
      <c r="U33" s="635">
        <f t="shared" si="11"/>
        <v>100</v>
      </c>
      <c r="V33" s="634" t="s">
        <v>25</v>
      </c>
      <c r="W33" s="635">
        <f t="shared" si="12"/>
        <v>100</v>
      </c>
      <c r="X33" s="636"/>
      <c r="Y33" s="3705"/>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705"/>
      <c r="Q34" s="1334" t="str">
        <f>B34</f>
        <v>宗地面积</v>
      </c>
      <c r="R34" s="631" t="s">
        <v>25</v>
      </c>
      <c r="S34" s="632" t="e">
        <f t="shared" si="10"/>
        <v>#N/A</v>
      </c>
      <c r="T34" s="631" t="s">
        <v>25</v>
      </c>
      <c r="U34" s="632" t="e">
        <f t="shared" si="11"/>
        <v>#N/A</v>
      </c>
      <c r="V34" s="631" t="s">
        <v>25</v>
      </c>
      <c r="W34" s="632" t="e">
        <f t="shared" si="12"/>
        <v>#N/A</v>
      </c>
      <c r="X34" s="1335"/>
      <c r="Y34" s="3705"/>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705"/>
      <c r="Q35" s="1334" t="str">
        <f t="shared" ref="Q35:Q40" si="14">B35</f>
        <v>宗地形状</v>
      </c>
      <c r="R35" s="631" t="s">
        <v>25</v>
      </c>
      <c r="S35" s="632">
        <f t="shared" si="10"/>
        <v>100</v>
      </c>
      <c r="T35" s="631" t="s">
        <v>25</v>
      </c>
      <c r="U35" s="632">
        <f t="shared" si="11"/>
        <v>100</v>
      </c>
      <c r="V35" s="631" t="s">
        <v>25</v>
      </c>
      <c r="W35" s="632">
        <f t="shared" si="12"/>
        <v>100</v>
      </c>
      <c r="X35" s="1335"/>
      <c r="Y35" s="3705"/>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705"/>
      <c r="Q36" s="1334" t="str">
        <f t="shared" si="14"/>
        <v>宗地开发程度</v>
      </c>
      <c r="R36" s="627" t="s">
        <v>25</v>
      </c>
      <c r="S36" s="628">
        <f t="shared" si="10"/>
        <v>100</v>
      </c>
      <c r="T36" s="627" t="s">
        <v>25</v>
      </c>
      <c r="U36" s="628">
        <f t="shared" si="11"/>
        <v>100</v>
      </c>
      <c r="V36" s="627" t="s">
        <v>25</v>
      </c>
      <c r="W36" s="628">
        <f t="shared" si="12"/>
        <v>100</v>
      </c>
      <c r="X36" s="629"/>
      <c r="Y36" s="3705"/>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705" t="s">
        <v>2276</v>
      </c>
      <c r="Q37" s="1334" t="str">
        <f t="shared" si="14"/>
        <v>工程地质条件</v>
      </c>
      <c r="R37" s="631" t="s">
        <v>25</v>
      </c>
      <c r="S37" s="632">
        <f t="shared" si="10"/>
        <v>100</v>
      </c>
      <c r="T37" s="631" t="s">
        <v>25</v>
      </c>
      <c r="U37" s="632">
        <f t="shared" si="11"/>
        <v>100</v>
      </c>
      <c r="V37" s="631" t="s">
        <v>25</v>
      </c>
      <c r="W37" s="632">
        <f t="shared" si="12"/>
        <v>100</v>
      </c>
      <c r="X37" s="1335"/>
      <c r="Y37" s="3705"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705"/>
      <c r="Q38" s="1334">
        <f t="shared" si="14"/>
        <v>111</v>
      </c>
      <c r="R38" s="631" t="s">
        <v>25</v>
      </c>
      <c r="S38" s="632">
        <f t="shared" si="10"/>
        <v>100</v>
      </c>
      <c r="T38" s="631" t="s">
        <v>25</v>
      </c>
      <c r="U38" s="632">
        <f t="shared" si="11"/>
        <v>100</v>
      </c>
      <c r="V38" s="631" t="s">
        <v>25</v>
      </c>
      <c r="W38" s="632">
        <f t="shared" si="12"/>
        <v>100</v>
      </c>
      <c r="X38" s="1335"/>
      <c r="Y38" s="370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705"/>
      <c r="Q39" s="1334">
        <f t="shared" si="14"/>
        <v>111</v>
      </c>
      <c r="R39" s="631" t="s">
        <v>25</v>
      </c>
      <c r="S39" s="632">
        <f t="shared" si="10"/>
        <v>100</v>
      </c>
      <c r="T39" s="631" t="s">
        <v>25</v>
      </c>
      <c r="U39" s="632">
        <f t="shared" si="11"/>
        <v>100</v>
      </c>
      <c r="V39" s="631" t="s">
        <v>25</v>
      </c>
      <c r="W39" s="632">
        <f t="shared" si="12"/>
        <v>100</v>
      </c>
      <c r="X39" s="1335"/>
      <c r="Y39" s="3705"/>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705"/>
      <c r="Q40" s="1334">
        <f t="shared" si="14"/>
        <v>111</v>
      </c>
      <c r="R40" s="634" t="s">
        <v>25</v>
      </c>
      <c r="S40" s="635">
        <f t="shared" si="10"/>
        <v>100</v>
      </c>
      <c r="T40" s="634" t="s">
        <v>25</v>
      </c>
      <c r="U40" s="635">
        <f t="shared" si="11"/>
        <v>100</v>
      </c>
      <c r="V40" s="634" t="s">
        <v>25</v>
      </c>
      <c r="W40" s="635">
        <f t="shared" si="12"/>
        <v>100</v>
      </c>
      <c r="X40" s="636"/>
      <c r="Y40" s="3705"/>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673" t="str">
        <f>A41</f>
        <v>成交单价</v>
      </c>
      <c r="Q41" s="3673"/>
      <c r="R41" s="3697">
        <f>E41</f>
        <v>0</v>
      </c>
      <c r="S41" s="3697"/>
      <c r="T41" s="3697">
        <f>G41</f>
        <v>0</v>
      </c>
      <c r="U41" s="3697"/>
      <c r="V41" s="3697">
        <f>I41</f>
        <v>0</v>
      </c>
      <c r="W41" s="3697"/>
      <c r="X41" s="618"/>
      <c r="Y41" s="638"/>
      <c r="Z41" s="618"/>
      <c r="AA41" s="618"/>
      <c r="AB41" s="618"/>
      <c r="AC41" s="618"/>
    </row>
    <row r="42" spans="1:29" ht="15.75" thickBot="1">
      <c r="A42" s="374" t="s">
        <v>2370</v>
      </c>
      <c r="B42" s="563"/>
      <c r="C42" s="377" t="e">
        <f>R43</f>
        <v>#DIV/0!</v>
      </c>
      <c r="D42" s="1797" t="s">
        <v>2744</v>
      </c>
      <c r="E42" s="377" t="e">
        <f>R42</f>
        <v>#DIV/0!</v>
      </c>
      <c r="F42" s="1799"/>
      <c r="G42" s="376" t="e">
        <f>T42</f>
        <v>#DIV/0!</v>
      </c>
      <c r="H42" s="1799"/>
      <c r="I42" s="377" t="e">
        <f>V42</f>
        <v>#DIV/0!</v>
      </c>
      <c r="J42" s="1799"/>
      <c r="K42" s="2511">
        <f>F42+H42+J42</f>
        <v>0</v>
      </c>
      <c r="L42" s="3037"/>
      <c r="M42" s="3026"/>
      <c r="N42" s="3026"/>
      <c r="P42" s="3673" t="str">
        <f>A42</f>
        <v>比较价值（元/平方米）</v>
      </c>
      <c r="Q42" s="3673"/>
      <c r="R42" s="3714" t="e">
        <f>ROUND(PRODUCT(R41,AA7:AA40),0)</f>
        <v>#DIV/0!</v>
      </c>
      <c r="S42" s="3714"/>
      <c r="T42" s="3714" t="e">
        <f>ROUND(PRODUCT(T41,AB7:AB40),0)</f>
        <v>#DIV/0!</v>
      </c>
      <c r="U42" s="3714"/>
      <c r="V42" s="3714" t="e">
        <f>ROUND(PRODUCT(V41,AC7:AC40),0)</f>
        <v>#DIV/0!</v>
      </c>
      <c r="W42" s="3714"/>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708" t="str">
        <f>A43</f>
        <v>估价对象XX用房的比较价值（楼面单价，元/平方米）</v>
      </c>
      <c r="Q43" s="3709"/>
      <c r="R43" s="3713" t="e">
        <f>ROUND(IF(D42="简单平均",AVERAGE(R42:W42),R42*F42+T42*H42+V42*J42),0)</f>
        <v>#DIV/0!</v>
      </c>
      <c r="S43" s="3713"/>
      <c r="T43" s="3713"/>
      <c r="U43" s="3713"/>
      <c r="V43" s="3713"/>
      <c r="W43" s="3713"/>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2009-9-1</v>
      </c>
      <c r="D63" s="1182">
        <f>EDATE(C63,-3)</f>
        <v>39965</v>
      </c>
      <c r="E63" s="1182">
        <f t="shared" ref="E63:O63" si="18">EDATE(D63,-3)</f>
        <v>39873</v>
      </c>
      <c r="F63" s="1182">
        <f t="shared" si="18"/>
        <v>39783</v>
      </c>
      <c r="G63" s="1182">
        <f t="shared" si="18"/>
        <v>39692</v>
      </c>
      <c r="H63" s="1182">
        <f t="shared" si="18"/>
        <v>39600</v>
      </c>
      <c r="I63" s="1182">
        <f t="shared" si="18"/>
        <v>39508</v>
      </c>
      <c r="J63" s="1182">
        <f t="shared" si="18"/>
        <v>39417</v>
      </c>
      <c r="K63" s="1182">
        <f t="shared" si="18"/>
        <v>39326</v>
      </c>
      <c r="L63" s="1182">
        <f t="shared" si="18"/>
        <v>39234</v>
      </c>
      <c r="M63" s="1182">
        <f t="shared" si="18"/>
        <v>39142</v>
      </c>
      <c r="N63" s="1182">
        <f t="shared" si="18"/>
        <v>39052</v>
      </c>
      <c r="O63" s="1182">
        <f t="shared" si="18"/>
        <v>38961</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2009-3</v>
      </c>
      <c r="D65" s="1183" t="str">
        <f t="shared" ref="D65:O65" si="19">YEAR(D63)&amp;"-"&amp;ROUNDUP(MONTH(D63)/3,0)</f>
        <v>2009-2</v>
      </c>
      <c r="E65" s="1183" t="str">
        <f t="shared" si="19"/>
        <v>2009-1</v>
      </c>
      <c r="F65" s="1183" t="str">
        <f t="shared" si="19"/>
        <v>2008-4</v>
      </c>
      <c r="G65" s="1183" t="str">
        <f t="shared" si="19"/>
        <v>2008-3</v>
      </c>
      <c r="H65" s="1183" t="str">
        <f t="shared" si="19"/>
        <v>2008-2</v>
      </c>
      <c r="I65" s="1183" t="str">
        <f t="shared" si="19"/>
        <v>2008-1</v>
      </c>
      <c r="J65" s="1183" t="str">
        <f t="shared" si="19"/>
        <v>2007-4</v>
      </c>
      <c r="K65" s="1183" t="str">
        <f t="shared" si="19"/>
        <v>2007-3</v>
      </c>
      <c r="L65" s="1183" t="str">
        <f t="shared" si="19"/>
        <v>2007-2</v>
      </c>
      <c r="M65" s="1183" t="str">
        <f t="shared" si="19"/>
        <v>2007-1</v>
      </c>
      <c r="N65" s="1183" t="str">
        <f t="shared" si="19"/>
        <v>2006-4</v>
      </c>
      <c r="O65" s="1183" t="str">
        <f t="shared" si="19"/>
        <v>2006-3</v>
      </c>
      <c r="P65" s="393"/>
    </row>
    <row r="66" spans="1:17" s="25" customFormat="1" ht="33.75" customHeight="1">
      <c r="A66" s="1600" t="s">
        <v>2494</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E21" sqref="E2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146.78</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0</v>
      </c>
      <c r="C2" s="2108" t="s">
        <v>2504</v>
      </c>
      <c r="D2" s="1602" t="s">
        <v>2505</v>
      </c>
      <c r="E2" s="2109" t="s">
        <v>2887</v>
      </c>
      <c r="F2" s="1602" t="s">
        <v>2506</v>
      </c>
      <c r="G2" s="2110" t="str">
        <f>项目基本情况!F9</f>
        <v>三级</v>
      </c>
      <c r="H2" s="1603" t="s">
        <v>2507</v>
      </c>
      <c r="I2" s="2110">
        <f>项目基本情况!F10</f>
        <v>0</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25.5">
      <c r="A3" s="1659" t="s">
        <v>2509</v>
      </c>
      <c r="B3" s="1659">
        <f>ROUND(B2/D1,0)</f>
        <v>0</v>
      </c>
      <c r="C3" s="2108" t="s">
        <v>2510</v>
      </c>
      <c r="D3" s="1602" t="s">
        <v>2511</v>
      </c>
      <c r="E3" s="2109" t="s">
        <v>2889</v>
      </c>
      <c r="F3" s="1604" t="s">
        <v>2512</v>
      </c>
      <c r="G3" s="2116">
        <f>项目基本情况!C15</f>
        <v>0</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732"/>
      <c r="B4" s="3733"/>
      <c r="C4" s="3733"/>
      <c r="D4" s="3734"/>
      <c r="E4" s="3734"/>
      <c r="F4" s="3734"/>
      <c r="G4" s="3734"/>
      <c r="H4" s="3734"/>
      <c r="I4" s="3734"/>
      <c r="J4" s="3735"/>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0</v>
      </c>
      <c r="D5" s="2119">
        <f>ROUND(C6+C16,0)</f>
        <v>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736"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2526</v>
      </c>
      <c r="X7" s="2137" t="str">
        <f>G2</f>
        <v>三级</v>
      </c>
      <c r="Y7" s="2137" t="s">
        <v>2527</v>
      </c>
      <c r="Z7" s="2138">
        <f>G3</f>
        <v>0</v>
      </c>
      <c r="AA7" s="2105"/>
      <c r="AB7" s="2105"/>
      <c r="AC7" s="2105"/>
      <c r="AD7" s="2106"/>
      <c r="AE7" s="2106"/>
      <c r="AF7" s="2106"/>
      <c r="AG7" s="2106"/>
      <c r="AH7" s="2106"/>
      <c r="AI7" s="2106"/>
      <c r="AJ7" s="2107"/>
    </row>
    <row r="8" spans="1:36" ht="15">
      <c r="A8" s="3737"/>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730" t="s">
        <v>2531</v>
      </c>
      <c r="X8" s="3731"/>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737"/>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731"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737"/>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73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737"/>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731" t="s">
        <v>2555</v>
      </c>
      <c r="X11" s="2153" t="s">
        <v>2556</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736">
        <f>IF(E2="住宅",2,"")</f>
        <v>2</v>
      </c>
      <c r="B12" s="1609" t="s">
        <v>2557</v>
      </c>
      <c r="C12" s="2131">
        <f>ROUND(C15*D15*E15*F15*G15*H15*I15*J15,4)</f>
        <v>1.32</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731"/>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738"/>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731"/>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738"/>
      <c r="B14" s="1611"/>
      <c r="C14" s="2165" t="s">
        <v>2567</v>
      </c>
      <c r="D14" s="2166" t="s">
        <v>2568</v>
      </c>
      <c r="E14" s="2166" t="s">
        <v>2568</v>
      </c>
      <c r="F14" s="2167" t="s">
        <v>2569</v>
      </c>
      <c r="G14" s="2168" t="s">
        <v>2570</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739"/>
      <c r="B15" s="1612" t="s">
        <v>2571</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715">
        <f>IF(E2="办公",2,IF(E2="工业",2,IF(E2="住宅",3,IF(E2="商业",IF(C8="不临58条商业街",2,3)))))</f>
        <v>3</v>
      </c>
      <c r="B16" s="1631" t="s">
        <v>2577</v>
      </c>
      <c r="C16" s="1607">
        <f>ROUND(IF(F17="与级别开发程度一致",0,(G17-E17)/C17),0)</f>
        <v>0</v>
      </c>
      <c r="D16" s="3728" t="s">
        <v>2581</v>
      </c>
      <c r="E16" s="3729"/>
      <c r="F16" s="3728" t="s">
        <v>2578</v>
      </c>
      <c r="G16" s="3729"/>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716"/>
      <c r="B17" s="1632" t="s">
        <v>2580</v>
      </c>
      <c r="C17" s="2178">
        <f>SUMPRODUCT((修正!A2:A5=E2)*(修正!B1:M1=G2)*(修正!B2:M5))</f>
        <v>2.5</v>
      </c>
      <c r="D17" s="2172" t="str">
        <f>IF(OR(G2="八级",G2="九级",G2="十级",G2="十一级",G2="十二级"),"五通一平","七通一平")</f>
        <v>七通一平</v>
      </c>
      <c r="E17" s="2179">
        <f>SUMPRODUCT((修正!B1:M1=G2)*(修正!B15:M15))</f>
        <v>300</v>
      </c>
      <c r="F17" s="2180" t="s">
        <v>2890</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2583</v>
      </c>
      <c r="B18" s="1630" t="s">
        <v>2584</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2585</v>
      </c>
      <c r="B19" s="1613" t="s">
        <v>2586</v>
      </c>
      <c r="C19" s="2189">
        <f>ROUND(IF(H19="按公示增长率计算",SUMPRODUCT((地价!A3:A34=YEAR(G19)&amp;"-"&amp;ROUNDUP(MONTH(G19)/3,0))*(地价!X2:AB2=E2)*(地价!X3:AB34)),IF(H19="地价指数",M20/M19,(1+I19)^O19)),4)</f>
        <v>0</v>
      </c>
      <c r="D19" s="2190" t="s">
        <v>2587</v>
      </c>
      <c r="E19" s="2191">
        <v>41640</v>
      </c>
      <c r="F19" s="2190" t="s">
        <v>2588</v>
      </c>
      <c r="G19" s="2192">
        <f>'数据-取费表'!B2</f>
        <v>40065</v>
      </c>
      <c r="H19" s="2193" t="s">
        <v>2724</v>
      </c>
      <c r="I19" s="2194" t="str">
        <f>IF(H19="季度增幅（自定义）",SUMIF(N21:N24,E2,O21:O24),"")</f>
        <v/>
      </c>
      <c r="J19" s="2195"/>
      <c r="K19" s="3052"/>
      <c r="L19" s="2076" t="s">
        <v>2589</v>
      </c>
      <c r="M19" s="2196">
        <f>ROUND(SUMIF(地价!B2:F2,E2,地价!B34:F34),0)</f>
        <v>423</v>
      </c>
      <c r="N19" s="2197" t="s">
        <v>2590</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2591</v>
      </c>
      <c r="B20" s="1614" t="s">
        <v>2592</v>
      </c>
      <c r="C20" s="2201">
        <f>ROUND(POWER(1+G20,J20-I20)*(POWER(1+G20,I20)-1)/(POWER(1+G20,J20)-1),4)</f>
        <v>0.97860000000000003</v>
      </c>
      <c r="D20" s="2202" t="s">
        <v>2593</v>
      </c>
      <c r="E20" s="3155">
        <f>存贷款利率!E18/100</f>
        <v>4.3499999999999997E-2</v>
      </c>
      <c r="F20" s="2202" t="s">
        <v>2582</v>
      </c>
      <c r="G20" s="3156">
        <f>SUMIF(M26:P26,E2,M28:P28)</f>
        <v>0.05</v>
      </c>
      <c r="H20" s="2202" t="s">
        <v>2594</v>
      </c>
      <c r="I20" s="2203">
        <f>'数据-取费表'!B13</f>
        <v>60</v>
      </c>
      <c r="J20" s="2204">
        <f>IF(E2="住宅",70,IF(E2="商业",40,50))</f>
        <v>70</v>
      </c>
      <c r="K20" s="3052"/>
      <c r="L20" s="2205" t="s">
        <v>2595</v>
      </c>
      <c r="M20" s="2206">
        <f>ROUND(SUMPRODUCT((地价!A4:A34=YEAR(G19)&amp;"-"&amp;ROUNDUP(MONTH(G19)/3,0))*(地价!B2:F2=E2)*(地价!B4:F34)),0)</f>
        <v>0</v>
      </c>
      <c r="N20" s="2207" t="s">
        <v>2596</v>
      </c>
      <c r="O20" s="2208" t="s">
        <v>2597</v>
      </c>
      <c r="P20" s="2209" t="s">
        <v>2598</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2599</v>
      </c>
      <c r="B21" s="1615" t="s">
        <v>2600</v>
      </c>
      <c r="C21" s="2211">
        <f>IF(B21="容积率修正",IF(G3&lt;=10,D22,J22),C23)</f>
        <v>0</v>
      </c>
      <c r="D21" s="2212"/>
      <c r="E21" s="2212"/>
      <c r="F21" s="2212"/>
      <c r="G21" s="2212"/>
      <c r="H21" s="2212"/>
      <c r="I21" s="2212"/>
      <c r="J21" s="2077"/>
      <c r="K21" s="3052"/>
      <c r="L21" s="3052"/>
      <c r="M21" s="3052"/>
      <c r="N21" s="2213" t="s">
        <v>2601</v>
      </c>
      <c r="O21" s="2214"/>
      <c r="P21" s="2215">
        <f>SUMPRODUCT((地价!A3:A34=YEAR(G19)&amp;"-"&amp;ROUNDUP(MONTH(G19)/3,0))*(地价!AD2:AH2=N21)*(地价!AD3:AH34))</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2602</v>
      </c>
      <c r="C22" s="2072" t="s">
        <v>2603</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2604</v>
      </c>
      <c r="O22" s="2214"/>
      <c r="P22" s="2215">
        <f>SUMPRODUCT((地价!A3:A34=YEAR(G19)&amp;"-"&amp;ROUNDUP(MONTH(G19)/3,0))*(地价!AD2:AH2=N22)*(地价!AD3:AH34))</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2605</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2606</v>
      </c>
      <c r="O23" s="2214"/>
      <c r="P23" s="2215">
        <f>SUMPRODUCT((地价!A3:A34=YEAR(G19)&amp;"-"&amp;ROUNDUP(MONTH(G19)/3,0))*(地价!AD2:AH2=N23)*(地价!AD3:AH34))</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2607</v>
      </c>
      <c r="B24" s="1617" t="s">
        <v>2608</v>
      </c>
      <c r="C24" s="2221">
        <f>SUMIF(A46:A88,E2,B46:B88)</f>
        <v>1</v>
      </c>
      <c r="D24" s="2222"/>
      <c r="E24" s="2223"/>
      <c r="F24" s="2223"/>
      <c r="G24" s="2223"/>
      <c r="H24" s="2223"/>
      <c r="I24" s="2223"/>
      <c r="J24" s="2224"/>
      <c r="K24" s="3052"/>
      <c r="L24" s="3052"/>
      <c r="M24" s="3052"/>
      <c r="N24" s="2225" t="s">
        <v>2609</v>
      </c>
      <c r="O24" s="2226"/>
      <c r="P24" s="2227">
        <f>SUMPRODUCT((地价!A3:A34=YEAR(G19)&amp;"-"&amp;ROUNDUP(MONTH(G19)/3,0))*(地价!AD2:AH2=N24)*(地价!AD3:AH34))</f>
        <v>0</v>
      </c>
      <c r="Q24" s="3052"/>
      <c r="R24" s="3050"/>
      <c r="S24" s="3050"/>
      <c r="T24" s="3050"/>
      <c r="U24" s="3050"/>
      <c r="V24" s="3050"/>
      <c r="W24" s="3050"/>
      <c r="X24" s="1623"/>
      <c r="Y24" s="1623"/>
      <c r="Z24" s="1623"/>
      <c r="AA24" s="1623"/>
      <c r="AB24" s="1623"/>
      <c r="AC24" s="1623"/>
      <c r="AD24" s="1623"/>
      <c r="AE24" s="2188"/>
      <c r="AF24" s="2188"/>
    </row>
    <row r="25" spans="1:35" ht="15" thickBot="1">
      <c r="A25" s="1718" t="s">
        <v>2610</v>
      </c>
      <c r="B25" s="1618" t="s">
        <v>2611</v>
      </c>
      <c r="C25" s="2228"/>
      <c r="D25" s="2134"/>
      <c r="E25" s="2134"/>
      <c r="F25" s="2229"/>
      <c r="G25" s="2134"/>
      <c r="H25" s="2134"/>
      <c r="I25" s="2134"/>
      <c r="J25" s="2135"/>
      <c r="K25" s="3050"/>
      <c r="L25" s="3050"/>
      <c r="M25" s="3050"/>
      <c r="N25" s="3053" t="s">
        <v>2612</v>
      </c>
      <c r="O25" s="3054"/>
      <c r="P25" s="3055">
        <f>SUMPRODUCT((地价!A3:A34=YEAR(G19)&amp;"-"&amp;ROUNDUP(MONTH(G19)/3,0))*(地价!AD2:AH2=N25)*(地价!AD3:AH34))</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2613</v>
      </c>
      <c r="C26" s="2890">
        <f>IF(B21="容积率修正",E29+SUM(E33:E39),SUM(V2:V16)+SUM(E33:E39))</f>
        <v>0</v>
      </c>
      <c r="D26" s="2230"/>
      <c r="E26" s="2169"/>
      <c r="F26" s="1478"/>
      <c r="G26" s="2169"/>
      <c r="H26" s="2169"/>
      <c r="I26" s="2169"/>
      <c r="J26" s="2231"/>
      <c r="K26" s="3050"/>
      <c r="L26" s="3056" t="s">
        <v>2572</v>
      </c>
      <c r="M26" s="2132" t="s">
        <v>2573</v>
      </c>
      <c r="N26" s="2132" t="s">
        <v>2574</v>
      </c>
      <c r="O26" s="2132" t="s">
        <v>2575</v>
      </c>
      <c r="P26" s="3057" t="s">
        <v>2576</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2614</v>
      </c>
      <c r="C27" s="2232">
        <f>E30+SUM(I33:I39)</f>
        <v>0</v>
      </c>
      <c r="D27" s="2181"/>
      <c r="E27" s="2233"/>
      <c r="F27" s="2234"/>
      <c r="G27" s="2233"/>
      <c r="H27" s="2233"/>
      <c r="I27" s="2233"/>
      <c r="J27" s="2235"/>
      <c r="K27" s="3050"/>
      <c r="L27" s="2236" t="s">
        <v>2579</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2615</v>
      </c>
      <c r="C28" s="2239" t="s">
        <v>2616</v>
      </c>
      <c r="D28" s="2239" t="s">
        <v>2617</v>
      </c>
      <c r="E28" s="1618" t="s">
        <v>2618</v>
      </c>
      <c r="F28" s="2240"/>
      <c r="G28" s="2156"/>
      <c r="H28" s="2156"/>
      <c r="I28" s="2156"/>
      <c r="J28" s="2157"/>
      <c r="K28" s="3050"/>
      <c r="L28" s="2241" t="s">
        <v>2582</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2619</v>
      </c>
      <c r="C29" s="54">
        <f>ROUND(C5*C18*C19*C20*C21*C24,0)</f>
        <v>0</v>
      </c>
      <c r="D29" s="2244">
        <f>项目基本情况!C12</f>
        <v>146.78</v>
      </c>
      <c r="E29" s="2031">
        <f>ROUND(C29*D29,0)</f>
        <v>0</v>
      </c>
      <c r="F29" s="2245" t="s">
        <v>2620</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2621</v>
      </c>
      <c r="C30" s="2172">
        <f>ROUND(IF(E2="工业",C29*M39,C29*M38),0)</f>
        <v>0</v>
      </c>
      <c r="D30" s="2249"/>
      <c r="E30" s="2031">
        <f>ROUND(C30*D30,0)</f>
        <v>0</v>
      </c>
      <c r="F30" s="2250" t="s">
        <v>2622</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2623</v>
      </c>
      <c r="C31" s="2254" t="s">
        <v>2624</v>
      </c>
      <c r="D31" s="2156"/>
      <c r="E31" s="2254"/>
      <c r="F31" s="2254"/>
      <c r="G31" s="2155" t="s">
        <v>2625</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2616</v>
      </c>
      <c r="D32" s="1808" t="s">
        <v>2617</v>
      </c>
      <c r="E32" s="1808" t="s">
        <v>2618</v>
      </c>
      <c r="F32" s="50" t="s">
        <v>2626</v>
      </c>
      <c r="G32" s="2217" t="s">
        <v>2616</v>
      </c>
      <c r="H32" s="2217" t="s">
        <v>2617</v>
      </c>
      <c r="I32" s="2217" t="s">
        <v>2618</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725" t="s">
        <v>2627</v>
      </c>
      <c r="B33" s="2257" t="s">
        <v>2628</v>
      </c>
      <c r="C33" s="54">
        <f>ROUND(D5*C19*C20*C24*F33,0)</f>
        <v>0</v>
      </c>
      <c r="D33" s="2244"/>
      <c r="E33" s="50">
        <f t="shared" ref="E33:E39" si="6">ROUND(C33*D33,0)</f>
        <v>0</v>
      </c>
      <c r="F33" s="50">
        <f>SUMIF(修正!A45:A56,G2,修正!B45:B56)</f>
        <v>0.7</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726"/>
      <c r="B34" s="2162" t="s">
        <v>2629</v>
      </c>
      <c r="C34" s="54">
        <f>ROUND(D5*C19*C20*C24*F34,0)</f>
        <v>0</v>
      </c>
      <c r="D34" s="2244"/>
      <c r="E34" s="50">
        <f t="shared" si="6"/>
        <v>0</v>
      </c>
      <c r="F34" s="50">
        <f>SUMIF(修正!A45:A56,G2,修正!C45:C56)</f>
        <v>0.4</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726"/>
      <c r="B35" s="2162" t="s">
        <v>2630</v>
      </c>
      <c r="C35" s="54">
        <f>ROUND(D5*C19*C20*C24*F35,0)</f>
        <v>0</v>
      </c>
      <c r="D35" s="2244"/>
      <c r="E35" s="50">
        <f t="shared" si="6"/>
        <v>0</v>
      </c>
      <c r="F35" s="50">
        <f>SUMIF(修正!A45:A56,G2,修正!D45:D56)</f>
        <v>0.28000000000000003</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727"/>
      <c r="B36" s="2162" t="s">
        <v>2631</v>
      </c>
      <c r="C36" s="54">
        <f>ROUND(D5*C19*C20*C24*F36,0)</f>
        <v>0</v>
      </c>
      <c r="D36" s="2244"/>
      <c r="E36" s="50">
        <f t="shared" si="6"/>
        <v>0</v>
      </c>
      <c r="F36" s="50">
        <f>SUMIF(修正!A45:A56,G2,修正!E45:E56)</f>
        <v>0.25</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2632</v>
      </c>
      <c r="C37" s="50">
        <f>ROUND(D5*C19*C20*C24*F37,0)</f>
        <v>0</v>
      </c>
      <c r="D37" s="2244"/>
      <c r="E37" s="50">
        <f t="shared" si="6"/>
        <v>0</v>
      </c>
      <c r="F37" s="54">
        <f>SUMIF(修正!A45:A56,G2,修正!F45:F56)</f>
        <v>0.25</v>
      </c>
      <c r="G37" s="50">
        <f>ROUND(IF(E2="工业",C37*$M$39,C37*$M$38),0)</f>
        <v>0</v>
      </c>
      <c r="H37" s="50">
        <f t="shared" si="9"/>
        <v>0</v>
      </c>
      <c r="I37" s="50">
        <f t="shared" si="8"/>
        <v>0</v>
      </c>
      <c r="J37" s="2231"/>
      <c r="K37" s="3050"/>
      <c r="L37" s="2259" t="s">
        <v>2633</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2634</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2635</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2636</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2576</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2716</v>
      </c>
      <c r="C41" s="50">
        <f>ROUND(POWER(1+E41,H41-G41)*(POWER(1+E41,G41)-1)/(POWER(1+E41,H41)-1),4)</f>
        <v>0</v>
      </c>
      <c r="D41" s="50" t="s">
        <v>2714</v>
      </c>
      <c r="E41" s="2267">
        <f>G20</f>
        <v>0.05</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2637</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2638</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2639</v>
      </c>
      <c r="B47" s="2279" t="s">
        <v>2640</v>
      </c>
      <c r="C47" s="2279" t="s">
        <v>2641</v>
      </c>
      <c r="D47" s="2279" t="s">
        <v>2642</v>
      </c>
      <c r="E47" s="2280" t="s">
        <v>2643</v>
      </c>
      <c r="F47" s="2230" t="s">
        <v>2644</v>
      </c>
      <c r="G47" s="2279" t="s">
        <v>2645</v>
      </c>
      <c r="H47" s="2281" t="s">
        <v>2646</v>
      </c>
      <c r="I47" s="2279" t="s">
        <v>2647</v>
      </c>
      <c r="J47" s="1906" t="s">
        <v>2648</v>
      </c>
      <c r="K47" s="1906" t="s">
        <v>2649</v>
      </c>
      <c r="L47" s="1906" t="s">
        <v>2650</v>
      </c>
      <c r="M47" s="1906" t="s">
        <v>2651</v>
      </c>
      <c r="N47" s="1906" t="s">
        <v>2652</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2653</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2654</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2655</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2656</v>
      </c>
      <c r="B51" s="2292" t="s">
        <v>2657</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2658</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2659</v>
      </c>
      <c r="B53" s="2293" t="s">
        <v>2660</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2661</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2662</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2663</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2664</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2639</v>
      </c>
      <c r="B58" s="2290"/>
      <c r="C58" s="2279" t="s">
        <v>2641</v>
      </c>
      <c r="D58" s="2279" t="s">
        <v>2642</v>
      </c>
      <c r="E58" s="2280" t="s">
        <v>2643</v>
      </c>
      <c r="F58" s="2230" t="s">
        <v>2644</v>
      </c>
      <c r="G58" s="2279" t="s">
        <v>2665</v>
      </c>
      <c r="H58" s="2281" t="s">
        <v>2666</v>
      </c>
      <c r="I58" s="2279" t="s">
        <v>2667</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2668</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2654</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2655</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2656</v>
      </c>
      <c r="B62" s="2292" t="s">
        <v>2657</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2658</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2659</v>
      </c>
      <c r="B64" s="2293" t="s">
        <v>2660</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2661</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2662</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2663</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2669</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2639</v>
      </c>
      <c r="B69" s="2290"/>
      <c r="C69" s="2279" t="s">
        <v>2641</v>
      </c>
      <c r="D69" s="2279" t="s">
        <v>2642</v>
      </c>
      <c r="E69" s="2280" t="s">
        <v>2643</v>
      </c>
      <c r="F69" s="2230" t="s">
        <v>2644</v>
      </c>
      <c r="G69" s="2279" t="s">
        <v>2665</v>
      </c>
      <c r="H69" s="2281" t="s">
        <v>2666</v>
      </c>
      <c r="I69" s="2279" t="s">
        <v>2667</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2670</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2654</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2655</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2671</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2661</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2662</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2659</v>
      </c>
      <c r="B76" s="2293" t="s">
        <v>2660</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2663</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2672</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2639</v>
      </c>
      <c r="B80" s="2290"/>
      <c r="C80" s="2279" t="s">
        <v>2641</v>
      </c>
      <c r="D80" s="2279" t="s">
        <v>2642</v>
      </c>
      <c r="E80" s="2280" t="s">
        <v>2643</v>
      </c>
      <c r="F80" s="2230" t="s">
        <v>2644</v>
      </c>
      <c r="G80" s="2279" t="s">
        <v>2665</v>
      </c>
      <c r="H80" s="2281" t="s">
        <v>2666</v>
      </c>
      <c r="I80" s="2279" t="s">
        <v>2667</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2674</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2654</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2655</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2671</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2661</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2662</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2659</v>
      </c>
      <c r="B87" s="2293" t="s">
        <v>2660</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2675</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717" t="s">
        <v>2676</v>
      </c>
      <c r="B90" s="3717"/>
      <c r="C90" s="3717"/>
      <c r="D90" s="3717"/>
      <c r="E90" s="3717"/>
      <c r="F90" s="3717"/>
      <c r="G90" s="3717"/>
      <c r="H90" s="3717"/>
      <c r="I90" s="3717"/>
      <c r="J90" s="3717"/>
      <c r="K90" s="2306"/>
      <c r="L90" s="2306"/>
      <c r="M90" s="2306"/>
      <c r="N90" s="2306"/>
      <c r="Q90" s="3058"/>
      <c r="R90" s="3058"/>
      <c r="S90" s="3058"/>
      <c r="T90" s="3058"/>
      <c r="U90" s="3058"/>
      <c r="V90" s="3058"/>
      <c r="W90" s="3058"/>
    </row>
    <row r="91" spans="1:33">
      <c r="A91" s="3719" t="s">
        <v>2677</v>
      </c>
      <c r="B91" s="3719" t="s">
        <v>2678</v>
      </c>
      <c r="C91" s="2245" t="s">
        <v>2679</v>
      </c>
      <c r="D91" s="2246"/>
      <c r="E91" s="2246"/>
      <c r="F91" s="2246"/>
      <c r="G91" s="2246"/>
      <c r="H91" s="2246"/>
      <c r="I91" s="2246"/>
      <c r="J91" s="2308"/>
      <c r="K91" s="2068"/>
      <c r="L91" s="2068"/>
      <c r="M91" s="2068"/>
      <c r="N91" s="2068"/>
      <c r="Q91" s="3058"/>
      <c r="R91" s="3058"/>
      <c r="S91" s="3058"/>
      <c r="T91" s="3058"/>
      <c r="U91" s="3058"/>
      <c r="V91" s="3058"/>
      <c r="W91" s="3058"/>
    </row>
    <row r="92" spans="1:33">
      <c r="A92" s="3719"/>
      <c r="B92" s="3719"/>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720" t="s">
        <v>2680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721"/>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721"/>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721"/>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721"/>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721"/>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721"/>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722"/>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720" t="s">
        <v>2681</v>
      </c>
      <c r="B101" s="2313" t="s">
        <v>2682</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8"/>
      <c r="R101" s="3058"/>
      <c r="S101" s="3058"/>
      <c r="T101" s="3058"/>
      <c r="U101" s="3058"/>
      <c r="V101" s="3058"/>
      <c r="W101" s="3058"/>
    </row>
    <row r="102" spans="1:23">
      <c r="A102" s="3721"/>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721"/>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721"/>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721"/>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721"/>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721"/>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721"/>
      <c r="B108" s="3723" t="s">
        <v>2683</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722"/>
      <c r="B109" s="3724"/>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718" t="s">
        <v>2684</v>
      </c>
      <c r="B110" s="3718"/>
      <c r="C110" s="3718"/>
      <c r="D110" s="3718"/>
      <c r="E110" s="3718"/>
      <c r="F110" s="3718"/>
      <c r="G110" s="3718"/>
      <c r="H110" s="3718"/>
      <c r="I110" s="3718"/>
      <c r="J110" s="3718"/>
      <c r="K110" s="2080"/>
      <c r="L110" s="2080"/>
      <c r="M110" s="2080"/>
      <c r="N110" s="2080"/>
      <c r="Q110" s="3058"/>
      <c r="R110" s="3058"/>
      <c r="S110" s="3058"/>
      <c r="T110" s="3058"/>
      <c r="U110" s="3058"/>
      <c r="V110" s="3058"/>
      <c r="W110" s="3058"/>
    </row>
    <row r="112" spans="1:23" ht="13.5" thickBot="1"/>
    <row r="113" spans="1:13" ht="25.5" thickBot="1">
      <c r="A113" s="2315" t="s">
        <v>2685</v>
      </c>
      <c r="B113" s="2316">
        <f>G3</f>
        <v>0</v>
      </c>
      <c r="C113" s="2317" t="s">
        <v>2686</v>
      </c>
      <c r="D113" s="2318">
        <f>SUMPRODUCT((A115:A118=F113)*(B114:M114=H113)*B115:M118)</f>
        <v>0.87480000000000002</v>
      </c>
      <c r="E113" s="1602" t="s">
        <v>2572</v>
      </c>
      <c r="F113" s="2319" t="str">
        <f>E2</f>
        <v>住宅</v>
      </c>
      <c r="G113" s="1602" t="s">
        <v>2506</v>
      </c>
      <c r="H113" s="2319" t="str">
        <f>G2</f>
        <v>三级</v>
      </c>
      <c r="I113" s="1602"/>
      <c r="J113" s="2320"/>
      <c r="K113" s="2320"/>
      <c r="L113" s="2320"/>
      <c r="M113" s="2320"/>
    </row>
    <row r="114" spans="1:13">
      <c r="A114" s="2321"/>
      <c r="B114" s="2322" t="s">
        <v>2687</v>
      </c>
      <c r="C114" s="2322" t="s">
        <v>2688</v>
      </c>
      <c r="D114" s="2322" t="s">
        <v>2689</v>
      </c>
      <c r="E114" s="2323" t="s">
        <v>2690</v>
      </c>
      <c r="F114" s="2323" t="s">
        <v>2691</v>
      </c>
      <c r="G114" s="2323" t="s">
        <v>2692</v>
      </c>
      <c r="H114" s="2324" t="s">
        <v>2693</v>
      </c>
      <c r="I114" s="2324" t="s">
        <v>2694</v>
      </c>
      <c r="J114" s="2325" t="s">
        <v>2695</v>
      </c>
      <c r="K114" s="2325" t="s">
        <v>2696</v>
      </c>
      <c r="L114" s="2325" t="s">
        <v>2697</v>
      </c>
      <c r="M114" s="2326" t="s">
        <v>2698</v>
      </c>
    </row>
    <row r="115" spans="1:13">
      <c r="A115" s="2327" t="s">
        <v>2573</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2574</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2575</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2576</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40" t="s">
        <v>779</v>
      </c>
      <c r="B1" s="374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40" t="s">
        <v>105</v>
      </c>
      <c r="B1" s="3740"/>
      <c r="C1" s="3740"/>
      <c r="D1" s="3740"/>
      <c r="E1" s="3740"/>
      <c r="F1" s="374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41" t="s">
        <v>118</v>
      </c>
      <c r="B2" s="3741"/>
      <c r="C2" s="3741"/>
      <c r="D2" s="3741"/>
      <c r="E2" s="3741"/>
      <c r="F2" s="374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4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4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44" t="s">
        <v>132</v>
      </c>
      <c r="B18" s="768" t="s">
        <v>517</v>
      </c>
      <c r="C18" s="769" t="s">
        <v>518</v>
      </c>
      <c r="D18" s="770"/>
      <c r="E18" s="768">
        <v>1</v>
      </c>
      <c r="F18" s="771" t="s">
        <v>519</v>
      </c>
      <c r="G18" s="772"/>
      <c r="H18" s="764"/>
      <c r="I18" s="764"/>
    </row>
    <row r="19" spans="1:9" s="773" customFormat="1" ht="19.5" customHeight="1">
      <c r="A19" s="3744"/>
      <c r="B19" s="3744" t="s">
        <v>520</v>
      </c>
      <c r="C19" s="769" t="s">
        <v>521</v>
      </c>
      <c r="D19" s="770"/>
      <c r="E19" s="768">
        <v>0.9</v>
      </c>
      <c r="F19" s="771" t="s">
        <v>522</v>
      </c>
      <c r="G19" s="772"/>
      <c r="H19" s="764"/>
      <c r="I19" s="764"/>
    </row>
    <row r="20" spans="1:9" s="773" customFormat="1" ht="19.5" customHeight="1">
      <c r="A20" s="3744"/>
      <c r="B20" s="3744"/>
      <c r="C20" s="769" t="s">
        <v>523</v>
      </c>
      <c r="D20" s="770"/>
      <c r="E20" s="768">
        <v>1.1000000000000001</v>
      </c>
      <c r="F20" s="771" t="s">
        <v>524</v>
      </c>
      <c r="G20" s="772"/>
      <c r="H20" s="764"/>
      <c r="I20" s="764"/>
    </row>
    <row r="21" spans="1:9" s="773" customFormat="1" ht="19.5" customHeight="1">
      <c r="A21" s="3744"/>
      <c r="B21" s="3744"/>
      <c r="C21" s="769" t="s">
        <v>525</v>
      </c>
      <c r="D21" s="770"/>
      <c r="E21" s="768">
        <v>0.8</v>
      </c>
      <c r="F21" s="771" t="s">
        <v>526</v>
      </c>
      <c r="G21" s="772"/>
      <c r="H21" s="764"/>
      <c r="I21" s="764"/>
    </row>
    <row r="22" spans="1:9" s="773" customFormat="1" ht="19.5" customHeight="1">
      <c r="A22" s="3744"/>
      <c r="B22" s="3744"/>
      <c r="C22" s="769" t="s">
        <v>527</v>
      </c>
      <c r="D22" s="770"/>
      <c r="E22" s="768">
        <v>0.5</v>
      </c>
      <c r="F22" s="771"/>
      <c r="G22" s="772"/>
      <c r="H22" s="764"/>
      <c r="I22" s="764"/>
    </row>
    <row r="23" spans="1:9" s="773" customFormat="1" ht="19.5" customHeight="1">
      <c r="A23" s="3744" t="s">
        <v>133</v>
      </c>
      <c r="B23" s="768" t="s">
        <v>517</v>
      </c>
      <c r="C23" s="769" t="s">
        <v>528</v>
      </c>
      <c r="D23" s="770"/>
      <c r="E23" s="768">
        <v>1</v>
      </c>
      <c r="F23" s="771" t="s">
        <v>529</v>
      </c>
      <c r="G23" s="772"/>
      <c r="H23" s="764"/>
      <c r="I23" s="764"/>
    </row>
    <row r="24" spans="1:9" s="773" customFormat="1" ht="19.5" customHeight="1">
      <c r="A24" s="3744"/>
      <c r="B24" s="3744" t="s">
        <v>520</v>
      </c>
      <c r="C24" s="769" t="s">
        <v>530</v>
      </c>
      <c r="D24" s="770"/>
      <c r="E24" s="768">
        <v>0.5</v>
      </c>
      <c r="F24" s="771"/>
      <c r="G24" s="772"/>
      <c r="H24" s="764"/>
      <c r="I24" s="764"/>
    </row>
    <row r="25" spans="1:9" s="773" customFormat="1" ht="19.5" customHeight="1">
      <c r="A25" s="3744"/>
      <c r="B25" s="3744"/>
      <c r="C25" s="769" t="s">
        <v>531</v>
      </c>
      <c r="D25" s="770"/>
      <c r="E25" s="768">
        <v>1.1000000000000001</v>
      </c>
      <c r="F25" s="771"/>
      <c r="G25" s="772"/>
      <c r="H25" s="764"/>
      <c r="I25" s="764"/>
    </row>
    <row r="26" spans="1:9" s="773" customFormat="1" ht="19.5" customHeight="1">
      <c r="A26" s="3744"/>
      <c r="B26" s="3744"/>
      <c r="C26" s="769" t="s">
        <v>532</v>
      </c>
      <c r="D26" s="770"/>
      <c r="E26" s="768">
        <v>1.1000000000000001</v>
      </c>
      <c r="F26" s="771"/>
      <c r="G26" s="772"/>
      <c r="H26" s="764"/>
      <c r="I26" s="764"/>
    </row>
    <row r="27" spans="1:9" s="773" customFormat="1" ht="19.5" customHeight="1">
      <c r="A27" s="3744"/>
      <c r="B27" s="3744"/>
      <c r="C27" s="769" t="s">
        <v>533</v>
      </c>
      <c r="D27" s="770"/>
      <c r="E27" s="768">
        <v>0.9</v>
      </c>
      <c r="F27" s="771" t="s">
        <v>534</v>
      </c>
      <c r="G27" s="772"/>
      <c r="H27" s="764"/>
      <c r="I27" s="764"/>
    </row>
    <row r="28" spans="1:9" s="773" customFormat="1" ht="19.5" customHeight="1">
      <c r="A28" s="3744"/>
      <c r="B28" s="3744"/>
      <c r="C28" s="769" t="s">
        <v>535</v>
      </c>
      <c r="D28" s="770"/>
      <c r="E28" s="768">
        <v>0.9</v>
      </c>
      <c r="F28" s="771" t="s">
        <v>536</v>
      </c>
      <c r="G28" s="772"/>
      <c r="H28" s="764"/>
      <c r="I28" s="764"/>
    </row>
    <row r="29" spans="1:9" s="773" customFormat="1" ht="19.5" customHeight="1">
      <c r="A29" s="3744"/>
      <c r="B29" s="3744"/>
      <c r="C29" s="769" t="s">
        <v>537</v>
      </c>
      <c r="D29" s="770"/>
      <c r="E29" s="768">
        <v>0.9</v>
      </c>
      <c r="F29" s="771" t="s">
        <v>538</v>
      </c>
      <c r="G29" s="772"/>
      <c r="H29" s="764"/>
      <c r="I29" s="764"/>
    </row>
    <row r="30" spans="1:9" s="773" customFormat="1" ht="19.5" customHeight="1">
      <c r="A30" s="3744"/>
      <c r="B30" s="3744"/>
      <c r="C30" s="769" t="s">
        <v>539</v>
      </c>
      <c r="D30" s="770"/>
      <c r="E30" s="768">
        <v>0.9</v>
      </c>
      <c r="F30" s="771" t="s">
        <v>540</v>
      </c>
      <c r="G30" s="772"/>
      <c r="H30" s="764"/>
      <c r="I30" s="764"/>
    </row>
    <row r="31" spans="1:9" s="773" customFormat="1" ht="19.5" customHeight="1">
      <c r="A31" s="3744"/>
      <c r="B31" s="3744"/>
      <c r="C31" s="769" t="s">
        <v>541</v>
      </c>
      <c r="D31" s="770"/>
      <c r="E31" s="768">
        <v>0.8</v>
      </c>
      <c r="F31" s="771" t="s">
        <v>542</v>
      </c>
      <c r="G31" s="772"/>
      <c r="H31" s="764"/>
      <c r="I31" s="764"/>
    </row>
    <row r="32" spans="1:9" s="773" customFormat="1" ht="19.5" customHeight="1">
      <c r="A32" s="3744"/>
      <c r="B32" s="3744"/>
      <c r="C32" s="769" t="s">
        <v>543</v>
      </c>
      <c r="D32" s="770"/>
      <c r="E32" s="768">
        <v>0.8</v>
      </c>
      <c r="F32" s="771" t="s">
        <v>544</v>
      </c>
      <c r="G32" s="772"/>
      <c r="H32" s="764"/>
      <c r="I32" s="764"/>
    </row>
    <row r="33" spans="1:9" s="773" customFormat="1" ht="19.5" customHeight="1">
      <c r="A33" s="3744" t="s">
        <v>134</v>
      </c>
      <c r="B33" s="768" t="s">
        <v>517</v>
      </c>
      <c r="C33" s="769" t="s">
        <v>545</v>
      </c>
      <c r="D33" s="770"/>
      <c r="E33" s="768">
        <v>1</v>
      </c>
      <c r="F33" s="771" t="s">
        <v>546</v>
      </c>
      <c r="G33" s="772"/>
      <c r="H33" s="764"/>
      <c r="I33" s="764"/>
    </row>
    <row r="34" spans="1:9" s="773" customFormat="1" ht="19.5" customHeight="1">
      <c r="A34" s="3744"/>
      <c r="B34" s="768" t="s">
        <v>520</v>
      </c>
      <c r="C34" s="769" t="s">
        <v>547</v>
      </c>
      <c r="D34" s="770"/>
      <c r="E34" s="768">
        <v>1.5</v>
      </c>
      <c r="F34" s="771" t="s">
        <v>548</v>
      </c>
      <c r="G34" s="772"/>
      <c r="H34" s="764"/>
      <c r="I34" s="764"/>
    </row>
    <row r="35" spans="1:9" s="773" customFormat="1" ht="19.5" customHeight="1">
      <c r="A35" s="3744" t="s">
        <v>135</v>
      </c>
      <c r="B35" s="768" t="s">
        <v>517</v>
      </c>
      <c r="C35" s="769" t="s">
        <v>549</v>
      </c>
      <c r="D35" s="770"/>
      <c r="E35" s="768">
        <v>1</v>
      </c>
      <c r="F35" s="771" t="s">
        <v>550</v>
      </c>
      <c r="G35" s="772"/>
      <c r="H35" s="764"/>
      <c r="I35" s="764"/>
    </row>
    <row r="36" spans="1:9" s="773" customFormat="1" ht="19.5" customHeight="1">
      <c r="A36" s="3744"/>
      <c r="B36" s="3744" t="s">
        <v>520</v>
      </c>
      <c r="C36" s="769" t="s">
        <v>551</v>
      </c>
      <c r="D36" s="770"/>
      <c r="E36" s="768">
        <v>1</v>
      </c>
      <c r="F36" s="771" t="s">
        <v>552</v>
      </c>
      <c r="G36" s="772"/>
      <c r="H36" s="764"/>
      <c r="I36" s="764"/>
    </row>
    <row r="37" spans="1:9" s="773" customFormat="1" ht="19.5" customHeight="1">
      <c r="A37" s="3744"/>
      <c r="B37" s="3744"/>
      <c r="C37" s="769" t="s">
        <v>553</v>
      </c>
      <c r="D37" s="770"/>
      <c r="E37" s="768">
        <v>1.5</v>
      </c>
      <c r="F37" s="771" t="s">
        <v>554</v>
      </c>
      <c r="G37" s="772"/>
      <c r="H37" s="764"/>
      <c r="I37" s="764"/>
    </row>
    <row r="38" spans="1:9" s="773" customFormat="1" ht="19.5" customHeight="1">
      <c r="A38" s="3744"/>
      <c r="B38" s="3744"/>
      <c r="C38" s="769" t="s">
        <v>555</v>
      </c>
      <c r="D38" s="770"/>
      <c r="E38" s="768">
        <v>1</v>
      </c>
      <c r="F38" s="771" t="s">
        <v>556</v>
      </c>
      <c r="G38" s="772"/>
      <c r="H38" s="764"/>
      <c r="I38" s="764"/>
    </row>
    <row r="39" spans="1:9" s="773" customFormat="1" ht="19.5" customHeight="1">
      <c r="A39" s="3744"/>
      <c r="B39" s="374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44" t="s">
        <v>571</v>
      </c>
      <c r="C61" s="682" t="s">
        <v>572</v>
      </c>
      <c r="D61" s="682" t="s">
        <v>573</v>
      </c>
      <c r="E61" s="781">
        <v>0.5</v>
      </c>
      <c r="F61" s="768">
        <v>80</v>
      </c>
    </row>
    <row r="62" spans="1:8" s="764" customFormat="1" ht="24">
      <c r="A62" s="768">
        <v>2</v>
      </c>
      <c r="B62" s="3744"/>
      <c r="C62" s="682" t="s">
        <v>574</v>
      </c>
      <c r="D62" s="682" t="s">
        <v>575</v>
      </c>
      <c r="E62" s="781">
        <v>0.5</v>
      </c>
      <c r="F62" s="768">
        <v>80</v>
      </c>
    </row>
    <row r="63" spans="1:8" s="764" customFormat="1" ht="36">
      <c r="A63" s="768">
        <v>3</v>
      </c>
      <c r="B63" s="3744"/>
      <c r="C63" s="682" t="s">
        <v>576</v>
      </c>
      <c r="D63" s="682" t="s">
        <v>577</v>
      </c>
      <c r="E63" s="781">
        <v>0.5</v>
      </c>
      <c r="F63" s="768">
        <v>80</v>
      </c>
    </row>
    <row r="64" spans="1:8" s="764" customFormat="1" ht="36">
      <c r="A64" s="768">
        <v>4</v>
      </c>
      <c r="B64" s="3744"/>
      <c r="C64" s="682" t="s">
        <v>578</v>
      </c>
      <c r="D64" s="682" t="s">
        <v>579</v>
      </c>
      <c r="E64" s="781">
        <v>0.4</v>
      </c>
      <c r="F64" s="768">
        <v>60</v>
      </c>
    </row>
    <row r="65" spans="1:6" s="764" customFormat="1" ht="36">
      <c r="A65" s="768">
        <v>5</v>
      </c>
      <c r="B65" s="3744"/>
      <c r="C65" s="682" t="s">
        <v>580</v>
      </c>
      <c r="D65" s="682" t="s">
        <v>581</v>
      </c>
      <c r="E65" s="781">
        <v>0.2</v>
      </c>
      <c r="F65" s="768">
        <v>30</v>
      </c>
    </row>
    <row r="66" spans="1:6" s="764" customFormat="1" ht="36">
      <c r="A66" s="768">
        <v>6</v>
      </c>
      <c r="B66" s="3744"/>
      <c r="C66" s="682" t="s">
        <v>582</v>
      </c>
      <c r="D66" s="682" t="s">
        <v>583</v>
      </c>
      <c r="E66" s="781">
        <v>0.3</v>
      </c>
      <c r="F66" s="768">
        <v>50</v>
      </c>
    </row>
    <row r="67" spans="1:6" s="764" customFormat="1" ht="36">
      <c r="A67" s="768">
        <v>7</v>
      </c>
      <c r="B67" s="3744"/>
      <c r="C67" s="682" t="s">
        <v>584</v>
      </c>
      <c r="D67" s="682" t="s">
        <v>585</v>
      </c>
      <c r="E67" s="781">
        <v>0.2</v>
      </c>
      <c r="F67" s="768">
        <v>30</v>
      </c>
    </row>
    <row r="68" spans="1:6" s="764" customFormat="1" ht="36">
      <c r="A68" s="768">
        <v>8</v>
      </c>
      <c r="B68" s="3744"/>
      <c r="C68" s="682" t="s">
        <v>586</v>
      </c>
      <c r="D68" s="682" t="s">
        <v>587</v>
      </c>
      <c r="E68" s="781">
        <v>0.2</v>
      </c>
      <c r="F68" s="768">
        <v>30</v>
      </c>
    </row>
    <row r="69" spans="1:6" s="764" customFormat="1" ht="36">
      <c r="A69" s="768">
        <v>9</v>
      </c>
      <c r="B69" s="3744"/>
      <c r="C69" s="682" t="s">
        <v>588</v>
      </c>
      <c r="D69" s="682" t="s">
        <v>589</v>
      </c>
      <c r="E69" s="781">
        <v>0.2</v>
      </c>
      <c r="F69" s="768">
        <v>30</v>
      </c>
    </row>
    <row r="70" spans="1:6" s="764" customFormat="1" ht="48">
      <c r="A70" s="768">
        <v>10</v>
      </c>
      <c r="B70" s="3744"/>
      <c r="C70" s="682" t="s">
        <v>590</v>
      </c>
      <c r="D70" s="682" t="s">
        <v>591</v>
      </c>
      <c r="E70" s="781">
        <v>0.2</v>
      </c>
      <c r="F70" s="768">
        <v>30</v>
      </c>
    </row>
    <row r="71" spans="1:6" s="764" customFormat="1" ht="48">
      <c r="A71" s="768">
        <v>11</v>
      </c>
      <c r="B71" s="3744"/>
      <c r="C71" s="682" t="s">
        <v>592</v>
      </c>
      <c r="D71" s="682" t="s">
        <v>593</v>
      </c>
      <c r="E71" s="781">
        <v>0.2</v>
      </c>
      <c r="F71" s="768">
        <v>30</v>
      </c>
    </row>
    <row r="72" spans="1:6" s="764" customFormat="1" ht="36">
      <c r="A72" s="768">
        <v>12</v>
      </c>
      <c r="B72" s="3744"/>
      <c r="C72" s="682" t="s">
        <v>594</v>
      </c>
      <c r="D72" s="682" t="s">
        <v>595</v>
      </c>
      <c r="E72" s="781">
        <v>0.5</v>
      </c>
      <c r="F72" s="768">
        <v>80</v>
      </c>
    </row>
    <row r="73" spans="1:6" s="764" customFormat="1" ht="24">
      <c r="A73" s="768">
        <v>13</v>
      </c>
      <c r="B73" s="3744"/>
      <c r="C73" s="682" t="s">
        <v>596</v>
      </c>
      <c r="D73" s="682" t="s">
        <v>597</v>
      </c>
      <c r="E73" s="781">
        <v>0.4</v>
      </c>
      <c r="F73" s="768">
        <v>60</v>
      </c>
    </row>
    <row r="74" spans="1:6" s="764" customFormat="1" ht="24">
      <c r="A74" s="768">
        <v>14</v>
      </c>
      <c r="B74" s="3744"/>
      <c r="C74" s="682" t="s">
        <v>598</v>
      </c>
      <c r="D74" s="682" t="s">
        <v>599</v>
      </c>
      <c r="E74" s="781">
        <v>0.2</v>
      </c>
      <c r="F74" s="768">
        <v>30</v>
      </c>
    </row>
    <row r="75" spans="1:6" s="764" customFormat="1" ht="24">
      <c r="A75" s="768">
        <v>15</v>
      </c>
      <c r="B75" s="3744"/>
      <c r="C75" s="682" t="s">
        <v>600</v>
      </c>
      <c r="D75" s="682" t="s">
        <v>601</v>
      </c>
      <c r="E75" s="781">
        <v>0.2</v>
      </c>
      <c r="F75" s="768">
        <v>30</v>
      </c>
    </row>
    <row r="76" spans="1:6" s="764" customFormat="1" ht="24">
      <c r="A76" s="768">
        <v>16</v>
      </c>
      <c r="B76" s="3744" t="s">
        <v>602</v>
      </c>
      <c r="C76" s="682" t="s">
        <v>603</v>
      </c>
      <c r="D76" s="682" t="s">
        <v>604</v>
      </c>
      <c r="E76" s="781">
        <v>0.5</v>
      </c>
      <c r="F76" s="768">
        <v>80</v>
      </c>
    </row>
    <row r="77" spans="1:6" s="764" customFormat="1" ht="24">
      <c r="A77" s="768">
        <v>17</v>
      </c>
      <c r="B77" s="3744"/>
      <c r="C77" s="682" t="s">
        <v>605</v>
      </c>
      <c r="D77" s="682" t="s">
        <v>606</v>
      </c>
      <c r="E77" s="781">
        <v>0.5</v>
      </c>
      <c r="F77" s="768">
        <v>80</v>
      </c>
    </row>
    <row r="78" spans="1:6" s="764" customFormat="1" ht="24">
      <c r="A78" s="768">
        <v>18</v>
      </c>
      <c r="B78" s="3744"/>
      <c r="C78" s="682" t="s">
        <v>607</v>
      </c>
      <c r="D78" s="682" t="s">
        <v>608</v>
      </c>
      <c r="E78" s="781">
        <v>0.2</v>
      </c>
      <c r="F78" s="768">
        <v>30</v>
      </c>
    </row>
    <row r="79" spans="1:6" s="764" customFormat="1" ht="24">
      <c r="A79" s="768">
        <v>19</v>
      </c>
      <c r="B79" s="3744"/>
      <c r="C79" s="682" t="s">
        <v>609</v>
      </c>
      <c r="D79" s="682" t="s">
        <v>610</v>
      </c>
      <c r="E79" s="781">
        <v>0.5</v>
      </c>
      <c r="F79" s="768">
        <v>80</v>
      </c>
    </row>
    <row r="80" spans="1:6" s="764" customFormat="1" ht="36">
      <c r="A80" s="768">
        <v>20</v>
      </c>
      <c r="B80" s="3744"/>
      <c r="C80" s="682" t="s">
        <v>611</v>
      </c>
      <c r="D80" s="682" t="s">
        <v>612</v>
      </c>
      <c r="E80" s="781">
        <v>0.2</v>
      </c>
      <c r="F80" s="768">
        <v>30</v>
      </c>
    </row>
    <row r="81" spans="1:6" s="764" customFormat="1" ht="36">
      <c r="A81" s="768">
        <v>21</v>
      </c>
      <c r="B81" s="3744"/>
      <c r="C81" s="682" t="s">
        <v>613</v>
      </c>
      <c r="D81" s="682" t="s">
        <v>614</v>
      </c>
      <c r="E81" s="781">
        <v>0.2</v>
      </c>
      <c r="F81" s="768">
        <v>30</v>
      </c>
    </row>
    <row r="82" spans="1:6" s="764" customFormat="1" ht="48">
      <c r="A82" s="768">
        <v>22</v>
      </c>
      <c r="B82" s="3744"/>
      <c r="C82" s="682" t="s">
        <v>615</v>
      </c>
      <c r="D82" s="682" t="s">
        <v>616</v>
      </c>
      <c r="E82" s="781">
        <v>0.2</v>
      </c>
      <c r="F82" s="768">
        <v>30</v>
      </c>
    </row>
    <row r="83" spans="1:6" s="764" customFormat="1" ht="48">
      <c r="A83" s="768">
        <v>23</v>
      </c>
      <c r="B83" s="3744"/>
      <c r="C83" s="682" t="s">
        <v>617</v>
      </c>
      <c r="D83" s="682" t="s">
        <v>618</v>
      </c>
      <c r="E83" s="781">
        <v>0.2</v>
      </c>
      <c r="F83" s="768">
        <v>30</v>
      </c>
    </row>
    <row r="84" spans="1:6" s="764" customFormat="1" ht="36">
      <c r="A84" s="768">
        <v>24</v>
      </c>
      <c r="B84" s="3744"/>
      <c r="C84" s="682" t="s">
        <v>619</v>
      </c>
      <c r="D84" s="682" t="s">
        <v>620</v>
      </c>
      <c r="E84" s="781">
        <v>0.2</v>
      </c>
      <c r="F84" s="768">
        <v>30</v>
      </c>
    </row>
    <row r="85" spans="1:6" s="764" customFormat="1" ht="36">
      <c r="A85" s="768">
        <v>25</v>
      </c>
      <c r="B85" s="3744"/>
      <c r="C85" s="682" t="s">
        <v>621</v>
      </c>
      <c r="D85" s="682" t="s">
        <v>622</v>
      </c>
      <c r="E85" s="781">
        <v>0.5</v>
      </c>
      <c r="F85" s="768">
        <v>80</v>
      </c>
    </row>
    <row r="86" spans="1:6" s="764" customFormat="1" ht="36">
      <c r="A86" s="768">
        <v>26</v>
      </c>
      <c r="B86" s="3744"/>
      <c r="C86" s="682" t="s">
        <v>623</v>
      </c>
      <c r="D86" s="682" t="s">
        <v>624</v>
      </c>
      <c r="E86" s="781">
        <v>0.2</v>
      </c>
      <c r="F86" s="768">
        <v>30</v>
      </c>
    </row>
    <row r="87" spans="1:6" s="764" customFormat="1" ht="36">
      <c r="A87" s="768">
        <v>27</v>
      </c>
      <c r="B87" s="3744"/>
      <c r="C87" s="682" t="s">
        <v>625</v>
      </c>
      <c r="D87" s="682" t="s">
        <v>626</v>
      </c>
      <c r="E87" s="781">
        <v>0.2</v>
      </c>
      <c r="F87" s="768">
        <v>30</v>
      </c>
    </row>
    <row r="88" spans="1:6" s="764" customFormat="1" ht="36">
      <c r="A88" s="768">
        <v>28</v>
      </c>
      <c r="B88" s="3744"/>
      <c r="C88" s="682" t="s">
        <v>627</v>
      </c>
      <c r="D88" s="682" t="s">
        <v>628</v>
      </c>
      <c r="E88" s="781">
        <v>0.2</v>
      </c>
      <c r="F88" s="768">
        <v>30</v>
      </c>
    </row>
    <row r="89" spans="1:6" s="764" customFormat="1" ht="24">
      <c r="A89" s="768">
        <v>29</v>
      </c>
      <c r="B89" s="3744"/>
      <c r="C89" s="682" t="s">
        <v>629</v>
      </c>
      <c r="D89" s="682" t="s">
        <v>630</v>
      </c>
      <c r="E89" s="781">
        <v>0.2</v>
      </c>
      <c r="F89" s="768">
        <v>30</v>
      </c>
    </row>
    <row r="90" spans="1:6" s="764" customFormat="1" ht="24">
      <c r="A90" s="768">
        <v>30</v>
      </c>
      <c r="B90" s="3744"/>
      <c r="C90" s="682" t="s">
        <v>631</v>
      </c>
      <c r="D90" s="682" t="s">
        <v>632</v>
      </c>
      <c r="E90" s="781">
        <v>0.2</v>
      </c>
      <c r="F90" s="768">
        <v>30</v>
      </c>
    </row>
    <row r="91" spans="1:6" s="764" customFormat="1" ht="36">
      <c r="A91" s="768">
        <v>31</v>
      </c>
      <c r="B91" s="3744"/>
      <c r="C91" s="682" t="s">
        <v>633</v>
      </c>
      <c r="D91" s="682" t="s">
        <v>634</v>
      </c>
      <c r="E91" s="781">
        <v>0.2</v>
      </c>
      <c r="F91" s="768">
        <v>30</v>
      </c>
    </row>
    <row r="92" spans="1:6" s="764" customFormat="1" ht="24">
      <c r="A92" s="768">
        <v>32</v>
      </c>
      <c r="B92" s="3744" t="s">
        <v>635</v>
      </c>
      <c r="C92" s="768" t="s">
        <v>636</v>
      </c>
      <c r="D92" s="682" t="s">
        <v>637</v>
      </c>
      <c r="E92" s="781">
        <v>0.2</v>
      </c>
      <c r="F92" s="768">
        <v>30</v>
      </c>
    </row>
    <row r="93" spans="1:6" s="764" customFormat="1" ht="36">
      <c r="A93" s="768">
        <v>33</v>
      </c>
      <c r="B93" s="3744"/>
      <c r="C93" s="768" t="s">
        <v>638</v>
      </c>
      <c r="D93" s="682" t="s">
        <v>639</v>
      </c>
      <c r="E93" s="781">
        <v>0.2</v>
      </c>
      <c r="F93" s="768">
        <v>30</v>
      </c>
    </row>
    <row r="94" spans="1:6" s="764" customFormat="1" ht="48">
      <c r="A94" s="768">
        <v>34</v>
      </c>
      <c r="B94" s="3744"/>
      <c r="C94" s="768" t="s">
        <v>640</v>
      </c>
      <c r="D94" s="682" t="s">
        <v>641</v>
      </c>
      <c r="E94" s="781">
        <v>0.2</v>
      </c>
      <c r="F94" s="768">
        <v>30</v>
      </c>
    </row>
    <row r="95" spans="1:6" s="764" customFormat="1" ht="36">
      <c r="A95" s="768">
        <v>35</v>
      </c>
      <c r="B95" s="3744"/>
      <c r="C95" s="768" t="s">
        <v>642</v>
      </c>
      <c r="D95" s="682" t="s">
        <v>643</v>
      </c>
      <c r="E95" s="781">
        <v>0.2</v>
      </c>
      <c r="F95" s="768">
        <v>30</v>
      </c>
    </row>
    <row r="96" spans="1:6" s="764" customFormat="1" ht="48">
      <c r="A96" s="768">
        <v>36</v>
      </c>
      <c r="B96" s="3744"/>
      <c r="C96" s="682" t="s">
        <v>644</v>
      </c>
      <c r="D96" s="682" t="s">
        <v>645</v>
      </c>
      <c r="E96" s="781">
        <v>0.2</v>
      </c>
      <c r="F96" s="768">
        <v>30</v>
      </c>
    </row>
    <row r="97" spans="1:6" s="764" customFormat="1" ht="36">
      <c r="A97" s="768">
        <v>37</v>
      </c>
      <c r="B97" s="3744"/>
      <c r="C97" s="768" t="s">
        <v>646</v>
      </c>
      <c r="D97" s="682" t="s">
        <v>647</v>
      </c>
      <c r="E97" s="781">
        <v>0.2</v>
      </c>
      <c r="F97" s="768">
        <v>30</v>
      </c>
    </row>
    <row r="98" spans="1:6" s="764" customFormat="1" ht="36">
      <c r="A98" s="768">
        <v>38</v>
      </c>
      <c r="B98" s="3744"/>
      <c r="C98" s="768" t="s">
        <v>648</v>
      </c>
      <c r="D98" s="682" t="s">
        <v>649</v>
      </c>
      <c r="E98" s="781">
        <v>0.2</v>
      </c>
      <c r="F98" s="768">
        <v>30</v>
      </c>
    </row>
    <row r="99" spans="1:6" s="764" customFormat="1" ht="36">
      <c r="A99" s="768">
        <v>39</v>
      </c>
      <c r="B99" s="3744" t="s">
        <v>650</v>
      </c>
      <c r="C99" s="768" t="s">
        <v>651</v>
      </c>
      <c r="D99" s="682" t="s">
        <v>652</v>
      </c>
      <c r="E99" s="781">
        <v>0.3</v>
      </c>
      <c r="F99" s="768">
        <v>50</v>
      </c>
    </row>
    <row r="100" spans="1:6" s="764" customFormat="1" ht="24">
      <c r="A100" s="768">
        <v>40</v>
      </c>
      <c r="B100" s="3744"/>
      <c r="C100" s="768" t="s">
        <v>653</v>
      </c>
      <c r="D100" s="682" t="s">
        <v>654</v>
      </c>
      <c r="E100" s="781">
        <v>0.2</v>
      </c>
      <c r="F100" s="768">
        <v>30</v>
      </c>
    </row>
    <row r="101" spans="1:6" s="764" customFormat="1" ht="36">
      <c r="A101" s="768">
        <v>41</v>
      </c>
      <c r="B101" s="374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44" t="s">
        <v>665</v>
      </c>
      <c r="C105" s="768" t="s">
        <v>666</v>
      </c>
      <c r="D105" s="682" t="s">
        <v>667</v>
      </c>
      <c r="E105" s="781">
        <v>0.2</v>
      </c>
      <c r="F105" s="768">
        <v>30</v>
      </c>
    </row>
    <row r="106" spans="1:6" s="764" customFormat="1" ht="36">
      <c r="A106" s="768">
        <v>46</v>
      </c>
      <c r="B106" s="3744"/>
      <c r="C106" s="768" t="s">
        <v>668</v>
      </c>
      <c r="D106" s="682" t="s">
        <v>669</v>
      </c>
      <c r="E106" s="781">
        <v>0.2</v>
      </c>
      <c r="F106" s="768">
        <v>30</v>
      </c>
    </row>
    <row r="107" spans="1:6" s="764" customFormat="1" ht="36">
      <c r="A107" s="768">
        <v>47</v>
      </c>
      <c r="B107" s="3744" t="s">
        <v>670</v>
      </c>
      <c r="C107" s="768" t="s">
        <v>671</v>
      </c>
      <c r="D107" s="682" t="s">
        <v>672</v>
      </c>
      <c r="E107" s="781">
        <v>0.3</v>
      </c>
      <c r="F107" s="768">
        <v>50</v>
      </c>
    </row>
    <row r="108" spans="1:6" s="764" customFormat="1" ht="36">
      <c r="A108" s="768">
        <v>48</v>
      </c>
      <c r="B108" s="374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44" t="s">
        <v>681</v>
      </c>
      <c r="C111" s="768" t="s">
        <v>682</v>
      </c>
      <c r="D111" s="682" t="s">
        <v>683</v>
      </c>
      <c r="E111" s="781">
        <v>0.2</v>
      </c>
      <c r="F111" s="768">
        <v>30</v>
      </c>
    </row>
    <row r="112" spans="1:6" s="764" customFormat="1" ht="24">
      <c r="A112" s="768">
        <v>52</v>
      </c>
      <c r="B112" s="3744"/>
      <c r="C112" s="768" t="s">
        <v>684</v>
      </c>
      <c r="D112" s="682" t="s">
        <v>685</v>
      </c>
      <c r="E112" s="781">
        <v>0.2</v>
      </c>
      <c r="F112" s="768">
        <v>30</v>
      </c>
    </row>
    <row r="113" spans="1:6" s="764" customFormat="1" ht="24">
      <c r="A113" s="768">
        <v>53</v>
      </c>
      <c r="B113" s="374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44" t="s">
        <v>694</v>
      </c>
      <c r="C116" s="768" t="s">
        <v>695</v>
      </c>
      <c r="D116" s="682" t="s">
        <v>696</v>
      </c>
      <c r="E116" s="781">
        <v>0.2</v>
      </c>
      <c r="F116" s="768">
        <v>30</v>
      </c>
    </row>
    <row r="117" spans="1:6" ht="36">
      <c r="A117" s="768">
        <v>57</v>
      </c>
      <c r="B117" s="374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7"/>
  <sheetViews>
    <sheetView zoomScale="80" zoomScaleNormal="80" workbookViewId="0">
      <selection activeCell="I10" sqref="I1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750" t="s">
        <v>1020</v>
      </c>
      <c r="C1" s="3750"/>
      <c r="D1" s="3750"/>
      <c r="E1" s="3750"/>
      <c r="F1" s="3750"/>
      <c r="G1" s="3749" t="s">
        <v>1021</v>
      </c>
      <c r="H1" s="3749"/>
      <c r="I1" s="3749"/>
      <c r="J1" s="3749"/>
      <c r="K1" s="3749"/>
      <c r="L1" s="3749"/>
      <c r="N1" s="3749" t="s">
        <v>1022</v>
      </c>
      <c r="O1" s="3749"/>
      <c r="P1" s="3749"/>
      <c r="Q1" s="3749"/>
      <c r="S1" s="3749" t="s">
        <v>1023</v>
      </c>
      <c r="T1" s="3749"/>
      <c r="U1" s="3749"/>
      <c r="V1" s="3749"/>
      <c r="X1" s="3748" t="s">
        <v>1024</v>
      </c>
      <c r="Y1" s="3749"/>
      <c r="Z1" s="3749"/>
      <c r="AA1" s="3749"/>
      <c r="AB1" s="3749"/>
      <c r="AD1" s="3748" t="s">
        <v>1025</v>
      </c>
      <c r="AE1" s="3749"/>
      <c r="AF1" s="3749"/>
      <c r="AG1" s="3749"/>
      <c r="AH1" s="3749"/>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2704</v>
      </c>
      <c r="B3" s="2339"/>
      <c r="C3" s="2339"/>
      <c r="D3" s="2340"/>
      <c r="E3" s="2340"/>
      <c r="F3" s="2339"/>
      <c r="G3" s="2341"/>
      <c r="H3" s="2342"/>
      <c r="I3" s="2343">
        <f>ROUND(AVERAGE(I4:I34),2)</f>
        <v>1.69</v>
      </c>
      <c r="J3" s="2343">
        <f>ROUND(AVERAGE(J4:J34),2)</f>
        <v>1.08</v>
      </c>
      <c r="K3" s="2343">
        <f>ROUND(AVERAGE(K4:K34),2)</f>
        <v>1.87</v>
      </c>
      <c r="L3" s="2344">
        <f>ROUND(AVERAGE(L4:L34),2)</f>
        <v>1.24</v>
      </c>
      <c r="N3" s="2341"/>
      <c r="S3" s="2341"/>
      <c r="W3" s="2346"/>
      <c r="X3" s="2347">
        <f>ROUND(SUMPRODUCT(PRODUCT(1+N3:N$33)),4)</f>
        <v>1.6034999999999999</v>
      </c>
      <c r="Y3" s="2347">
        <f>ROUND(SUMPRODUCT(PRODUCT(1+O3:O$33)),4)</f>
        <v>1.3469</v>
      </c>
      <c r="Z3" s="2347">
        <f t="shared" ref="Z3:Z31" si="0">Y3</f>
        <v>1.3469</v>
      </c>
      <c r="AA3" s="2347">
        <f>ROUND(SUMPRODUCT(PRODUCT(1+P3:P$33)),4)</f>
        <v>1.6801999999999999</v>
      </c>
      <c r="AB3" s="2347">
        <f>ROUND(SUMPRODUCT(PRODUCT(1+Q3:Q$33)),4)</f>
        <v>1.4263999999999999</v>
      </c>
      <c r="AD3" s="2348">
        <f>ROUND(AVERAGE(I3:I$34)/100,4)</f>
        <v>1.6899999999999998E-2</v>
      </c>
      <c r="AE3" s="2348">
        <f>ROUND(AVERAGE(J3:J$34)/100,4)</f>
        <v>1.0800000000000001E-2</v>
      </c>
      <c r="AF3" s="2348">
        <f t="shared" ref="AF3:AF22" si="1">AE3</f>
        <v>1.0800000000000001E-2</v>
      </c>
      <c r="AG3" s="2348">
        <f>ROUND(AVERAGE(K3:K$34)/100,4)</f>
        <v>1.8700000000000001E-2</v>
      </c>
      <c r="AH3" s="2348">
        <f>ROUND(AVERAGE(L3:L$34)/100,4)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2893</v>
      </c>
      <c r="B5" s="2358">
        <f t="shared" ref="B5" si="2">B6*(1+N5)</f>
        <v>493.14449689037161</v>
      </c>
      <c r="C5" s="2358">
        <f t="shared" ref="C5" si="3">C6*(1+O5)</f>
        <v>347.21619073020611</v>
      </c>
      <c r="D5" s="2359">
        <f t="shared" ref="D5" si="4">C5</f>
        <v>347.21619073020611</v>
      </c>
      <c r="E5" s="2358">
        <f t="shared" ref="E5" si="5">E6*(1+P5)</f>
        <v>710.55974278763904</v>
      </c>
      <c r="F5" s="2358">
        <f t="shared" ref="F5" si="6">F6*(1+Q5)</f>
        <v>327.94540235306141</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2703</v>
      </c>
      <c r="X5" s="2367">
        <f>ROUND(SUMPRODUCT(PRODUCT(1+N5:N$33)),4)</f>
        <v>1.6034999999999999</v>
      </c>
      <c r="Y5" s="2367">
        <f>ROUND(SUMPRODUCT(PRODUCT(1+O5:O$33)),4)</f>
        <v>1.3469</v>
      </c>
      <c r="Z5" s="2367">
        <f t="shared" ref="Z5" si="11">Y5</f>
        <v>1.3469</v>
      </c>
      <c r="AA5" s="2367">
        <f>ROUND(SUMPRODUCT(PRODUCT(1+P5:P$33)),4)</f>
        <v>1.6801999999999999</v>
      </c>
      <c r="AB5" s="2367">
        <f>ROUND(SUMPRODUCT(PRODUCT(1+Q5:Q$33)),4)</f>
        <v>1.4263999999999999</v>
      </c>
      <c r="AD5" s="2368">
        <f>ROUND(AVERAGE(I5:I$34)/100,4)</f>
        <v>1.6899999999999998E-2</v>
      </c>
      <c r="AE5" s="2368">
        <f>ROUND(AVERAGE(J5:J$34)/100,4)</f>
        <v>1.0800000000000001E-2</v>
      </c>
      <c r="AF5" s="2368">
        <f t="shared" ref="AF5" si="12">AE5</f>
        <v>1.0800000000000001E-2</v>
      </c>
      <c r="AG5" s="2368">
        <f>ROUND(AVERAGE(K5:K$34)/100,4)</f>
        <v>1.8700000000000001E-2</v>
      </c>
      <c r="AH5" s="2368">
        <f>ROUND(AVERAGE(L5:L$34)/100,4)</f>
        <v>1.24E-2</v>
      </c>
    </row>
    <row r="6" spans="1:34" s="2376" customFormat="1" ht="14.45" customHeight="1">
      <c r="A6" s="2369" t="s">
        <v>2892</v>
      </c>
      <c r="B6" s="2370">
        <f t="shared" ref="B6" si="13">B7*(1+N6)</f>
        <v>493.14449689037161</v>
      </c>
      <c r="C6" s="2370">
        <f t="shared" ref="C6" si="14">C7*(1+O6)</f>
        <v>347.21619073020611</v>
      </c>
      <c r="D6" s="2370">
        <f t="shared" ref="D6" si="15">C6</f>
        <v>347.21619073020611</v>
      </c>
      <c r="E6" s="2370">
        <f t="shared" ref="E6" si="16">E7*(1+P6)</f>
        <v>710.55974278763904</v>
      </c>
      <c r="F6" s="2370">
        <f t="shared" ref="F6" si="17">F7*(1+Q6)</f>
        <v>327.94540235306141</v>
      </c>
      <c r="G6" s="3159">
        <v>2021</v>
      </c>
      <c r="H6" s="2371">
        <v>1</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f>B6/B7-1</f>
        <v>0</v>
      </c>
      <c r="T6" s="2375">
        <f>C6/C7-1</f>
        <v>0</v>
      </c>
      <c r="U6" s="2375">
        <f>E6/E7-1</f>
        <v>0</v>
      </c>
      <c r="V6" s="2375">
        <f>F6/F7-1</f>
        <v>0</v>
      </c>
      <c r="W6" s="2373"/>
      <c r="X6" s="2373">
        <f>ROUND(SUMPRODUCT(PRODUCT(1+N6:N$33)),4)</f>
        <v>1.6034999999999999</v>
      </c>
      <c r="Y6" s="2373">
        <f>ROUND(SUMPRODUCT(PRODUCT(1+O6:O$33)),4)</f>
        <v>1.3469</v>
      </c>
      <c r="Z6" s="2373">
        <f t="shared" ref="Z6" si="22">Y6</f>
        <v>1.3469</v>
      </c>
      <c r="AA6" s="2373">
        <f>ROUND(SUMPRODUCT(PRODUCT(1+P6:P$33)),4)</f>
        <v>1.6801999999999999</v>
      </c>
      <c r="AB6" s="2373">
        <f>ROUND(SUMPRODUCT(PRODUCT(1+Q6:Q$33)),4)</f>
        <v>1.4263999999999999</v>
      </c>
      <c r="AC6" s="2373"/>
      <c r="AD6" s="2375">
        <f>ROUND(AVERAGE(I6:I$34)/100,4)</f>
        <v>1.7500000000000002E-2</v>
      </c>
      <c r="AE6" s="2375">
        <f>ROUND(AVERAGE(J6:J$34)/100,4)</f>
        <v>1.12E-2</v>
      </c>
      <c r="AF6" s="2375">
        <f t="shared" ref="AF6" si="23">AE6</f>
        <v>1.12E-2</v>
      </c>
      <c r="AG6" s="2375">
        <f>ROUND(AVERAGE(K6:K$34)/100,4)</f>
        <v>1.9300000000000001E-2</v>
      </c>
      <c r="AH6" s="2375">
        <f>ROUND(AVERAGE(L6:L$34)/100,4)</f>
        <v>1.2800000000000001E-2</v>
      </c>
    </row>
    <row r="7" spans="1:34" s="2376" customFormat="1" ht="14.45" customHeight="1">
      <c r="A7" s="2369" t="s">
        <v>2885</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2884</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2736</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2733</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2731</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2728</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2722</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2723</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2717</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746">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2712</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746"/>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2711</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746"/>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2708</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755"/>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2705</v>
      </c>
      <c r="B19" s="2379">
        <v>439</v>
      </c>
      <c r="C19" s="2379">
        <v>327</v>
      </c>
      <c r="D19" s="2379">
        <f t="shared" si="136"/>
        <v>327</v>
      </c>
      <c r="E19" s="2379">
        <v>627</v>
      </c>
      <c r="F19" s="2380">
        <v>283</v>
      </c>
      <c r="G19" s="3751">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2702</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746"/>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746"/>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755"/>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751">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746"/>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746"/>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747"/>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745">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746"/>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746"/>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747"/>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745">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746"/>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746"/>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747"/>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752">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753"/>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753"/>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754"/>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745">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746"/>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746"/>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747"/>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745">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746">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746">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747">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745">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746">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746">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747">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745">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746">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746">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747">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745">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746">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746">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747">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745">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746">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746">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747">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745">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746">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746">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747">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745">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746">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746">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747">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745">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746">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746">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747">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745">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746">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746">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747">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745">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746">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746">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747">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40065</v>
      </c>
      <c r="D1" s="1293" t="s">
        <v>1173</v>
      </c>
      <c r="E1" s="1299">
        <f>'数据-取费表'!B24</f>
        <v>2</v>
      </c>
      <c r="F1" s="1293" t="s">
        <v>1174</v>
      </c>
      <c r="G1" s="1300">
        <f ca="1">INDIRECT("d"&amp;$K$1)/100</f>
        <v>5.4000000000000006E-2</v>
      </c>
      <c r="H1" s="1293" t="s">
        <v>1204</v>
      </c>
      <c r="I1" s="1300">
        <f ca="1">F4/100</f>
        <v>2.2499999999999999E-2</v>
      </c>
      <c r="J1" s="1294">
        <f>IF(C1&gt;C13,0,MATCH(C1,C$13:C$105,-1))+IF(SUMIF(C13:C105,C1,D13:D105)=0,13,12)</f>
        <v>31</v>
      </c>
      <c r="K1" s="1294">
        <f>MATCH(E1,C3:C7,1)+IF(SUMIF(C3:C7,E1,D3:D7)=0,2,1)</f>
        <v>5</v>
      </c>
      <c r="L1" s="1294">
        <f>IF(C1&gt;M13,0,MATCH(C1,M$13:M$101,-1))+IF(SUMIF(M13:M101,C1,N13:N101)=0,13,12)</f>
        <v>27</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2886</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3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7"/>
      <c r="C2" s="3357"/>
      <c r="D2" s="3357"/>
      <c r="E2" s="3357"/>
    </row>
    <row r="3" spans="1:5" ht="13.5" customHeight="1">
      <c r="A3" s="1362"/>
      <c r="B3" s="1362"/>
      <c r="C3" s="1362"/>
      <c r="D3" s="1362"/>
      <c r="E3" s="1362"/>
    </row>
    <row r="4" spans="1:5" ht="19.5" thickBot="1">
      <c r="A4" s="3358" t="str">
        <f>IF(项目基本情况!D5="房地产市场价值","估价结果一览表（市场价值不需本页表格)","估价结果一览表")</f>
        <v>估价结果一览表</v>
      </c>
      <c r="B4" s="3358"/>
      <c r="C4" s="3358"/>
      <c r="D4" s="3358"/>
      <c r="E4" s="3358"/>
    </row>
    <row r="5" spans="1:5" ht="14.25" customHeight="1" thickTop="1">
      <c r="A5" s="1359"/>
      <c r="B5" s="1363" t="s">
        <v>742</v>
      </c>
      <c r="C5" s="3359" t="s">
        <v>775</v>
      </c>
      <c r="D5" s="3360"/>
      <c r="E5" s="1359"/>
    </row>
    <row r="6" spans="1:5" ht="14.25">
      <c r="A6" s="1359"/>
      <c r="B6" s="1364" t="str">
        <f>项目基本情况!I1</f>
        <v>北京市房地产</v>
      </c>
      <c r="C6" s="3361">
        <f>项目基本情况!C12</f>
        <v>146.78</v>
      </c>
      <c r="D6" s="3361"/>
      <c r="E6" s="1359"/>
    </row>
    <row r="7" spans="1:5" ht="14.25">
      <c r="A7" s="1359"/>
      <c r="B7" s="3355" t="s">
        <v>776</v>
      </c>
      <c r="C7" s="1365" t="str">
        <f>IF('数据-取费表'!B3="万元","总价（万元）","总价（元）")</f>
        <v>总价（元）</v>
      </c>
      <c r="D7" s="1366">
        <f>IF('数据-取费表'!E3="否",结果表!I102,'结果表 (1修多)'!I104)</f>
        <v>0</v>
      </c>
      <c r="E7" s="1359"/>
    </row>
    <row r="8" spans="1:5" ht="14.25">
      <c r="A8" s="1359"/>
      <c r="B8" s="3355"/>
      <c r="C8" s="1367" t="s">
        <v>1162</v>
      </c>
      <c r="D8" s="1368" t="str">
        <f>IF('数据-取费表'!B3="万元",NUMBERSTRING(INT(D7*10000),2)&amp;"元整",NUMBERSTRING(INT(D7),2)&amp;"元整")</f>
        <v>零元整</v>
      </c>
      <c r="E8" s="1359"/>
    </row>
    <row r="9" spans="1:5" ht="14.25">
      <c r="A9" s="1359"/>
      <c r="B9" s="3355"/>
      <c r="C9" s="1369" t="s">
        <v>1259</v>
      </c>
      <c r="D9" s="1366" t="e">
        <f>IF('数据-取费表'!E3="否",结果表!I103,'结果表 (1修多)'!I105)</f>
        <v>#DIV/0!</v>
      </c>
      <c r="E9" s="1359"/>
    </row>
    <row r="10" spans="1:5" ht="14.25">
      <c r="A10" s="1359"/>
      <c r="B10" s="336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36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362" t="str">
        <f>IF('数据-取费表'!E3="否",结果表!F110,'结果表 (1修多)'!F112)</f>
        <v>3.房地产抵押价值</v>
      </c>
      <c r="C15" s="1360" t="str">
        <f>C7</f>
        <v>总价（元）</v>
      </c>
      <c r="D15" s="1366">
        <f>IF('数据-取费表'!E3="否",结果表!I110,'结果表 (1修多)'!I112)</f>
        <v>0</v>
      </c>
      <c r="E15" s="1359"/>
    </row>
    <row r="16" spans="1:5" ht="14.25">
      <c r="A16" s="1359"/>
      <c r="B16" s="3362"/>
      <c r="C16" s="1367" t="s">
        <v>1162</v>
      </c>
      <c r="D16" s="1366" t="str">
        <f>IF('数据-取费表'!B3="万元",NUMBERSTRING(INT(D15*10000),2)&amp;"元整",NUMBERSTRING(INT(D15),2)&amp;"元整")</f>
        <v>零元整</v>
      </c>
      <c r="E16" s="1359"/>
    </row>
    <row r="17" spans="1:5" ht="14.25">
      <c r="A17" s="1359"/>
      <c r="B17" s="3362"/>
      <c r="C17" s="1369" t="s">
        <v>1259</v>
      </c>
      <c r="D17" s="1366" t="e">
        <f>IF('数据-取费表'!E3="否",结果表!I111,'结果表 (1修多)'!I113)</f>
        <v>#DIV/0!</v>
      </c>
      <c r="E17" s="1359"/>
    </row>
    <row r="18" spans="1:5" ht="14.25">
      <c r="A18" s="1359"/>
      <c r="B18" s="3362" t="str">
        <f>IF('数据-取费表'!E3="否",结果表!F112,'结果表 (1修多)'!F114)</f>
        <v>——</v>
      </c>
      <c r="C18" s="1360" t="str">
        <f>C7</f>
        <v>总价（元）</v>
      </c>
      <c r="D18" s="1366" t="str">
        <f>IF('数据-取费表'!E3="否",结果表!I112,'结果表 (1修多)'!I114)</f>
        <v>——</v>
      </c>
      <c r="E18" s="1359"/>
    </row>
    <row r="19" spans="1:5" ht="14.25">
      <c r="A19" s="1359"/>
      <c r="B19" s="3362"/>
      <c r="C19" s="1367" t="s">
        <v>1162</v>
      </c>
      <c r="D19" s="1366" t="e">
        <f>IF('数据-取费表'!B3="万元",NUMBERSTRING(INT(D18*10000),2)&amp;"元整",NUMBERSTRING(INT(D18),2)&amp;"元整")</f>
        <v>#VALUE!</v>
      </c>
      <c r="E19" s="1359"/>
    </row>
    <row r="20" spans="1:5" ht="14.25">
      <c r="A20" s="1359"/>
      <c r="B20" s="3362"/>
      <c r="C20" s="1369" t="s">
        <v>1259</v>
      </c>
      <c r="D20" s="1366" t="str">
        <f>IF('数据-取费表'!E3="否",结果表!I113,'结果表 (1修多)'!I115)</f>
        <v>——</v>
      </c>
      <c r="E20" s="1359"/>
    </row>
    <row r="21" spans="1:5" ht="14.25">
      <c r="A21" s="1359"/>
      <c r="B21" s="3355" t="str">
        <f>IF('数据-取费表'!E3="否",结果表!F114,'结果表 (1修多)'!F116)</f>
        <v>——</v>
      </c>
      <c r="C21" s="1365" t="str">
        <f>C7</f>
        <v>总价（元）</v>
      </c>
      <c r="D21" s="1366" t="str">
        <f>IF('数据-取费表'!E3="否",结果表!I114,'结果表 (1修多)'!I116)</f>
        <v>——</v>
      </c>
      <c r="E21" s="1359"/>
    </row>
    <row r="22" spans="1:5" ht="14.25">
      <c r="A22" s="1359"/>
      <c r="B22" s="3355"/>
      <c r="C22" s="1367" t="s">
        <v>1162</v>
      </c>
      <c r="D22" s="1368" t="e">
        <f>IF('数据-取费表'!B3="万元",NUMBERSTRING(INT(D21*10000),2)&amp;"元整",NUMBERSTRING(INT(D21),2)&amp;"元整")</f>
        <v>#VALUE!</v>
      </c>
      <c r="E22" s="1359"/>
    </row>
    <row r="23" spans="1:5" ht="15" thickBot="1">
      <c r="A23" s="1359"/>
      <c r="B23" s="3356"/>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370" t="s">
        <v>1260</v>
      </c>
      <c r="C25" s="3370"/>
      <c r="D25" s="3370"/>
      <c r="E25" s="1359"/>
    </row>
    <row r="26" spans="1:5" ht="18.75" customHeight="1" thickTop="1">
      <c r="A26" s="1359"/>
      <c r="B26" s="3373" t="s">
        <v>1161</v>
      </c>
      <c r="C26" s="3374"/>
      <c r="D26" s="3371" t="s">
        <v>1160</v>
      </c>
      <c r="E26" s="1359"/>
    </row>
    <row r="27" spans="1:5" ht="18.75" customHeight="1">
      <c r="A27" s="1359"/>
      <c r="B27" s="3375"/>
      <c r="C27" s="3376"/>
      <c r="D27" s="3372"/>
      <c r="E27" s="1359"/>
    </row>
    <row r="28" spans="1:5" ht="14.25">
      <c r="A28" s="1359"/>
      <c r="B28" s="3363" t="s">
        <v>776</v>
      </c>
      <c r="C28" s="1376" t="s">
        <v>1163</v>
      </c>
      <c r="D28" s="1377">
        <f>IF('数据-取费表'!E3="否",结果表!I102,'结果表 (1修多)'!I104)</f>
        <v>0</v>
      </c>
      <c r="E28" s="1359"/>
    </row>
    <row r="29" spans="1:5" ht="14.25">
      <c r="A29" s="1359"/>
      <c r="B29" s="3364"/>
      <c r="C29" s="1378" t="s">
        <v>1162</v>
      </c>
      <c r="D29" s="1379" t="str">
        <f>IF('数据-取费表'!B3="万元",NUMBERSTRING(INT(D28*10000),2)&amp;"元整",NUMBERSTRING(INT(D28),2)&amp;"元整")</f>
        <v>零元整</v>
      </c>
      <c r="E29" s="1359"/>
    </row>
    <row r="30" spans="1:5" ht="14.25">
      <c r="A30" s="1359"/>
      <c r="B30" s="3365"/>
      <c r="C30" s="1369" t="s">
        <v>1165</v>
      </c>
      <c r="D30" s="1380" t="e">
        <f>IF('数据-取费表'!E3="否",结果表!I103,'结果表 (1修多)'!I105)</f>
        <v>#DIV/0!</v>
      </c>
      <c r="E30" s="1359"/>
    </row>
    <row r="31" spans="1:5" ht="14.25">
      <c r="A31" s="1359"/>
      <c r="B31" s="3368" t="str">
        <f>B10</f>
        <v>2.估价师所知悉的法定优先受偿款</v>
      </c>
      <c r="C31" s="1381" t="s">
        <v>1164</v>
      </c>
      <c r="D31" s="1382">
        <f>IF('数据-取费表'!E3="否",结果表!I105,'结果表 (1修多)'!I107)</f>
        <v>0</v>
      </c>
      <c r="E31" s="1359"/>
    </row>
    <row r="32" spans="1:5" ht="14.25">
      <c r="A32" s="1359"/>
      <c r="B32" s="337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366" t="str">
        <f>B15</f>
        <v>3.房地产抵押价值</v>
      </c>
      <c r="C36" s="1381" t="str">
        <f>C28</f>
        <v>总价</v>
      </c>
      <c r="D36" s="1382">
        <f>IF('数据-取费表'!E3="否",结果表!I110,'结果表 (1修多)'!I112)</f>
        <v>0</v>
      </c>
      <c r="E36" s="1359"/>
    </row>
    <row r="37" spans="1:5" ht="14.25">
      <c r="A37" s="1359"/>
      <c r="B37" s="3366"/>
      <c r="C37" s="1378" t="s">
        <v>1162</v>
      </c>
      <c r="D37" s="1383" t="str">
        <f>IF('数据-取费表'!B3="万元",NUMBERSTRING(INT(D36*10000),2)&amp;"元整",NUMBERSTRING(INT(D36),2)&amp;"元整")</f>
        <v>零元整</v>
      </c>
      <c r="E37" s="1359"/>
    </row>
    <row r="38" spans="1:5" ht="14.25">
      <c r="A38" s="1359"/>
      <c r="B38" s="3366"/>
      <c r="C38" s="1369" t="s">
        <v>1166</v>
      </c>
      <c r="D38" s="1380" t="e">
        <f>IF('数据-取费表'!E3="否",结果表!D113,'结果表 (1修多)'!D117)</f>
        <v>#DIV/0!</v>
      </c>
      <c r="E38" s="1359"/>
    </row>
    <row r="39" spans="1:5" ht="14.25">
      <c r="A39" s="1359"/>
      <c r="B39" s="3367" t="str">
        <f>B18</f>
        <v>——</v>
      </c>
      <c r="C39" s="1381" t="str">
        <f>C28</f>
        <v>总价</v>
      </c>
      <c r="D39" s="1382" t="str">
        <f>IF('数据-取费表'!E3="否",结果表!I112,'结果表 (1修多)'!I114)</f>
        <v>——</v>
      </c>
      <c r="E39" s="1359"/>
    </row>
    <row r="40" spans="1:5" ht="14.25">
      <c r="A40" s="1359"/>
      <c r="B40" s="3367"/>
      <c r="C40" s="1378" t="s">
        <v>1162</v>
      </c>
      <c r="D40" s="1383" t="e">
        <f>IF('数据-取费表'!B3="万元",NUMBERSTRING(INT(D39*10000),2)&amp;"元整",NUMBERSTRING(INT(D39),2)&amp;"元整")</f>
        <v>#VALUE!</v>
      </c>
      <c r="E40" s="1359"/>
    </row>
    <row r="41" spans="1:5" ht="14.25">
      <c r="A41" s="1359"/>
      <c r="B41" s="3367"/>
      <c r="C41" s="1369" t="s">
        <v>1166</v>
      </c>
      <c r="D41" s="1380" t="str">
        <f>IF('数据-取费表'!E3="否",结果表!D115,'结果表 (1修多)'!D119)</f>
        <v>——</v>
      </c>
      <c r="E41" s="1359"/>
    </row>
    <row r="42" spans="1:5" ht="14.25">
      <c r="A42" s="1359"/>
      <c r="B42" s="3366" t="str">
        <f>B21</f>
        <v>——</v>
      </c>
      <c r="C42" s="1381" t="str">
        <f>C28</f>
        <v>总价</v>
      </c>
      <c r="D42" s="1382" t="str">
        <f>IF('数据-取费表'!E3="否",结果表!I114,'结果表 (1修多)'!I116)</f>
        <v>——</v>
      </c>
      <c r="E42" s="1359"/>
    </row>
    <row r="43" spans="1:5" ht="14.25">
      <c r="A43" s="1359"/>
      <c r="B43" s="3368"/>
      <c r="C43" s="1378" t="s">
        <v>1162</v>
      </c>
      <c r="D43" s="1384" t="e">
        <f>IF('数据-取费表'!B3="万元",NUMBERSTRING(INT(D42*10000),2)&amp;"元整",NUMBERSTRING(INT(D42),2)&amp;"元整")</f>
        <v>#VALUE!</v>
      </c>
      <c r="E43" s="1359"/>
    </row>
    <row r="44" spans="1:5" ht="15" thickBot="1">
      <c r="A44" s="1359"/>
      <c r="B44" s="3369"/>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384" t="str">
        <f>IF(项目基本情况!D5="房地产市场价值","估价结果一览表","结果表-2")</f>
        <v>结果表-2</v>
      </c>
      <c r="B1" s="3384"/>
      <c r="C1" s="3384"/>
      <c r="D1" s="3384"/>
      <c r="E1" s="3384"/>
      <c r="F1" s="3384"/>
      <c r="G1" s="3384"/>
      <c r="H1" s="3384"/>
      <c r="I1" s="3384"/>
    </row>
    <row r="2" spans="1:9" ht="30" customHeight="1" thickTop="1">
      <c r="A2" s="3385" t="s">
        <v>1261</v>
      </c>
      <c r="B2" s="3385" t="s">
        <v>1262</v>
      </c>
      <c r="C2" s="3385" t="s">
        <v>1263</v>
      </c>
      <c r="D2" s="3385" t="str">
        <f>IF('数据-取费表'!E3="否",结果表!D119,'结果表 (1修多)'!D123)</f>
        <v>出让国有建设用地使用权价值</v>
      </c>
      <c r="E2" s="3385"/>
      <c r="F2" s="3385" t="s">
        <v>1264</v>
      </c>
      <c r="G2" s="3385"/>
      <c r="H2" s="3385" t="s">
        <v>1265</v>
      </c>
      <c r="I2" s="3385"/>
    </row>
    <row r="3" spans="1:9" ht="15">
      <c r="A3" s="3380"/>
      <c r="B3" s="3380"/>
      <c r="C3" s="3380"/>
      <c r="D3" s="818" t="s">
        <v>1266</v>
      </c>
      <c r="E3" s="818" t="s">
        <v>1267</v>
      </c>
      <c r="F3" s="818" t="s">
        <v>1266</v>
      </c>
      <c r="G3" s="818" t="s">
        <v>1268</v>
      </c>
      <c r="H3" s="818" t="s">
        <v>1266</v>
      </c>
      <c r="I3" s="818" t="s">
        <v>1268</v>
      </c>
    </row>
    <row r="4" spans="1:9" ht="46.5" customHeight="1">
      <c r="A4" s="818" t="str">
        <f>项目基本情况!I1</f>
        <v>北京市房地产</v>
      </c>
      <c r="B4" s="818">
        <f>结果表!B121</f>
        <v>146.78</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80" t="s">
        <v>1269</v>
      </c>
      <c r="B5" s="3380"/>
      <c r="C5" s="3380"/>
      <c r="D5" s="3378" t="str">
        <f>IF('数据-取费表'!E3="否",结果表!D122,'结果表 (1修多)'!D126)</f>
        <v>零元整</v>
      </c>
      <c r="E5" s="3378"/>
      <c r="F5" s="3378" t="str">
        <f>IF('数据-取费表'!E3="否",结果表!F122,'结果表 (1修多)'!F126)</f>
        <v>零元整</v>
      </c>
      <c r="G5" s="3378"/>
      <c r="H5" s="3378" t="str">
        <f>IF('数据-取费表'!E3="否",结果表!H122,'结果表 (1修多)'!H126)</f>
        <v>零元整</v>
      </c>
      <c r="I5" s="3378"/>
    </row>
    <row r="6" spans="1:9" ht="15.75">
      <c r="A6" s="3379" t="str">
        <f>IF('数据-取费表'!E3="否",结果表!A123,'结果表 (1修多)'!A127)</f>
        <v>估价师所知悉的法定优先受偿款</v>
      </c>
      <c r="B6" s="3379"/>
      <c r="C6" s="3379"/>
      <c r="D6" s="3379">
        <f>IF('数据-取费表'!E3="否",结果表!D123,'结果表 (1修多)'!D127)</f>
        <v>0</v>
      </c>
      <c r="E6" s="3379"/>
      <c r="F6" s="3379"/>
      <c r="G6" s="3379"/>
      <c r="H6" s="3379"/>
      <c r="I6" s="3379"/>
    </row>
    <row r="7" spans="1:9" ht="15">
      <c r="A7" s="3380" t="s">
        <v>1269</v>
      </c>
      <c r="B7" s="3380"/>
      <c r="C7" s="3380"/>
      <c r="D7" s="3381">
        <f>IF('数据-取费表'!E3="否",结果表!D124,'结果表 (1修多)'!D128)</f>
        <v>0</v>
      </c>
      <c r="E7" s="3382"/>
      <c r="F7" s="3382"/>
      <c r="G7" s="3382"/>
      <c r="H7" s="3382"/>
      <c r="I7" s="3383"/>
    </row>
    <row r="8" spans="1:9" ht="15.75">
      <c r="A8" s="3379" t="str">
        <f>IF('数据-取费表'!E3="否",结果表!A125,'结果表 (1修多)'!A129)</f>
        <v>房地产抵押价值</v>
      </c>
      <c r="B8" s="3379"/>
      <c r="C8" s="3379"/>
      <c r="D8" s="3379">
        <f>IF('数据-取费表'!E3="否",结果表!D125,'结果表 (1修多)'!D129)</f>
        <v>0</v>
      </c>
      <c r="E8" s="3379"/>
      <c r="F8" s="3379"/>
      <c r="G8" s="3379"/>
      <c r="H8" s="3379"/>
      <c r="I8" s="3379"/>
    </row>
    <row r="9" spans="1:9" ht="15">
      <c r="A9" s="3380" t="s">
        <v>1269</v>
      </c>
      <c r="B9" s="3380"/>
      <c r="C9" s="3380"/>
      <c r="D9" s="3378" t="e">
        <f>IF('数据-取费表'!E3="否",结果表!D126,'结果表 (1修多)'!D130)</f>
        <v>#DIV/0!</v>
      </c>
      <c r="E9" s="3378"/>
      <c r="F9" s="3378"/>
      <c r="G9" s="3378"/>
      <c r="H9" s="3378"/>
      <c r="I9" s="3378"/>
    </row>
    <row r="10" spans="1:9" ht="15.75">
      <c r="A10" s="3379" t="str">
        <f>IF('数据-取费表'!E3="否",结果表!A127,'结果表 (1修多)'!A131)</f>
        <v/>
      </c>
      <c r="B10" s="3379"/>
      <c r="C10" s="3379"/>
      <c r="D10" s="3379" t="e">
        <f>IF('数据-取费表'!E3="否",结果表!D127,'结果表 (1修多)'!D130)</f>
        <v>#DIV/0!</v>
      </c>
      <c r="E10" s="3379"/>
      <c r="F10" s="3379"/>
      <c r="G10" s="3379"/>
      <c r="H10" s="3379"/>
      <c r="I10" s="3379"/>
    </row>
    <row r="11" spans="1:9" ht="15">
      <c r="A11" s="3380" t="s">
        <v>1269</v>
      </c>
      <c r="B11" s="3380"/>
      <c r="C11" s="3380"/>
      <c r="D11" s="3378" t="str">
        <f>IF('数据-取费表'!E3="否",结果表!D128,'结果表 (1修多)'!D132)</f>
        <v>——</v>
      </c>
      <c r="E11" s="3378"/>
      <c r="F11" s="3378"/>
      <c r="G11" s="3378"/>
      <c r="H11" s="3378"/>
      <c r="I11" s="3378"/>
    </row>
    <row r="12" spans="1:9" ht="15.75">
      <c r="A12" s="3379" t="str">
        <f>IF('数据-取费表'!E3="否",结果表!A129,'结果表 (1修多)'!A133)</f>
        <v/>
      </c>
      <c r="B12" s="3379"/>
      <c r="C12" s="3379"/>
      <c r="D12" s="3379" t="str">
        <f>IF('数据-取费表'!E3="否",结果表!D129,'结果表 (1修多)'!D133)</f>
        <v>——</v>
      </c>
      <c r="E12" s="3379"/>
      <c r="F12" s="3379"/>
      <c r="G12" s="3379"/>
      <c r="H12" s="3379"/>
      <c r="I12" s="3379"/>
    </row>
    <row r="13" spans="1:9" ht="15.75" thickBot="1">
      <c r="A13" s="3386" t="s">
        <v>1269</v>
      </c>
      <c r="B13" s="3386"/>
      <c r="C13" s="3386"/>
      <c r="D13" s="3387">
        <f>IF('数据-取费表'!E3="否",结果表!D130,'结果表 (1修多)'!D134)</f>
        <v>0</v>
      </c>
      <c r="E13" s="3387"/>
      <c r="F13" s="3387"/>
      <c r="G13" s="3387"/>
      <c r="H13" s="3387"/>
      <c r="I13" s="3387"/>
    </row>
    <row r="14" spans="1:9" ht="15" thickTop="1">
      <c r="A14" s="3388" t="str">
        <f>IF('数据-取费表'!E3="否",结果表!A131,'结果表 (1修多)'!A135)</f>
        <v>单位：平方米、元、元/平方米（币种：人民币）</v>
      </c>
      <c r="B14" s="3388"/>
      <c r="C14" s="3388"/>
      <c r="D14" s="3388"/>
      <c r="E14" s="3388"/>
      <c r="F14" s="3388"/>
      <c r="G14" s="3388"/>
      <c r="H14" s="3388"/>
      <c r="I14" s="338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393" t="s">
        <v>1282</v>
      </c>
      <c r="B1" s="3393"/>
      <c r="C1" s="3393"/>
      <c r="D1" s="3393"/>
    </row>
    <row r="2" spans="1:4" ht="18">
      <c r="A2" s="3392" t="s">
        <v>1271</v>
      </c>
      <c r="B2" s="3392"/>
      <c r="C2" s="3392"/>
      <c r="D2" s="3392"/>
    </row>
    <row r="3" spans="1:4" ht="18.75">
      <c r="A3" s="1388" t="s">
        <v>1272</v>
      </c>
      <c r="B3" s="1388" t="s">
        <v>1273</v>
      </c>
      <c r="C3" s="1388" t="s">
        <v>1274</v>
      </c>
      <c r="D3" s="1388" t="s">
        <v>1275</v>
      </c>
    </row>
    <row r="4" spans="1:4" ht="56.25" customHeight="1">
      <c r="A4" s="1389" t="str">
        <f>项目基本情况!B3</f>
        <v>陈颖</v>
      </c>
      <c r="B4" s="1390">
        <f ca="1">项目基本情况!C3</f>
        <v>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392" t="s">
        <v>1276</v>
      </c>
      <c r="B7" s="3392"/>
      <c r="C7" s="3392"/>
      <c r="D7" s="339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389" t="s">
        <v>2737</v>
      </c>
      <c r="B12" s="3391"/>
      <c r="C12" s="3391"/>
      <c r="D12" s="3391"/>
    </row>
    <row r="13" spans="1:4" ht="15.75">
      <c r="A13" s="33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1"/>
      <c r="C13" s="3391"/>
      <c r="D13" s="3391"/>
    </row>
    <row r="14" spans="1:4" ht="30" customHeight="1">
      <c r="A14" s="3389" t="str">
        <f>IF(项目基本情况!D4="抵押","3.抵押双方在办理抵押登记手续时，应使用本公司出具的正式《不动产估价报告书》，特提醒报告使用者注意。","——")</f>
        <v>——</v>
      </c>
      <c r="B14" s="3391"/>
      <c r="C14" s="3391"/>
      <c r="D14" s="3391"/>
    </row>
    <row r="15" spans="1:4" ht="15.75" customHeight="1">
      <c r="A15" s="3389" t="str">
        <f>IF(项目基本情况!D4="抵押","4.本次评估估价师所知悉的法定优先受偿款情况说明如下：","——")</f>
        <v>——</v>
      </c>
      <c r="B15" s="3391"/>
      <c r="C15" s="3391"/>
      <c r="D15" s="3391"/>
    </row>
    <row r="16" spans="1:4" ht="75" customHeight="1">
      <c r="A16" s="3389" t="str">
        <f>IF(项目基本情况!D4="抵押",CONCATENATE(项目基本情况!J13,项目基本情况!J14,项目基本情况!J15),"——")</f>
        <v>——</v>
      </c>
      <c r="B16" s="3389"/>
      <c r="C16" s="3389"/>
      <c r="D16" s="3389"/>
    </row>
    <row r="17" spans="1:4" ht="63.75" customHeight="1">
      <c r="A17" s="3390" t="s">
        <v>1284</v>
      </c>
      <c r="B17" s="3390"/>
      <c r="C17" s="3390"/>
      <c r="D17" s="3390"/>
    </row>
    <row r="18" spans="1:4" ht="15.75" customHeight="1">
      <c r="A18" s="3389" t="str">
        <f>IF(项目基本情况!D4="抵押",结果表!L106,"——")</f>
        <v>——</v>
      </c>
      <c r="B18" s="3389"/>
      <c r="C18" s="3389"/>
      <c r="D18" s="3389"/>
    </row>
    <row r="19" spans="1:4" ht="46.5" customHeight="1">
      <c r="A19" s="33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9"/>
      <c r="C19" s="3389"/>
      <c r="D19" s="3389"/>
    </row>
    <row r="20" spans="1:4" ht="15">
      <c r="A20" s="3390" t="s">
        <v>2738</v>
      </c>
      <c r="B20" s="3390"/>
      <c r="C20" s="3390"/>
      <c r="D20" s="3390"/>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399" t="s">
        <v>1363</v>
      </c>
      <c r="B15" s="3394" t="s">
        <v>1364</v>
      </c>
      <c r="C15" s="3395"/>
    </row>
    <row r="16" spans="1:7" ht="14.25">
      <c r="A16" s="3400"/>
      <c r="B16" s="3394" t="s">
        <v>1365</v>
      </c>
      <c r="C16" s="3395"/>
    </row>
    <row r="17" spans="1:3" ht="14.25">
      <c r="A17" s="3400"/>
      <c r="B17" s="3394" t="s">
        <v>1366</v>
      </c>
      <c r="C17" s="3395"/>
    </row>
    <row r="18" spans="1:3" ht="14.25">
      <c r="A18" s="3401"/>
      <c r="B18" s="3396" t="s">
        <v>1367</v>
      </c>
      <c r="C18" s="3395"/>
    </row>
    <row r="19" spans="1:3" ht="14.25">
      <c r="A19" s="1412" t="s">
        <v>1368</v>
      </c>
      <c r="B19" s="1413"/>
      <c r="C19" s="1414"/>
    </row>
    <row r="20" spans="1:3" ht="14.25">
      <c r="A20" s="3397" t="s">
        <v>1369</v>
      </c>
      <c r="B20" s="3396" t="s">
        <v>1370</v>
      </c>
      <c r="C20" s="3395"/>
    </row>
    <row r="21" spans="1:3" ht="14.25">
      <c r="A21" s="3397"/>
      <c r="B21" s="3396" t="s">
        <v>1371</v>
      </c>
      <c r="C21" s="3395"/>
    </row>
    <row r="22" spans="1:3" ht="14.25">
      <c r="A22" s="3397"/>
      <c r="B22" s="3396" t="s">
        <v>1372</v>
      </c>
      <c r="C22" s="3395"/>
    </row>
    <row r="23" spans="1:3" ht="14.25">
      <c r="A23" s="3397"/>
      <c r="B23" s="3398" t="s">
        <v>1373</v>
      </c>
      <c r="C23" s="1415" t="s">
        <v>1374</v>
      </c>
    </row>
    <row r="24" spans="1:3" ht="14.25">
      <c r="A24" s="3397"/>
      <c r="B24" s="3398"/>
      <c r="C24" s="1415" t="s">
        <v>1375</v>
      </c>
    </row>
    <row r="25" spans="1:3" ht="14.25">
      <c r="A25" s="3397"/>
      <c r="B25" s="3398"/>
      <c r="C25" s="1415" t="s">
        <v>1376</v>
      </c>
    </row>
    <row r="26" spans="1:3" ht="14.25">
      <c r="A26" s="3397"/>
      <c r="B26" s="3398"/>
      <c r="C26" s="1415" t="s">
        <v>1377</v>
      </c>
    </row>
    <row r="27" spans="1:3" ht="14.25">
      <c r="A27" s="3397"/>
      <c r="B27" s="3398"/>
      <c r="C27" s="1415" t="s">
        <v>1378</v>
      </c>
    </row>
    <row r="28" spans="1:3" ht="14.25">
      <c r="A28" s="3397"/>
      <c r="B28" s="3398"/>
      <c r="C28" s="1415" t="s">
        <v>1379</v>
      </c>
    </row>
    <row r="29" spans="1:3" ht="14.25">
      <c r="A29" s="3397"/>
      <c r="B29" s="3398"/>
      <c r="C29" s="1415" t="s">
        <v>1380</v>
      </c>
    </row>
    <row r="30" spans="1:3" ht="14.25">
      <c r="A30" s="3397"/>
      <c r="B30" s="3398"/>
      <c r="C30" s="1415" t="s">
        <v>1381</v>
      </c>
    </row>
    <row r="31" spans="1:3" ht="14.25">
      <c r="A31" s="3397"/>
      <c r="B31" s="3398"/>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44671</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t="str">
        <f ca="1">IF(C9&lt;B2,"已过期",1120060040)</f>
        <v>已过期</v>
      </c>
      <c r="C9" s="3073">
        <v>44554</v>
      </c>
      <c r="D9" s="3081" t="str">
        <f t="shared" ca="1" si="0"/>
        <v>陈颖（注册号：已过期）</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402" t="s">
        <v>762</v>
      </c>
      <c r="B17" s="3402"/>
      <c r="C17" s="3402"/>
      <c r="D17" s="3402"/>
      <c r="E17" s="3402"/>
      <c r="F17" s="3402"/>
      <c r="G17" s="3402"/>
      <c r="H17" s="3402"/>
    </row>
    <row r="18" spans="1:8" ht="24" customHeight="1">
      <c r="A18" s="3403" t="s">
        <v>763</v>
      </c>
      <c r="B18" s="3403"/>
      <c r="C18" s="3403"/>
      <c r="D18" s="3069"/>
      <c r="E18" s="3404" t="s">
        <v>764</v>
      </c>
      <c r="F18" s="3403"/>
      <c r="G18" s="3403"/>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405"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本次估价的“房地产价值”是指在正常市场情况下，在价值时点2009年9月9日，估价对象规划用途为，假定未设立法定优先受偿款下的房地产市场价值。</v>
      </c>
    </row>
    <row r="54" spans="1:4">
      <c r="A54" s="3405"/>
      <c r="B54" s="9" t="s">
        <v>1519</v>
      </c>
      <c r="C54" s="9" t="s">
        <v>1520</v>
      </c>
    </row>
    <row r="55" spans="1:4">
      <c r="A55" s="3405"/>
      <c r="B55" s="9" t="s">
        <v>1521</v>
      </c>
      <c r="C55" s="9" t="s">
        <v>1522</v>
      </c>
    </row>
    <row r="56" spans="1:4">
      <c r="A56" s="3405"/>
      <c r="B56" s="9" t="s">
        <v>1523</v>
      </c>
      <c r="C56" s="9" t="s">
        <v>1524</v>
      </c>
    </row>
    <row r="57" spans="1:4">
      <c r="A57" s="3405"/>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2022-04-20T02:02:03Z</dcterms:modified>
</cp:coreProperties>
</file>