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5.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保障性住房\公租房\2021-1-0475北京市朝阳区东坝北东南一期土地储备项目1104-612西侧地块R2二类居住用地\"/>
    </mc:Choice>
  </mc:AlternateContent>
  <xr:revisionPtr revIDLastSave="0" documentId="13_ncr:1_{F67A568E-9368-45DF-BFCE-9AAAFB36A61C}" xr6:coauthVersionLast="45" xr6:coauthVersionMax="45" xr10:uidLastSave="{00000000-0000-0000-0000-000000000000}"/>
  <bookViews>
    <workbookView xWindow="-120" yWindow="-120" windowWidth="21840" windowHeight="13140" tabRatio="899" firstSheet="11"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基础数据" sheetId="88" r:id="rId16"/>
    <sheet name="估价对象房地状况" sheetId="20" state="hidden" r:id="rId17"/>
    <sheet name="系统读取表" sheetId="74" r:id="rId18"/>
    <sheet name="ppt数据" sheetId="77" state="hidden" r:id="rId19"/>
    <sheet name="租金周边" sheetId="86" r:id="rId20"/>
    <sheet name="面积分摊" sheetId="87" r:id="rId21"/>
    <sheet name="结果表" sheetId="9" r:id="rId22"/>
    <sheet name="估价结果" sheetId="82" r:id="rId23"/>
    <sheet name="成本法-住宅" sheetId="68" r:id="rId24"/>
    <sheet name="成本法-仓储" sheetId="84" r:id="rId25"/>
    <sheet name="收益法-住宅" sheetId="15" r:id="rId26"/>
    <sheet name="收益法-仓储" sheetId="85" r:id="rId27"/>
    <sheet name="Sheet1" sheetId="83" state="hidden" r:id="rId28"/>
    <sheet name="收益法-车库" sheetId="79" state="hidden" r:id="rId29"/>
    <sheet name="成本法 (元)" sheetId="69" state="hidden" r:id="rId30"/>
    <sheet name="假设开发法" sheetId="12" state="hidden" r:id="rId31"/>
    <sheet name="成本法-车库" sheetId="78" state="hidden" r:id="rId32"/>
    <sheet name="收益法 (元)" sheetId="67" state="hidden" r:id="rId33"/>
    <sheet name="收益法（汇总）" sheetId="70" state="hidden" r:id="rId34"/>
    <sheet name="酒店收入计算" sheetId="66" state="hidden" r:id="rId35"/>
    <sheet name="比较法-住宅" sheetId="21" state="hidden" r:id="rId36"/>
    <sheet name="比较法-商业" sheetId="33" state="hidden" r:id="rId37"/>
    <sheet name="比较法-办公" sheetId="34"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基准地价修正" sheetId="43" r:id="rId44"/>
    <sheet name="住宅租金案例" sheetId="80" state="hidden" r:id="rId45"/>
    <sheet name="车库租金案例" sheetId="81" state="hidden" r:id="rId46"/>
    <sheet name="修正" sheetId="45" state="hidden" r:id="rId47"/>
    <sheet name="容积率修正" sheetId="46" state="hidden" r:id="rId48"/>
    <sheet name="基准地价（汇总）" sheetId="76" state="hidden" r:id="rId49"/>
    <sheet name="地价" sheetId="71" state="hidden" r:id="rId50"/>
    <sheet name="典型户型修正" sheetId="3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 name="Sheet2" sheetId="89" r:id="rId57"/>
  </sheets>
  <externalReferences>
    <externalReference r:id="rId58"/>
    <externalReference r:id="rId59"/>
    <externalReference r:id="rId60"/>
  </externalReferences>
  <definedNames>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35"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8">估价师及机构信息!$A$1:$F$29</definedName>
    <definedName name="_xlnm.Print_Area" localSheetId="32">'收益法 (元)'!$A$1:$AK$69</definedName>
    <definedName name="_xlnm.Print_Area" localSheetId="26">'收益法-仓储'!$A$1:$AK$70</definedName>
    <definedName name="_xlnm.Print_Area" localSheetId="28">'收益法-车库'!$A$1:$AK$69</definedName>
    <definedName name="_xlnm.Print_Area" localSheetId="25">'收益法-住宅'!$A$1:$AK$70</definedName>
    <definedName name="_xlnm.Print_Area" localSheetId="13">'数据-汇总表'!$A$1:$P$32</definedName>
    <definedName name="八级">区片价!$O$1:$O$40</definedName>
    <definedName name="办公层高" localSheetId="18">'[1]比较法-办公'!$B$119:$M$119</definedName>
    <definedName name="办公层高" localSheetId="22">'[1]比较法-办公'!$B$119:$M$119</definedName>
    <definedName name="办公层高" localSheetId="44">'[2]不动产比较法-办公'!$B$119:$M$119</definedName>
    <definedName name="办公层高">'比较法-办公'!$B$119:$M$119</definedName>
    <definedName name="办公朝向" localSheetId="18">'[1]比较法-办公'!$B$91:$M$91</definedName>
    <definedName name="办公朝向" localSheetId="22">'[1]比较法-办公'!$B$91:$M$91</definedName>
    <definedName name="办公朝向" localSheetId="44">'[2]不动产比较法-办公'!$B$91:$M$91</definedName>
    <definedName name="办公朝向">'比较法-办公'!$B$91:$M$91</definedName>
    <definedName name="办公道路级别" localSheetId="18">'[1]比较法-办公'!$B$87:$M$87</definedName>
    <definedName name="办公道路级别" localSheetId="22">'[1]比较法-办公'!$B$87:$M$87</definedName>
    <definedName name="办公道路级别" localSheetId="44">'[2]不动产比较法-办公'!$B$87:$M$87</definedName>
    <definedName name="办公道路级别">'比较法-办公'!$B$87:$M$87</definedName>
    <definedName name="办公公共部分装修" localSheetId="18">'[1]比较法-办公'!$B$108:$M$108</definedName>
    <definedName name="办公公共部分装修" localSheetId="22">'[1]比较法-办公'!$B$108:$M$108</definedName>
    <definedName name="办公公共部分装修" localSheetId="44">'[2]不动产比较法-办公'!$B$108:$M$108</definedName>
    <definedName name="办公公共部分装修">'比较法-办公'!$B$108:$M$108</definedName>
    <definedName name="办公基础设施水平" localSheetId="18">'[1]比较法-办公'!$B$117:$M$117</definedName>
    <definedName name="办公基础设施水平" localSheetId="22">'[1]比较法-办公'!$B$117:$M$117</definedName>
    <definedName name="办公基础设施水平" localSheetId="44">'[2]不动产比较法-办公'!$B$117:$M$117</definedName>
    <definedName name="办公基础设施水平">'比较法-办公'!$B$117:$M$117</definedName>
    <definedName name="办公集聚程度" localSheetId="18">[1]定义!$M$1:$M$6</definedName>
    <definedName name="办公集聚程度" localSheetId="22">[1]定义!$M$1:$M$6</definedName>
    <definedName name="办公集聚程度" localSheetId="44">[2]定义!$M$1:$M$6</definedName>
    <definedName name="办公集聚程度">定义!$M$1:$M$6</definedName>
    <definedName name="办公建筑结构" localSheetId="18">'[1]比较法-办公'!$B$106:$M$106</definedName>
    <definedName name="办公建筑结构" localSheetId="22">'[1]比较法-办公'!$B$106:$M$106</definedName>
    <definedName name="办公建筑结构" localSheetId="44">'[2]不动产比较法-办公'!$B$106:$M$106</definedName>
    <definedName name="办公建筑结构">'比较法-办公'!$B$106:$M$106</definedName>
    <definedName name="办公建筑类型" localSheetId="18">'[1]比较法-办公'!$B$101:$M$101</definedName>
    <definedName name="办公建筑类型" localSheetId="22">'[1]比较法-办公'!$B$101:$M$101</definedName>
    <definedName name="办公建筑类型" localSheetId="44">'[2]不动产比较法-办公'!$B$101:$M$101</definedName>
    <definedName name="办公建筑类型">'比较法-办公'!$B$101:$M$101</definedName>
    <definedName name="办公交易情况" localSheetId="18">'[1]比较法-办公'!$A$62:$M$62</definedName>
    <definedName name="办公交易情况" localSheetId="22">'[1]比较法-办公'!$A$62:$M$62</definedName>
    <definedName name="办公交易情况" localSheetId="44">'[2]不动产比较法-办公'!$A$62:$M$62</definedName>
    <definedName name="办公交易情况">'比较法-办公'!$A$62:$M$62</definedName>
    <definedName name="办公楼层" localSheetId="18">'[1]比较法-办公'!$B$89:$M$89</definedName>
    <definedName name="办公楼层" localSheetId="22">'[1]比较法-办公'!$B$89:$M$89</definedName>
    <definedName name="办公楼层" localSheetId="44">'[2]不动产比较法-办公'!$B$89:$M$89</definedName>
    <definedName name="办公楼层">'比较法-办公'!$B$89:$M$89</definedName>
    <definedName name="办公内部装修" localSheetId="18">'[1]比较法-办公'!$B$123:$M$123</definedName>
    <definedName name="办公内部装修" localSheetId="22">'[1]比较法-办公'!$B$123:$M$123</definedName>
    <definedName name="办公内部装修" localSheetId="44">'[2]不动产比较法-办公'!$B$123:$M$123</definedName>
    <definedName name="办公内部装修">'比较法-办公'!$B$123:$M$123</definedName>
    <definedName name="办公物业管理" localSheetId="18">'[1]比较法-办公'!$B$115:$M$115</definedName>
    <definedName name="办公物业管理" localSheetId="22">'[1]比较法-办公'!$B$115:$M$115</definedName>
    <definedName name="办公物业管理" localSheetId="44">'[2]不动产比较法-办公'!$B$115:$M$115</definedName>
    <definedName name="办公物业管理">'比较法-办公'!$B$115:$M$115</definedName>
    <definedName name="办公用途" localSheetId="18">'[1]比较法-办公'!$B$64:$M$64</definedName>
    <definedName name="办公用途" localSheetId="22">'[1]比较法-办公'!$B$64:$M$64</definedName>
    <definedName name="办公用途" localSheetId="44">'[2]不动产比较法-办公'!$B$64:$M$64</definedName>
    <definedName name="办公用途">'比较法-办公'!$B$64:$M$64</definedName>
    <definedName name="仓储公共部分装修" localSheetId="18">'[1]比较法-仓储'!$B$77:$M$77</definedName>
    <definedName name="仓储公共部分装修" localSheetId="22">'[1]比较法-仓储'!$B$77:$M$77</definedName>
    <definedName name="仓储公共部分装修" localSheetId="44">#REF!</definedName>
    <definedName name="仓储公共部分装修">'比较法-仓储'!$B$77:$M$77</definedName>
    <definedName name="仓储交易情况" localSheetId="18">'[1]比较法-仓储'!$A$49:$M$49</definedName>
    <definedName name="仓储交易情况" localSheetId="22">'[1]比较法-仓储'!$A$49:$M$49</definedName>
    <definedName name="仓储交易情况" localSheetId="44">#REF!</definedName>
    <definedName name="仓储交易情况">'比较法-仓储'!$A$49:$M$49</definedName>
    <definedName name="仓储楼层" localSheetId="18">'[1]比较法-仓储'!$B$69:$M$69</definedName>
    <definedName name="仓储楼层" localSheetId="22">'[1]比较法-仓储'!$B$69:$M$69</definedName>
    <definedName name="仓储楼层" localSheetId="44">#REF!</definedName>
    <definedName name="仓储楼层">'比较法-仓储'!$B$69:$M$69</definedName>
    <definedName name="仓储物业等级" localSheetId="18">'[1]比较法-仓储'!$B$82:$M$82</definedName>
    <definedName name="仓储物业等级" localSheetId="22">'[1]比较法-仓储'!$B$82:$M$82</definedName>
    <definedName name="仓储物业等级" localSheetId="44">#REF!</definedName>
    <definedName name="仓储物业等级">'比较法-仓储'!$B$82:$M$82</definedName>
    <definedName name="仓储用途" localSheetId="18">'[1]比较法-仓储'!$B$51:$M$51</definedName>
    <definedName name="仓储用途" localSheetId="22">'[1]比较法-仓储'!$B$51:$M$51</definedName>
    <definedName name="仓储用途" localSheetId="44">#REF!</definedName>
    <definedName name="仓储用途">'比较法-仓储'!$B$51:$M$51</definedName>
    <definedName name="产业集聚程度" localSheetId="18">[1]定义!$N$1:$N$6</definedName>
    <definedName name="产业集聚程度" localSheetId="22">[1]定义!$N$1:$N$6</definedName>
    <definedName name="产业集聚程度">定义!$N$1:$N$6</definedName>
    <definedName name="车位公共部分装修" localSheetId="18">'[1]比较法-车位'!$B$83:$M$83</definedName>
    <definedName name="车位公共部分装修" localSheetId="22">'[1]比较法-车位'!$B$83:$M$83</definedName>
    <definedName name="车位公共部分装修" localSheetId="44">#REF!</definedName>
    <definedName name="车位公共部分装修">'比较法-车位'!$B$83:$M$83</definedName>
    <definedName name="车位交易情况" localSheetId="18">'[1]比较法-车位'!$A$51:$M$51</definedName>
    <definedName name="车位交易情况" localSheetId="22">'[1]比较法-车位'!$A$51:$M$51</definedName>
    <definedName name="车位交易情况" localSheetId="44">#REF!</definedName>
    <definedName name="车位交易情况">'比较法-车位'!$A$51:$M$51</definedName>
    <definedName name="车位类型" localSheetId="18">'[1]比较法-车位'!$B$93:$M$93</definedName>
    <definedName name="车位类型" localSheetId="22">'[1]比较法-车位'!$B$93:$M$93</definedName>
    <definedName name="车位类型" localSheetId="44">#REF!</definedName>
    <definedName name="车位类型">'比较法-车位'!$B$93:$M$93</definedName>
    <definedName name="车位楼层" localSheetId="18">'[1]比较法-车位'!$B$71:$M$71</definedName>
    <definedName name="车位楼层" localSheetId="22">'[1]比较法-车位'!$B$71:$M$71</definedName>
    <definedName name="车位楼层" localSheetId="44">#REF!</definedName>
    <definedName name="车位楼层">'比较法-车位'!$B$71:$M$71</definedName>
    <definedName name="车位配套类型" localSheetId="18">'[1]比较法-车位'!$B$79:$M$79</definedName>
    <definedName name="车位配套类型" localSheetId="22">'[1]比较法-车位'!$B$79:$M$79</definedName>
    <definedName name="车位配套类型" localSheetId="44">#REF!</definedName>
    <definedName name="车位配套类型">'比较法-车位'!$B$79:$M$79</definedName>
    <definedName name="车位物业等级" localSheetId="18">'[1]比较法-车位'!$B$88:$M$88</definedName>
    <definedName name="车位物业等级" localSheetId="22">'[1]比较法-车位'!$B$88:$M$88</definedName>
    <definedName name="车位物业等级" localSheetId="44">#REF!</definedName>
    <definedName name="车位物业等级">'比较法-车位'!$B$88:$M$88</definedName>
    <definedName name="车位用途" localSheetId="18">'[1]比较法-车位'!$B$53:$M$53</definedName>
    <definedName name="车位用途" localSheetId="22">'[1]比较法-车位'!$B$53:$M$53</definedName>
    <definedName name="车位用途" localSheetId="44">#REF!</definedName>
    <definedName name="车位用途">'比较法-车位'!$B$53:$M$53</definedName>
    <definedName name="城镇土地纳税等级分级范围" localSheetId="18">'[1]数据-取费表'!$A$53:$A$63</definedName>
    <definedName name="城镇土地纳税等级分级范围" localSheetId="22">'[1]数据-取费表'!$A$53:$A$63</definedName>
    <definedName name="城镇土地纳税等级分级范围" localSheetId="44">'[2]数据-取费表'!$A$53:$A$63</definedName>
    <definedName name="城镇土地纳税等级分级范围">'数据-取费表'!$A$53:$A$63</definedName>
    <definedName name="单价内涵" localSheetId="18">[1]定义!$V$1:$V$3</definedName>
    <definedName name="单价内涵" localSheetId="22">[1]定义!$V$1:$V$3</definedName>
    <definedName name="单价内涵">定义!$V$1:$V$3</definedName>
    <definedName name="地类判定" localSheetId="18">[1]定义!$H$1:$H$9</definedName>
    <definedName name="地类判定" localSheetId="22">[1]定义!$H$1:$H$9</definedName>
    <definedName name="地类判定" localSheetId="44">[2]定义!$H$1:$H$9</definedName>
    <definedName name="地类判定">定义!$H$1:$H$9</definedName>
    <definedName name="二级">区片价!$I$1:$I$20</definedName>
    <definedName name="二级分类" localSheetId="18">[1]修正!$C$17:$C$39</definedName>
    <definedName name="二级分类" localSheetId="22">[1]修正!$C$17:$C$39</definedName>
    <definedName name="二级分类" localSheetId="44">[2]修正!$C$17:$C$39</definedName>
    <definedName name="二级分类">修正!$C$17:$C$39</definedName>
    <definedName name="法定最高年限" localSheetId="18">[1]定义!$G$1:$G$4</definedName>
    <definedName name="法定最高年限" localSheetId="22">[1]定义!$G$1:$G$4</definedName>
    <definedName name="法定最高年限" localSheetId="44">[2]定义!$G$2:$G$4</definedName>
    <definedName name="法定最高年限">定义!$G$1:$G$4</definedName>
    <definedName name="工业公共部分装修" localSheetId="18">'[1]比较法-工业'!$B$95:$M$95</definedName>
    <definedName name="工业公共部分装修" localSheetId="22">'[1]比较法-工业'!$B$95:$M$95</definedName>
    <definedName name="工业公共部分装修" localSheetId="44">#REF!</definedName>
    <definedName name="工业公共部分装修">'比较法-工业'!$B$95:$M$95</definedName>
    <definedName name="工业基础设施水平" localSheetId="18">'[1]比较法-工业'!$B$102:$M$102</definedName>
    <definedName name="工业基础设施水平" localSheetId="22">'[1]比较法-工业'!$B$102:$M$102</definedName>
    <definedName name="工业基础设施水平" localSheetId="44">#REF!</definedName>
    <definedName name="工业基础设施水平">'比较法-工业'!$B$102:$M$102</definedName>
    <definedName name="工业建筑结构" localSheetId="18">'[1]比较法-工业'!$B$93:$M$93</definedName>
    <definedName name="工业建筑结构" localSheetId="22">'[1]比较法-工业'!$B$93:$M$93</definedName>
    <definedName name="工业建筑结构" localSheetId="44">#REF!</definedName>
    <definedName name="工业建筑结构">'比较法-工业'!$B$93:$M$93</definedName>
    <definedName name="工业建筑类型" localSheetId="18">'[1]比较法-工业'!$B$88:$M$88</definedName>
    <definedName name="工业建筑类型" localSheetId="22">'[1]比较法-工业'!$B$88:$M$88</definedName>
    <definedName name="工业建筑类型" localSheetId="44">#REF!</definedName>
    <definedName name="工业建筑类型">'比较法-工业'!$B$88:$M$88</definedName>
    <definedName name="工业交易情况" localSheetId="18">'[1]比较法-工业'!$A$55:$M$55</definedName>
    <definedName name="工业交易情况" localSheetId="22">'[1]比较法-工业'!$A$55:$M$55</definedName>
    <definedName name="工业交易情况" localSheetId="44">#REF!</definedName>
    <definedName name="工业交易情况">'比较法-工业'!$A$55:$M$55</definedName>
    <definedName name="工业内部装修" localSheetId="18">'[1]比较法-工业'!$B$104:$M$104</definedName>
    <definedName name="工业内部装修" localSheetId="22">'[1]比较法-工业'!$B$104:$M$104</definedName>
    <definedName name="工业内部装修" localSheetId="44">#REF!</definedName>
    <definedName name="工业内部装修">'比较法-工业'!$B$104:$M$104</definedName>
    <definedName name="工业物业管理" localSheetId="18">'[1]比较法-工业'!$B$100:$M$100</definedName>
    <definedName name="工业物业管理" localSheetId="22">'[1]比较法-工业'!$B$100:$M$100</definedName>
    <definedName name="工业物业管理" localSheetId="44">#REF!</definedName>
    <definedName name="工业物业管理">'比较法-工业'!$B$100:$M$100</definedName>
    <definedName name="工业用途" localSheetId="18">'[1]比较法-工业'!$B$57:$M$57</definedName>
    <definedName name="工业用途" localSheetId="22">'[1]比较法-工业'!$B$57:$M$57</definedName>
    <definedName name="工业用途" localSheetId="44">#REF!</definedName>
    <definedName name="工业用途">'比较法-工业'!$B$57:$M$57</definedName>
    <definedName name="公共配套设施" localSheetId="18">[1]定义!$Q$1:$Q$6</definedName>
    <definedName name="公共配套设施" localSheetId="22">[1]定义!$Q$1:$Q$6</definedName>
    <definedName name="公共配套设施" localSheetId="44">[2]定义!$Q$1:$Q$6</definedName>
    <definedName name="公共配套设施">定义!$Q$1:$Q$6</definedName>
    <definedName name="估价方法" localSheetId="18">[1]定义!$B$1:$B$50</definedName>
    <definedName name="估价方法" localSheetId="22">[1]定义!$B$1:$B$50</definedName>
    <definedName name="估价方法" localSheetId="44">[2]定义!$B$1:$B$50</definedName>
    <definedName name="估价方法">定义!$B$1:$B$50</definedName>
    <definedName name="环境" localSheetId="18">[1]定义!$S$1:$S$6</definedName>
    <definedName name="环境" localSheetId="22">[1]定义!$S$1:$S$6</definedName>
    <definedName name="环境" localSheetId="44">[2]定义!$S$1:$S$6</definedName>
    <definedName name="环境">定义!$S$1:$S$6</definedName>
    <definedName name="基础设施水平" localSheetId="18">[1]定义!$R$1:$R$6</definedName>
    <definedName name="基础设施水平" localSheetId="22">[1]定义!$R$1:$R$6</definedName>
    <definedName name="基础设施水平" localSheetId="44">[2]定义!$R$1:$R$6</definedName>
    <definedName name="基础设施水平">定义!$R$1:$R$6</definedName>
    <definedName name="季度">基准地价修正!$Q$19:$AD$19</definedName>
    <definedName name="价值类型2" localSheetId="18">[1]定义!$B$54:$B$56</definedName>
    <definedName name="价值类型2" localSheetId="22">[1]定义!$B$54:$B$56</definedName>
    <definedName name="价值类型2" localSheetId="44">[2]定义!$B$54:$B$56</definedName>
    <definedName name="价值类型2">定义!$B$54:$B$56</definedName>
    <definedName name="交通便捷度" localSheetId="18">[1]定义!$O$1:$O$6</definedName>
    <definedName name="交通便捷度" localSheetId="22">[1]定义!$O$1:$O$6</definedName>
    <definedName name="交通便捷度" localSheetId="44">[2]定义!$O$1:$O$6</definedName>
    <definedName name="交通便捷度">定义!$O$1:$O$6</definedName>
    <definedName name="九级">区片价!$P$1:$P$46</definedName>
    <definedName name="居住社区成熟度" localSheetId="18">[1]定义!$K$1:$K$6</definedName>
    <definedName name="居住社区成熟度" localSheetId="22">[1]定义!$K$1:$K$6</definedName>
    <definedName name="居住社区成熟度" localSheetId="44">[2]定义!$K$1:$K$6</definedName>
    <definedName name="居住社区成熟度">定义!$K$1:$K$6</definedName>
    <definedName name="类别" localSheetId="18">[1]定义!$J$1:$J$3</definedName>
    <definedName name="类别" localSheetId="22">[1]定义!$J$1:$J$3</definedName>
    <definedName name="类别" localSheetId="44">[2]定义!$J$1:$J$3</definedName>
    <definedName name="类别">定义!$J$1:$J$3</definedName>
    <definedName name="临街状况" localSheetId="18">[1]定义!$T$1:$T$5</definedName>
    <definedName name="临街状况" localSheetId="22">[1]定义!$T$1:$T$5</definedName>
    <definedName name="临街状况" localSheetId="44">[2]定义!$T$1:$T$5</definedName>
    <definedName name="临街状况">定义!$T$1:$T$5</definedName>
    <definedName name="六级">区片价!$M$1:$M$49</definedName>
    <definedName name="内部装修维护情况" localSheetId="18">[1]定义!$U$1:$U$6</definedName>
    <definedName name="内部装修维护情况" localSheetId="22">[1]定义!$U$1:$U$6</definedName>
    <definedName name="内部装修维护情况" localSheetId="44">[2]定义!$U$1:$U$6</definedName>
    <definedName name="内部装修维护情况">定义!$U$1:$U$6</definedName>
    <definedName name="判定" localSheetId="18">[1]定义!$D$1:$D$4</definedName>
    <definedName name="判定" localSheetId="22">[1]定义!$D$1:$D$4</definedName>
    <definedName name="判定" localSheetId="44">[2]定义!$D$1:$D$4</definedName>
    <definedName name="判定">定义!$D$1:$D$4</definedName>
    <definedName name="七级">区片价!$N$1:$N$49</definedName>
    <definedName name="七通一平" localSheetId="18">[1]修正!$A$6:$A$14</definedName>
    <definedName name="七通一平" localSheetId="22">[1]修正!$A$6:$A$14</definedName>
    <definedName name="七通一平" localSheetId="44">[2]修正!$A$6:$A$14</definedName>
    <definedName name="七通一平">修正!$A$6:$A$14</definedName>
    <definedName name="区域土地利用方向" localSheetId="18">[1]定义!$P$1:$P$6</definedName>
    <definedName name="区域土地利用方向" localSheetId="22">[1]定义!$P$1:$P$6</definedName>
    <definedName name="区域土地利用方向">定义!$P$1:$P$6</definedName>
    <definedName name="三级">区片价!$J$1:$J$21</definedName>
    <definedName name="商业层高" localSheetId="18">'[1]比较法-商业'!$B$116:$M$116</definedName>
    <definedName name="商业层高" localSheetId="22">'[1]比较法-商业'!$B$116:$M$116</definedName>
    <definedName name="商业层高" localSheetId="44">'[2]不动产比较法-商业'!$B$116:$M$116</definedName>
    <definedName name="商业层高">'比较法-商业'!$B$116:$M$116</definedName>
    <definedName name="商业成新度">'比较法-商业'!$B$109:$M$109</definedName>
    <definedName name="商业繁华度" localSheetId="18">[1]定义!$L$1:$L$6</definedName>
    <definedName name="商业繁华度" localSheetId="22">[1]定义!$L$1:$L$6</definedName>
    <definedName name="商业繁华度" localSheetId="44">[2]定义!$L$1:$L$6</definedName>
    <definedName name="商业繁华度">定义!$L$1:$L$6</definedName>
    <definedName name="商业公共部分装修" localSheetId="18">'[1]比较法-商业'!$B$107:$M$107</definedName>
    <definedName name="商业公共部分装修" localSheetId="22">'[1]比较法-商业'!$B$107:$M$107</definedName>
    <definedName name="商业公共部分装修" localSheetId="44">'[2]不动产比较法-商业'!$B$107:$M$107</definedName>
    <definedName name="商业公共部分装修">'比较法-商业'!$B$107:$M$107</definedName>
    <definedName name="商业基础设施水平" localSheetId="18">'[1]比较法-商业'!$B$112:$M$112</definedName>
    <definedName name="商业基础设施水平" localSheetId="22">'[1]比较法-商业'!$B$112:$M$112</definedName>
    <definedName name="商业基础设施水平" localSheetId="44">'[2]不动产比较法-商业'!$B$112:$M$112</definedName>
    <definedName name="商业基础设施水平">'比较法-商业'!$B$112:$M$112</definedName>
    <definedName name="商业建筑结构" localSheetId="18">'[1]比较法-商业'!$B$105:$M$105</definedName>
    <definedName name="商业建筑结构" localSheetId="22">'[1]比较法-商业'!$B$105:$M$105</definedName>
    <definedName name="商业建筑结构" localSheetId="44">'[2]不动产比较法-商业'!$B$105:$M$105</definedName>
    <definedName name="商业建筑结构">'比较法-商业'!$B$105:$M$105</definedName>
    <definedName name="商业交易情况" localSheetId="18">'[1]比较法-商业'!$A$61:$M$61</definedName>
    <definedName name="商业交易情况" localSheetId="22">'[1]比较法-商业'!$A$61:$M$61</definedName>
    <definedName name="商业交易情况" localSheetId="44">'[2]不动产比较法-商业'!$A$61:$M$61</definedName>
    <definedName name="商业交易情况">'比较法-商业'!$A$61:$M$61</definedName>
    <definedName name="商业街名称" localSheetId="18">[1]修正!$C$59:$C$119</definedName>
    <definedName name="商业街名称" localSheetId="22">[1]修正!$C$59:$C$119</definedName>
    <definedName name="商业街名称" localSheetId="44">[2]修正!$C$59:$C$119</definedName>
    <definedName name="商业街名称">修正!$C$59:$C$119</definedName>
    <definedName name="商业进深比" localSheetId="18">'[1]比较法-商业'!$B$120:$M$120</definedName>
    <definedName name="商业进深比" localSheetId="22">'[1]比较法-商业'!$B$120:$M$120</definedName>
    <definedName name="商业进深比" localSheetId="44">'[2]不动产比较法-商业'!$B$120:$M$120</definedName>
    <definedName name="商业进深比">'比较法-商业'!$B$120:$M$120</definedName>
    <definedName name="商业类型" localSheetId="18">'[1]比较法-商业'!$B$100:$M$100</definedName>
    <definedName name="商业类型" localSheetId="22">'[1]比较法-商业'!$B$100:$M$100</definedName>
    <definedName name="商业类型" localSheetId="44">'[2]不动产比较法-商业'!$B$100:$M$100</definedName>
    <definedName name="商业类型">'比较法-商业'!$B$100:$M$100</definedName>
    <definedName name="商业临街状况" localSheetId="18">'[1]比较法-商业'!$B$86:$M$86</definedName>
    <definedName name="商业临街状况" localSheetId="22">'[1]比较法-商业'!$B$86:$M$86</definedName>
    <definedName name="商业临街状况" localSheetId="44">'[2]不动产比较法-商业'!$B$86:$M$86</definedName>
    <definedName name="商业临街状况">'比较法-商业'!$B$86:$M$86</definedName>
    <definedName name="商业楼层" localSheetId="18">'[1]比较法-商业'!$B$92:$M$92</definedName>
    <definedName name="商业楼层" localSheetId="22">'[1]比较法-商业'!$B$92:$M$92</definedName>
    <definedName name="商业楼层" localSheetId="44">'[2]不动产比较法-商业'!$B$92:$M$92</definedName>
    <definedName name="商业楼层">'比较法-商业'!$B$92:$M$92</definedName>
    <definedName name="商业内部装修" localSheetId="18">'[1]比较法-商业'!$B$122:$M$122</definedName>
    <definedName name="商业内部装修" localSheetId="22">'[1]比较法-商业'!$B$122:$M$122</definedName>
    <definedName name="商业内部装修" localSheetId="44">'[2]不动产比较法-商业'!$B$122:$M$122</definedName>
    <definedName name="商业内部装修">'比较法-商业'!$B$122:$M$122</definedName>
    <definedName name="商业人流量" localSheetId="18">'[1]比较法-商业'!$B$90:$M$90</definedName>
    <definedName name="商业人流量" localSheetId="22">'[1]比较法-商业'!$B$90:$M$90</definedName>
    <definedName name="商业人流量" localSheetId="44">'[2]不动产比较法-商业'!$B$90:$M$90</definedName>
    <definedName name="商业人流量">'比较法-商业'!$B$90:$M$90</definedName>
    <definedName name="商业业态" localSheetId="18">'[1]比较法-商业'!$B$114:$M$114</definedName>
    <definedName name="商业业态" localSheetId="22">'[1]比较法-商业'!$B$114:$M$114</definedName>
    <definedName name="商业业态" localSheetId="44">'[2]不动产比较法-商业'!$B$114:$M$114</definedName>
    <definedName name="商业业态">'比较法-商业'!$B$114:$M$114</definedName>
    <definedName name="商业用途" localSheetId="18">'[1]比较法-商业'!$B$63:$M$63</definedName>
    <definedName name="商业用途" localSheetId="22">'[1]比较法-商业'!$B$63:$M$63</definedName>
    <definedName name="商业用途" localSheetId="44">'[2]不动产比较法-商业'!$B$63:$M$63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 localSheetId="22">'[1]比较法-仓储'!$B$89:$M$89</definedName>
    <definedName name="是否封闭" localSheetId="44">#REF!</definedName>
    <definedName name="是否封闭">'比较法-仓储'!$B$89:$M$89</definedName>
    <definedName name="是否直接入户" localSheetId="18">'[1]比较法-车位'!$B$95:$M$95</definedName>
    <definedName name="是否直接入户" localSheetId="22">'[1]比较法-车位'!$B$95:$M$95</definedName>
    <definedName name="是否直接入户" localSheetId="44">#REF!</definedName>
    <definedName name="是否直接入户">'比较法-车位'!$B$95:$M$95</definedName>
    <definedName name="四级">区片价!$K$1:$K$28</definedName>
    <definedName name="套工道路等级" localSheetId="18">'[1]土地比较法-工业'!$B$97:$M$97</definedName>
    <definedName name="套工道路等级" localSheetId="22">'[1]土地比较法-工业'!$B$97:$M$97</definedName>
    <definedName name="套工道路等级">'土地比较法-工业'!$B$97:$M$97</definedName>
    <definedName name="套工地质条件" localSheetId="18">'[1]土地比较法-工业'!$B$114:$M$114</definedName>
    <definedName name="套工地质条件" localSheetId="22">'[1]土地比较法-工业'!$B$114:$M$114</definedName>
    <definedName name="套工地质条件">'土地比较法-工业'!$B$114:$M$114</definedName>
    <definedName name="套工工程地质条件">#REF!</definedName>
    <definedName name="套工交易情况" localSheetId="18">'[1]土地比较法-住宅、综合'!$A$73:$M$73</definedName>
    <definedName name="套工交易情况" localSheetId="22">'[1]土地比较法-住宅、综合'!$A$73:$M$73</definedName>
    <definedName name="套工交易情况" localSheetId="44">#REF!</definedName>
    <definedName name="套工交易情况">'土地比较法-住宅、综合'!$A$73:$M$73</definedName>
    <definedName name="套工开发程度">#REF!</definedName>
    <definedName name="套工临街等级">#REF!</definedName>
    <definedName name="套工土地级别" localSheetId="18">'[1]土地比较法-工业'!$B$99:$M$99</definedName>
    <definedName name="套工土地级别" localSheetId="22">'[1]土地比较法-工业'!$B$99:$M$99</definedName>
    <definedName name="套工土地级别" localSheetId="44">#REF!</definedName>
    <definedName name="套工土地级别">'土地比较法-工业'!$B$99:$M$99</definedName>
    <definedName name="套工用途" localSheetId="18">'[1]土地比较法-工业'!$B$70:$M$70</definedName>
    <definedName name="套工用途" localSheetId="22">'[1]土地比较法-工业'!$B$70:$M$70</definedName>
    <definedName name="套工用途" localSheetId="44">#REF!</definedName>
    <definedName name="套工用途">'土地比较法-工业'!$B$70:$M$70</definedName>
    <definedName name="套工宗地开发程度" localSheetId="18">'[1]土地比较法-工业'!$B$112:$M$112</definedName>
    <definedName name="套工宗地开发程度" localSheetId="22">'[1]土地比较法-工业'!$B$112:$M$112</definedName>
    <definedName name="套工宗地开发程度">'土地比较法-工业'!$B$112:$M$112</definedName>
    <definedName name="套工宗地形状" localSheetId="18">'[1]土地比较法-工业'!$B$110:$M$110</definedName>
    <definedName name="套工宗地形状" localSheetId="22">'[1]土地比较法-工业'!$B$110:$M$110</definedName>
    <definedName name="套工宗地形状" localSheetId="44">#REF!</definedName>
    <definedName name="套工宗地形状">'土地比较法-工业'!$B$110:$M$110</definedName>
    <definedName name="套综道路等级" localSheetId="18">'[1]土地比较法-住宅、综合'!$B$106:$M$106</definedName>
    <definedName name="套综道路等级" localSheetId="22">'[1]土地比较法-住宅、综合'!$B$106:$M$106</definedName>
    <definedName name="套综道路等级" localSheetId="44">#REF!</definedName>
    <definedName name="套综道路等级">'土地比较法-住宅、综合'!$B$106:$M$106</definedName>
    <definedName name="套综工程地质条件" localSheetId="18">'[1]土地比较法-住宅、综合'!$B$125:$M$125</definedName>
    <definedName name="套综工程地质条件" localSheetId="22">'[1]土地比较法-住宅、综合'!$B$125:$M$125</definedName>
    <definedName name="套综工程地质条件" localSheetId="44">#REF!</definedName>
    <definedName name="套综工程地质条件">'土地比较法-住宅、综合'!$B$125:$M$125</definedName>
    <definedName name="套综交易情况" localSheetId="18">'[1]土地比较法-住宅、综合'!$A$73:$M$73</definedName>
    <definedName name="套综交易情况" localSheetId="22">'[1]土地比较法-住宅、综合'!$A$73:$M$73</definedName>
    <definedName name="套综交易情况" localSheetId="44">#REF!</definedName>
    <definedName name="套综交易情况">'土地比较法-住宅、综合'!$A$73:$M$73</definedName>
    <definedName name="套综临街宽度及深度" localSheetId="18">'[1]土地比较法-住宅、综合'!$B$121:$M$121</definedName>
    <definedName name="套综临街宽度及深度" localSheetId="22">'[1]土地比较法-住宅、综合'!$B$121:$M$121</definedName>
    <definedName name="套综临街宽度及深度" localSheetId="44">#REF!</definedName>
    <definedName name="套综临街宽度及深度">'土地比较法-住宅、综合'!$B$121:$M$121</definedName>
    <definedName name="套综土地级别" localSheetId="18">'[1]土地比较法-住宅、综合'!$B$108:$M$108</definedName>
    <definedName name="套综土地级别" localSheetId="22">'[1]土地比较法-住宅、综合'!$B$108:$M$108</definedName>
    <definedName name="套综土地级别" localSheetId="44">#REF!</definedName>
    <definedName name="套综土地级别">'土地比较法-住宅、综合'!$B$108:$M$108</definedName>
    <definedName name="套综用途" localSheetId="18">'[1]土地比较法-住宅、综合'!$B$75:$M$75</definedName>
    <definedName name="套综用途" localSheetId="22">'[1]土地比较法-住宅、综合'!$B$75:$M$75</definedName>
    <definedName name="套综用途" localSheetId="44">#REF!</definedName>
    <definedName name="套综用途">'土地比较法-住宅、综合'!$B$75:$M$75</definedName>
    <definedName name="套综宗地内开发程度" localSheetId="18">'[1]土地比较法-住宅、综合'!$B$123:$M$123</definedName>
    <definedName name="套综宗地内开发程度" localSheetId="22">'[1]土地比较法-住宅、综合'!$B$123:$M$123</definedName>
    <definedName name="套综宗地内开发程度" localSheetId="44">#REF!</definedName>
    <definedName name="套综宗地内开发程度">'土地比较法-住宅、综合'!$B$123:$M$123</definedName>
    <definedName name="套综宗地形状" localSheetId="18">'[1]土地比较法-住宅、综合'!$B$119:$M$119</definedName>
    <definedName name="套综宗地形状" localSheetId="22">'[1]土地比较法-住宅、综合'!$B$119:$M$119</definedName>
    <definedName name="套综宗地形状" localSheetId="44">#REF!</definedName>
    <definedName name="套综宗地形状">'土地比较法-住宅、综合'!$B$119:$M$119</definedName>
    <definedName name="土地估价师" localSheetId="44">[2]估价师及机构信息!$D$3:$D$24</definedName>
    <definedName name="土地估价师">估价师及机构信息!$D$3:$D$24</definedName>
    <definedName name="土地级别" localSheetId="18">[1]定义!$C$1:$C$14</definedName>
    <definedName name="土地级别" localSheetId="22">[1]定义!$C$1:$C$14</definedName>
    <definedName name="土地级别" localSheetId="44">[2]定义!$C$1:$C$14</definedName>
    <definedName name="土地级别">定义!$C$1:$C$14</definedName>
    <definedName name="土地利用方向">定义!$P$1:$P$6</definedName>
    <definedName name="土地年限区间" localSheetId="18">[1]定义!$I$1:$I$8</definedName>
    <definedName name="土地年限区间" localSheetId="22">[1]定义!$I$1:$I$8</definedName>
    <definedName name="土地年限区间" localSheetId="44">[2]定义!$I$1:$I$8</definedName>
    <definedName name="土地年限区间">定义!$I$1:$I$8</definedName>
    <definedName name="位置" localSheetId="18">[1]定义!$E$2:$E$4</definedName>
    <definedName name="位置" localSheetId="22">[1]定义!$E$2:$E$4</definedName>
    <definedName name="位置" localSheetId="44">[2]定义!$E$2:$E$4</definedName>
    <definedName name="位置">定义!$E$2:$E$4</definedName>
    <definedName name="五等判定" localSheetId="18">[1]定义!$W$1:$W$6</definedName>
    <definedName name="五等判定" localSheetId="22">[1]定义!$W$1:$W$6</definedName>
    <definedName name="五等判定" localSheetId="44">[2]定义!$W$1:$W$6</definedName>
    <definedName name="五等判定">定义!$W$1:$W$6</definedName>
    <definedName name="五级">区片价!$L$1:$L$35</definedName>
    <definedName name="项目类型" localSheetId="18">'[1]数据-汇总表'!$C$17:$C$26</definedName>
    <definedName name="项目类型" localSheetId="22">'[1]数据-汇总表'!$C$17:$C$26</definedName>
    <definedName name="项目类型" localSheetId="44">'[2]数据-汇总表'!$C$17:$C$26</definedName>
    <definedName name="项目类型">'数据-汇总表'!$C$17:$C$26</definedName>
    <definedName name="写字楼等级" localSheetId="18">'[1]比较法-办公'!$B$113:$M$113</definedName>
    <definedName name="写字楼等级" localSheetId="22">'[1]比较法-办公'!$B$113:$M$113</definedName>
    <definedName name="写字楼等级" localSheetId="44">'[2]不动产比较法-办公'!$B$113:$M$113</definedName>
    <definedName name="写字楼等级">'比较法-办公'!$B$113:$M$113</definedName>
    <definedName name="一级">区片价!$H$1:$H$6</definedName>
    <definedName name="一修多修正项2" localSheetId="18">[1]典型户型修正!$5:$5</definedName>
    <definedName name="一修多修正项2" localSheetId="22">[1]典型户型修正!$5:$5</definedName>
    <definedName name="一修多修正项2" localSheetId="44">[2]典型户型修正!$5:$5</definedName>
    <definedName name="一修多修正项2">典型户型修正!$5:$5</definedName>
    <definedName name="一修多修正项3" localSheetId="18">[1]典型户型修正!$7:$7</definedName>
    <definedName name="一修多修正项3" localSheetId="22">[1]典型户型修正!$7:$7</definedName>
    <definedName name="一修多修正项3" localSheetId="44">[2]典型户型修正!$7:$7</definedName>
    <definedName name="一修多修正项3">典型户型修正!$7:$7</definedName>
    <definedName name="一修多修正项4" localSheetId="18">[1]典型户型修正!$9:$9</definedName>
    <definedName name="一修多修正项4" localSheetId="22">[1]典型户型修正!$9:$9</definedName>
    <definedName name="一修多修正项4" localSheetId="44">[2]典型户型修正!$9:$9</definedName>
    <definedName name="一修多修正项4">典型户型修正!$9:$9</definedName>
    <definedName name="一修多修正项5" localSheetId="18">[1]典型户型修正!$11:$11</definedName>
    <definedName name="一修多修正项5" localSheetId="22">[1]典型户型修正!$11:$11</definedName>
    <definedName name="一修多修正项5" localSheetId="44">[2]典型户型修正!$11:$11</definedName>
    <definedName name="一修多修正项5">典型户型修正!$11:$11</definedName>
    <definedName name="一修多修正项6" localSheetId="18">[1]典型户型修正!$13:$13</definedName>
    <definedName name="一修多修正项6" localSheetId="22">[1]典型户型修正!$13:$13</definedName>
    <definedName name="一修多修正项6" localSheetId="44">[2]典型户型修正!$13:$13</definedName>
    <definedName name="一修多修正项6">典型户型修正!$13:$13</definedName>
    <definedName name="一修多修正项7" localSheetId="18">[1]典型户型修正!$15:$15</definedName>
    <definedName name="一修多修正项7" localSheetId="22">[1]典型户型修正!$15:$15</definedName>
    <definedName name="一修多修正项7" localSheetId="44">[2]典型户型修正!$15:$15</definedName>
    <definedName name="一修多修正项7">典型户型修正!$15:$15</definedName>
    <definedName name="一修多修正项8" localSheetId="18">[1]典型户型修正!$17:$17</definedName>
    <definedName name="一修多修正项8" localSheetId="22">[1]典型户型修正!$17:$17</definedName>
    <definedName name="一修多修正项8" localSheetId="44">[2]典型户型修正!$17:$17</definedName>
    <definedName name="一修多修正项8">典型户型修正!$17:$17</definedName>
    <definedName name="用途类型">[2]定义!$A$1:$A$50</definedName>
    <definedName name="用途明细" localSheetId="18">[1]定义!$A$1:$A$50</definedName>
    <definedName name="用途明细" localSheetId="22">[1]定义!$A$1:$A$50</definedName>
    <definedName name="用途明细">定义!$A$1:$A$50</definedName>
    <definedName name="有无电梯" localSheetId="18">'[1]比较法-仓储'!$B$84:$M$84</definedName>
    <definedName name="有无电梯" localSheetId="22">'[1]比较法-仓储'!$B$84:$M$84</definedName>
    <definedName name="有无电梯" localSheetId="44">#REF!</definedName>
    <definedName name="有无电梯">'比较法-仓储'!$B$84:$M$84</definedName>
    <definedName name="主用途" localSheetId="18">[1]定义!$F$1:$F$10</definedName>
    <definedName name="主用途" localSheetId="22">[1]定义!$F$1:$F$10</definedName>
    <definedName name="主用途" localSheetId="44">[2]定义!$F$1:$F$10</definedName>
    <definedName name="主用途">定义!$F$1:$F$10</definedName>
    <definedName name="住宅朝向" localSheetId="18">'[1]比较法-住宅'!$B$88:$M$88</definedName>
    <definedName name="住宅朝向" localSheetId="22">'[1]比较法-住宅'!$B$88:$M$88</definedName>
    <definedName name="住宅朝向" localSheetId="44">'[2]不动产比较法-住宅'!$B$88:$M$88</definedName>
    <definedName name="住宅朝向">'比较法-住宅'!$B$88:$M$88</definedName>
    <definedName name="住宅房型" localSheetId="18">'[1]比较法-住宅'!$B$118:$M$118</definedName>
    <definedName name="住宅房型" localSheetId="22">'[1]比较法-住宅'!$B$118:$M$118</definedName>
    <definedName name="住宅房型" localSheetId="44">'[2]不动产比较法-住宅'!$B$118:$M$118</definedName>
    <definedName name="住宅房型">'比较法-住宅'!$B$118:$M$118</definedName>
    <definedName name="住宅公共部分装修" localSheetId="18">'[1]比较法-住宅'!$B$109:$M$109</definedName>
    <definedName name="住宅公共部分装修" localSheetId="22">'[1]比较法-住宅'!$B$109:$M$109</definedName>
    <definedName name="住宅公共部分装修" localSheetId="44">'[2]不动产比较法-住宅'!$B$109:$M$109</definedName>
    <definedName name="住宅公共部分装修">'比较法-住宅'!$B$109:$M$109</definedName>
    <definedName name="住宅基础设施水平" localSheetId="18">'[1]比较法-住宅'!$B$116:$M$116</definedName>
    <definedName name="住宅基础设施水平" localSheetId="22">'[1]比较法-住宅'!$B$116:$M$116</definedName>
    <definedName name="住宅基础设施水平" localSheetId="44">'[2]不动产比较法-住宅'!$B$116:$M$116</definedName>
    <definedName name="住宅基础设施水平">'比较法-住宅'!$B$116:$M$116</definedName>
    <definedName name="住宅建筑结构" localSheetId="18">'[1]比较法-住宅'!$B$105:$M$105</definedName>
    <definedName name="住宅建筑结构" localSheetId="22">'[1]比较法-住宅'!$B$105:$M$105</definedName>
    <definedName name="住宅建筑结构" localSheetId="44">'[2]不动产比较法-住宅'!$B$105:$M$105</definedName>
    <definedName name="住宅建筑结构">'比较法-住宅'!$B$105:$M$105</definedName>
    <definedName name="住宅建筑类型" localSheetId="18">'[1]比较法-住宅'!$B$100:$M$100</definedName>
    <definedName name="住宅建筑类型" localSheetId="22">'[1]比较法-住宅'!$B$100:$M$100</definedName>
    <definedName name="住宅建筑类型" localSheetId="44">'[2]不动产比较法-住宅'!$B$100:$M$100</definedName>
    <definedName name="住宅建筑类型">'比较法-住宅'!$B$100:$M$100</definedName>
    <definedName name="住宅建筑品质" localSheetId="18">'[1]比较法-住宅'!$B$107:$M$107</definedName>
    <definedName name="住宅建筑品质" localSheetId="22">'[1]比较法-住宅'!$B$107:$M$107</definedName>
    <definedName name="住宅建筑品质" localSheetId="44">'[2]不动产比较法-住宅'!$B$107:$M$107</definedName>
    <definedName name="住宅建筑品质">'比较法-住宅'!$B$107:$M$107</definedName>
    <definedName name="住宅交易情况" localSheetId="18">'[1]比较法-住宅'!$A$61:$M$61</definedName>
    <definedName name="住宅交易情况" localSheetId="22">'[1]比较法-住宅'!$A$61:$M$61</definedName>
    <definedName name="住宅交易情况" localSheetId="44">'[2]不动产比较法-住宅'!$A$61:$M$61</definedName>
    <definedName name="住宅交易情况">'比较法-住宅'!$A$61:$M$61</definedName>
    <definedName name="住宅楼层" localSheetId="18">'[1]比较法-住宅'!$B$86:$M$86</definedName>
    <definedName name="住宅楼层" localSheetId="22">'[1]比较法-住宅'!$B$86:$M$86</definedName>
    <definedName name="住宅楼层" localSheetId="44">'[2]不动产比较法-住宅'!$B$86:$M$86</definedName>
    <definedName name="住宅楼层">'比较法-住宅'!$B$86:$M$86</definedName>
    <definedName name="住宅内部装修" localSheetId="18">'[1]比较法-住宅'!$B$122:$M$122</definedName>
    <definedName name="住宅内部装修" localSheetId="22">'[1]比较法-住宅'!$B$122:$M$122</definedName>
    <definedName name="住宅内部装修" localSheetId="44">'[2]不动产比较法-住宅'!$B$122:$M$122</definedName>
    <definedName name="住宅内部装修">'比较法-住宅'!$B$122:$M$122</definedName>
    <definedName name="住宅物业管理" localSheetId="18">'[1]比较法-住宅'!$B$114:$M$114</definedName>
    <definedName name="住宅物业管理" localSheetId="22">'[1]比较法-住宅'!$B$114:$M$114</definedName>
    <definedName name="住宅物业管理" localSheetId="44">'[2]不动产比较法-住宅'!$B$114:$M$114</definedName>
    <definedName name="住宅物业管理">'比较法-住宅'!$B$114:$M$114</definedName>
    <definedName name="住宅用途" localSheetId="18">'[1]比较法-住宅'!$B$63:$M$63</definedName>
    <definedName name="住宅用途" localSheetId="22">'[1]比较法-住宅'!$B$63:$M$63</definedName>
    <definedName name="住宅用途" localSheetId="44">'[2]不动产比较法-住宅'!$B$63:$M$63</definedName>
    <definedName name="住宅用途">'比较法-住宅'!$B$63:$M$63</definedName>
    <definedName name="住宅主力户型面积">'比较法-住宅'!$B$120:$M$120</definedName>
    <definedName name="注册房地产估价师" localSheetId="18">[1]估价师及机构信息!$A$3:$A$24</definedName>
    <definedName name="注册房地产估价师" localSheetId="22">[1]估价师及机构信息!$A$3:$A$24</definedName>
    <definedName name="注册房地产估价师">估价师及机构信息!$A$3:$A$24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15" l="1"/>
  <c r="L6" i="1"/>
  <c r="AN13" i="3"/>
  <c r="I63" i="88" l="1"/>
  <c r="G62" i="88"/>
  <c r="F12" i="82" l="1"/>
  <c r="C67" i="88"/>
  <c r="B67" i="88"/>
  <c r="C66" i="88"/>
  <c r="B66" i="88"/>
  <c r="C65" i="88"/>
  <c r="B65" i="88"/>
  <c r="B64" i="88"/>
  <c r="C11" i="82"/>
  <c r="F27" i="68"/>
  <c r="C1" i="82" l="1"/>
  <c r="AR13" i="3"/>
  <c r="I7" i="6" l="1"/>
  <c r="I61" i="88" l="1"/>
  <c r="H61" i="88"/>
  <c r="G61" i="88"/>
  <c r="F61" i="88"/>
  <c r="E61" i="88"/>
  <c r="D61" i="88"/>
  <c r="C61" i="88"/>
  <c r="B61" i="88"/>
  <c r="C11" i="89"/>
  <c r="D11" i="89"/>
  <c r="E11" i="89"/>
  <c r="F11" i="89"/>
  <c r="G11" i="89"/>
  <c r="G12" i="89" s="1"/>
  <c r="H11" i="89"/>
  <c r="I11" i="89"/>
  <c r="B11" i="89"/>
  <c r="B12" i="89" s="1"/>
  <c r="B62" i="88" l="1"/>
  <c r="C63" i="88" s="1"/>
  <c r="H63" i="88" s="1"/>
  <c r="D61" i="84"/>
  <c r="D1" i="82" l="1"/>
  <c r="K13" i="3"/>
  <c r="C61" i="68"/>
  <c r="E61" i="68"/>
  <c r="G63" i="88"/>
  <c r="F62" i="68" s="1"/>
  <c r="G8" i="87"/>
  <c r="H8" i="87"/>
  <c r="J8" i="87" l="1"/>
  <c r="H4" i="87"/>
  <c r="J61" i="88" l="1"/>
  <c r="E61" i="84" l="1"/>
  <c r="G49" i="88"/>
  <c r="G50" i="88" s="1"/>
  <c r="F62" i="84" l="1"/>
  <c r="G20" i="6"/>
  <c r="C61" i="84"/>
  <c r="AD13" i="3"/>
  <c r="I13" i="3"/>
  <c r="C38" i="88"/>
  <c r="F36" i="88"/>
  <c r="F37" i="88" s="1"/>
  <c r="F35" i="88"/>
  <c r="F32" i="88"/>
  <c r="H31" i="88"/>
  <c r="F31" i="88"/>
  <c r="H30" i="88"/>
  <c r="F30" i="88"/>
  <c r="C27" i="88"/>
  <c r="C26" i="88"/>
  <c r="F34" i="88" s="1"/>
  <c r="F21" i="88"/>
  <c r="J13" i="87"/>
  <c r="J12" i="87"/>
  <c r="J11" i="87"/>
  <c r="K10" i="87"/>
  <c r="K9" i="87"/>
  <c r="J6" i="87"/>
  <c r="G4" i="87"/>
  <c r="E4" i="87"/>
  <c r="D4" i="87"/>
  <c r="C4" i="87" l="1"/>
  <c r="G34" i="88"/>
  <c r="H34" i="88" s="1"/>
  <c r="D21" i="88"/>
  <c r="F61" i="68"/>
  <c r="F61" i="84" s="1"/>
  <c r="D22" i="88"/>
  <c r="G32" i="88"/>
  <c r="H32" i="88" s="1"/>
  <c r="D24" i="88"/>
  <c r="F4" i="87"/>
  <c r="G36" i="88"/>
  <c r="H36" i="88" s="1"/>
  <c r="K4" i="87"/>
  <c r="G37" i="88"/>
  <c r="H37" i="88" s="1"/>
  <c r="F33" i="88"/>
  <c r="D20" i="88"/>
  <c r="D23" i="88"/>
  <c r="D25" i="88"/>
  <c r="G33" i="88"/>
  <c r="H33" i="88" s="1"/>
  <c r="G35" i="88"/>
  <c r="H35" i="88" s="1"/>
  <c r="J4" i="87"/>
  <c r="I4" i="87" l="1"/>
  <c r="H38" i="88"/>
  <c r="H40" i="88" s="1"/>
  <c r="H43" i="88" s="1"/>
  <c r="D26" i="88"/>
  <c r="F25" i="88" l="1"/>
  <c r="G25" i="88" s="1"/>
  <c r="C40" i="88"/>
  <c r="F39" i="85"/>
  <c r="F38" i="85" l="1"/>
  <c r="H62" i="68"/>
  <c r="H61" i="68"/>
  <c r="AL7" i="1"/>
  <c r="E4" i="82" l="1"/>
  <c r="F4" i="82"/>
  <c r="E37" i="84"/>
  <c r="D37" i="84"/>
  <c r="G60" i="84"/>
  <c r="G60" i="68" l="1"/>
  <c r="E3" i="83"/>
  <c r="AH7" i="1"/>
  <c r="H13" i="4"/>
  <c r="E2" i="83"/>
  <c r="C12" i="83" s="1"/>
  <c r="H12" i="83"/>
  <c r="H25" i="83" s="1"/>
  <c r="Q73" i="85"/>
  <c r="F67" i="85"/>
  <c r="F63" i="85"/>
  <c r="F62" i="85"/>
  <c r="F61" i="85"/>
  <c r="Q60" i="85"/>
  <c r="K60" i="85"/>
  <c r="P62" i="85" s="1"/>
  <c r="Q59" i="85"/>
  <c r="Q52" i="85"/>
  <c r="J51" i="85"/>
  <c r="J52" i="85" s="1"/>
  <c r="M48" i="85"/>
  <c r="D47" i="85"/>
  <c r="F23" i="85"/>
  <c r="D22" i="85" s="1"/>
  <c r="D23" i="85"/>
  <c r="F21" i="85"/>
  <c r="F20" i="85"/>
  <c r="M19" i="85"/>
  <c r="F18" i="85"/>
  <c r="F15" i="85"/>
  <c r="F38" i="84"/>
  <c r="F35" i="84"/>
  <c r="N33" i="84"/>
  <c r="M33" i="84"/>
  <c r="F21" i="84"/>
  <c r="C21" i="84" s="1"/>
  <c r="F20" i="84"/>
  <c r="C19" i="84"/>
  <c r="E10" i="84"/>
  <c r="E9" i="84"/>
  <c r="F7" i="84"/>
  <c r="C7" i="84" s="1"/>
  <c r="E2" i="84"/>
  <c r="I25" i="83" l="1"/>
  <c r="L7" i="1"/>
  <c r="P75" i="85"/>
  <c r="D24" i="85"/>
  <c r="L26" i="84"/>
  <c r="C40" i="84"/>
  <c r="H14" i="83" l="1"/>
  <c r="I12" i="83" l="1"/>
  <c r="F21" i="15" l="1"/>
  <c r="B35" i="1" l="1"/>
  <c r="N33" i="68" l="1"/>
  <c r="M33" i="68"/>
  <c r="D32" i="83" l="1"/>
  <c r="D31" i="83"/>
  <c r="F14" i="83"/>
  <c r="F12" i="83"/>
  <c r="G12" i="83" s="1"/>
  <c r="D16" i="83"/>
  <c r="L22" i="83"/>
  <c r="E12" i="83"/>
  <c r="C14" i="83"/>
  <c r="C20" i="83" s="1"/>
  <c r="D33" i="83" l="1"/>
  <c r="F16" i="83"/>
  <c r="G16" i="83" s="1"/>
  <c r="G20" i="83" s="1"/>
  <c r="H16" i="83"/>
  <c r="E14" i="83"/>
  <c r="I14" i="83"/>
  <c r="E16" i="83"/>
  <c r="E18" i="83" s="1"/>
  <c r="G14" i="83"/>
  <c r="G24" i="83"/>
  <c r="C32" i="83" s="1"/>
  <c r="M22" i="83"/>
  <c r="C31" i="83" s="1"/>
  <c r="E20" i="83" l="1"/>
  <c r="E24" i="83"/>
  <c r="G18" i="83"/>
  <c r="I16" i="83"/>
  <c r="I20" i="83" s="1"/>
  <c r="G22" i="83"/>
  <c r="C33" i="83"/>
  <c r="E33" i="83" s="1"/>
  <c r="E22" i="83"/>
  <c r="N51" i="80"/>
  <c r="N42" i="80"/>
  <c r="N31" i="80"/>
  <c r="N22" i="80"/>
  <c r="N12" i="80"/>
  <c r="N2" i="80"/>
  <c r="Q72" i="79"/>
  <c r="F62" i="79"/>
  <c r="F61" i="79"/>
  <c r="F60" i="79"/>
  <c r="Q59" i="79"/>
  <c r="K59" i="79"/>
  <c r="P74" i="79" s="1"/>
  <c r="Q58" i="79"/>
  <c r="Q51" i="79"/>
  <c r="J50" i="79"/>
  <c r="J51" i="79" s="1"/>
  <c r="M47" i="79"/>
  <c r="D46" i="79"/>
  <c r="F23" i="79"/>
  <c r="D22" i="79" s="1"/>
  <c r="F21" i="79"/>
  <c r="F20" i="79"/>
  <c r="M19" i="79"/>
  <c r="F18" i="79"/>
  <c r="F17" i="79"/>
  <c r="F15" i="79"/>
  <c r="F39" i="15"/>
  <c r="F38" i="15"/>
  <c r="D38" i="43"/>
  <c r="D39" i="43"/>
  <c r="F38" i="78"/>
  <c r="E37" i="78"/>
  <c r="F36" i="78"/>
  <c r="F35" i="78"/>
  <c r="F21" i="78"/>
  <c r="C21" i="78" s="1"/>
  <c r="F20" i="78"/>
  <c r="C19" i="78"/>
  <c r="E10" i="78"/>
  <c r="E9" i="78"/>
  <c r="F7" i="78"/>
  <c r="AM7" i="1"/>
  <c r="N14" i="1"/>
  <c r="N7" i="1"/>
  <c r="J7" i="1"/>
  <c r="H7" i="1"/>
  <c r="G45" i="77"/>
  <c r="G38" i="77"/>
  <c r="B36" i="77"/>
  <c r="I35" i="77"/>
  <c r="B35" i="77"/>
  <c r="I30" i="77"/>
  <c r="F27" i="77"/>
  <c r="H35" i="77" s="1"/>
  <c r="C26" i="77"/>
  <c r="C17" i="77"/>
  <c r="D13" i="77"/>
  <c r="D12" i="77"/>
  <c r="E2" i="78"/>
  <c r="I18" i="83" l="1"/>
  <c r="P2" i="80"/>
  <c r="P4" i="80" s="1"/>
  <c r="I22" i="83"/>
  <c r="M31" i="83"/>
  <c r="M32" i="83" s="1"/>
  <c r="K25" i="83"/>
  <c r="K26" i="83" s="1"/>
  <c r="M33" i="83"/>
  <c r="D23" i="79"/>
  <c r="P61" i="79"/>
  <c r="D24" i="79"/>
  <c r="C40" i="78"/>
  <c r="J35" i="77"/>
  <c r="AH5" i="71" l="1"/>
  <c r="AG5" i="71"/>
  <c r="AE5" i="71"/>
  <c r="AF5" i="71" s="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s="1"/>
  <c r="AD8" i="71"/>
  <c r="Q9" i="71"/>
  <c r="Q10" i="71"/>
  <c r="P9" i="71"/>
  <c r="P10" i="71"/>
  <c r="O9" i="71"/>
  <c r="O10" i="71"/>
  <c r="N9" i="71"/>
  <c r="N10" i="71"/>
  <c r="AH9" i="71"/>
  <c r="AG9" i="71"/>
  <c r="AE9" i="71"/>
  <c r="AF9" i="71" s="1"/>
  <c r="AD9" i="71"/>
  <c r="F24" i="12"/>
  <c r="F7" i="69"/>
  <c r="F7" i="68"/>
  <c r="C7" i="68" s="1"/>
  <c r="L26" i="68" s="1"/>
  <c r="M15" i="45"/>
  <c r="L15" i="45"/>
  <c r="K15" i="45"/>
  <c r="J15" i="45"/>
  <c r="I15" i="45"/>
  <c r="H15" i="45"/>
  <c r="G15" i="45"/>
  <c r="F15" i="45"/>
  <c r="E15" i="45"/>
  <c r="D15" i="45"/>
  <c r="C15" i="45"/>
  <c r="B15" i="45"/>
  <c r="AH10" i="71"/>
  <c r="AG10" i="71"/>
  <c r="AE10" i="71"/>
  <c r="AF10" i="71" s="1"/>
  <c r="AD10" i="71"/>
  <c r="AD11" i="71"/>
  <c r="AH11" i="71"/>
  <c r="AG11" i="71"/>
  <c r="AE11" i="71"/>
  <c r="AF11" i="71" s="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s="1"/>
  <c r="AD13" i="71"/>
  <c r="Q14" i="71"/>
  <c r="P14" i="71"/>
  <c r="O14" i="71"/>
  <c r="D16" i="71"/>
  <c r="AH14" i="71"/>
  <c r="AG14" i="71"/>
  <c r="AE14" i="71"/>
  <c r="AF14" i="71" s="1"/>
  <c r="AD14" i="71"/>
  <c r="AD15" i="71"/>
  <c r="AG15" i="71"/>
  <c r="AH15" i="71"/>
  <c r="AE15" i="71"/>
  <c r="AF15" i="71" s="1"/>
  <c r="N15" i="71"/>
  <c r="B15" i="71" s="1"/>
  <c r="Q15" i="71"/>
  <c r="F15" i="71" s="1"/>
  <c r="F14" i="71" s="1"/>
  <c r="F13" i="71" s="1"/>
  <c r="P15" i="71"/>
  <c r="E15" i="71" s="1"/>
  <c r="O15" i="71"/>
  <c r="C15" i="71" s="1"/>
  <c r="C14" i="71" s="1"/>
  <c r="Q16" i="71"/>
  <c r="P16" i="71"/>
  <c r="O16" i="71"/>
  <c r="N16" i="71"/>
  <c r="A2" i="53"/>
  <c r="B19" i="72" s="1"/>
  <c r="K59" i="67"/>
  <c r="P61" i="67" s="1"/>
  <c r="K60" i="15"/>
  <c r="P75" i="15" s="1"/>
  <c r="D116" i="39"/>
  <c r="E116" i="39"/>
  <c r="F116" i="39"/>
  <c r="G116" i="39"/>
  <c r="H116" i="39"/>
  <c r="I116" i="39"/>
  <c r="J116" i="39"/>
  <c r="K116" i="39"/>
  <c r="L116" i="39"/>
  <c r="M116" i="39"/>
  <c r="C116" i="39"/>
  <c r="A21" i="62"/>
  <c r="B67" i="72" s="1"/>
  <c r="A20" i="62"/>
  <c r="B66" i="72" s="1"/>
  <c r="A22" i="51"/>
  <c r="A21" i="51"/>
  <c r="B16" i="72" s="1"/>
  <c r="A20" i="51"/>
  <c r="A15" i="62"/>
  <c r="A14" i="62"/>
  <c r="B60" i="72" s="1"/>
  <c r="A13" i="62"/>
  <c r="B59" i="72" s="1"/>
  <c r="A19" i="62"/>
  <c r="B65" i="72" s="1"/>
  <c r="A12" i="62"/>
  <c r="B58" i="72" s="1"/>
  <c r="A120" i="9"/>
  <c r="H2" i="52"/>
  <c r="A1" i="52"/>
  <c r="A3" i="53"/>
  <c r="Q17" i="71"/>
  <c r="P17" i="71"/>
  <c r="O17" i="71"/>
  <c r="N17"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H30" i="71"/>
  <c r="AG30" i="71"/>
  <c r="AE30" i="71"/>
  <c r="AF30" i="71" s="1"/>
  <c r="AD30" i="71"/>
  <c r="AD31" i="71"/>
  <c r="AE31" i="71"/>
  <c r="AF31" i="71" s="1"/>
  <c r="AG31" i="71"/>
  <c r="AH31" i="71"/>
  <c r="S2" i="31"/>
  <c r="M2" i="31"/>
  <c r="N2" i="31"/>
  <c r="O2" i="31"/>
  <c r="P2" i="31"/>
  <c r="Q2" i="31"/>
  <c r="R2" i="31"/>
  <c r="C1" i="73"/>
  <c r="L1" i="73" s="1"/>
  <c r="B74" i="72"/>
  <c r="Y12" i="43"/>
  <c r="Y10" i="43"/>
  <c r="AJ9" i="43"/>
  <c r="AJ12" i="43" s="1"/>
  <c r="AI9" i="43"/>
  <c r="AI12" i="43" s="1"/>
  <c r="AH9" i="43"/>
  <c r="AH12" i="43" s="1"/>
  <c r="AG9" i="43"/>
  <c r="AG12" i="43" s="1"/>
  <c r="AF9" i="43"/>
  <c r="AF10" i="43" s="1"/>
  <c r="AE9" i="43"/>
  <c r="AE12" i="43" s="1"/>
  <c r="AD9" i="43"/>
  <c r="AD10" i="43" s="1"/>
  <c r="AC9" i="43"/>
  <c r="AC12" i="43" s="1"/>
  <c r="AB9" i="43"/>
  <c r="AB12" i="43" s="1"/>
  <c r="AA9" i="43"/>
  <c r="AA12" i="43" s="1"/>
  <c r="Z9" i="43"/>
  <c r="Z12" i="43" s="1"/>
  <c r="AA10" i="43"/>
  <c r="K49" i="9"/>
  <c r="E107" i="9"/>
  <c r="A122" i="9" s="1"/>
  <c r="A8" i="52" s="1"/>
  <c r="E111" i="9"/>
  <c r="A126" i="9"/>
  <c r="E109" i="9"/>
  <c r="A124" i="9"/>
  <c r="B44" i="72"/>
  <c r="B42" i="72"/>
  <c r="B69" i="72"/>
  <c r="B68" i="72"/>
  <c r="B63" i="72"/>
  <c r="B62" i="72"/>
  <c r="B10" i="72"/>
  <c r="C53" i="10"/>
  <c r="B51" i="10"/>
  <c r="A18" i="51"/>
  <c r="B13" i="72" s="1"/>
  <c r="B49" i="48"/>
  <c r="B5" i="72" s="1"/>
  <c r="I19" i="43"/>
  <c r="D80" i="71"/>
  <c r="F79" i="71"/>
  <c r="F78" i="71" s="1"/>
  <c r="F77" i="71" s="1"/>
  <c r="E79" i="71"/>
  <c r="E78" i="71" s="1"/>
  <c r="E77" i="71" s="1"/>
  <c r="C79" i="71"/>
  <c r="D79" i="71" s="1"/>
  <c r="B79" i="71"/>
  <c r="B78" i="71" s="1"/>
  <c r="B77" i="71" s="1"/>
  <c r="D76" i="71"/>
  <c r="F75" i="71"/>
  <c r="E75" i="71"/>
  <c r="E74" i="71" s="1"/>
  <c r="E73" i="71" s="1"/>
  <c r="C75" i="71"/>
  <c r="D75" i="71" s="1"/>
  <c r="B75" i="71"/>
  <c r="B74" i="71" s="1"/>
  <c r="B73" i="71" s="1"/>
  <c r="F74" i="71"/>
  <c r="F73" i="71" s="1"/>
  <c r="D72" i="71"/>
  <c r="Q71" i="71"/>
  <c r="P71" i="71"/>
  <c r="O71" i="71"/>
  <c r="N71" i="71"/>
  <c r="F71" i="71"/>
  <c r="F70" i="71" s="1"/>
  <c r="F69" i="71" s="1"/>
  <c r="E71" i="71"/>
  <c r="U71" i="71" s="1"/>
  <c r="C71" i="71"/>
  <c r="T71" i="71" s="1"/>
  <c r="B71" i="71"/>
  <c r="B70" i="71" s="1"/>
  <c r="B69" i="71" s="1"/>
  <c r="Q70" i="71"/>
  <c r="P70" i="71"/>
  <c r="O70" i="71"/>
  <c r="N70" i="71"/>
  <c r="Q69" i="71"/>
  <c r="P69" i="71"/>
  <c r="O69" i="71"/>
  <c r="N69" i="71"/>
  <c r="Q68" i="71"/>
  <c r="P68" i="71"/>
  <c r="O68" i="71"/>
  <c r="N68" i="71"/>
  <c r="D68" i="71"/>
  <c r="Q67" i="71"/>
  <c r="P67" i="71"/>
  <c r="O67" i="71"/>
  <c r="N67" i="71"/>
  <c r="F67" i="71"/>
  <c r="V67" i="71" s="1"/>
  <c r="E67" i="71"/>
  <c r="E66" i="71" s="1"/>
  <c r="E65" i="71" s="1"/>
  <c r="C67" i="71"/>
  <c r="T67" i="71" s="1"/>
  <c r="B67" i="71"/>
  <c r="S67" i="71" s="1"/>
  <c r="Q66" i="71"/>
  <c r="P66" i="71"/>
  <c r="O66" i="71"/>
  <c r="N66" i="71"/>
  <c r="F66" i="71"/>
  <c r="F65" i="71" s="1"/>
  <c r="Q65" i="71"/>
  <c r="P65" i="71"/>
  <c r="O65" i="71"/>
  <c r="N65" i="71"/>
  <c r="Q64" i="71"/>
  <c r="P64" i="71"/>
  <c r="O64" i="71"/>
  <c r="N64" i="71"/>
  <c r="D64" i="71"/>
  <c r="Q63" i="71"/>
  <c r="P63" i="71"/>
  <c r="O63" i="71"/>
  <c r="N63" i="71"/>
  <c r="F63" i="71"/>
  <c r="F62" i="71" s="1"/>
  <c r="F61" i="71" s="1"/>
  <c r="E63" i="71"/>
  <c r="U63" i="71" s="1"/>
  <c r="C63" i="71"/>
  <c r="C62" i="71" s="1"/>
  <c r="B63" i="71"/>
  <c r="B62" i="71" s="1"/>
  <c r="B61" i="71" s="1"/>
  <c r="Q62" i="71"/>
  <c r="P62" i="71"/>
  <c r="O62" i="71"/>
  <c r="N62" i="71"/>
  <c r="Q61" i="71"/>
  <c r="P61" i="71"/>
  <c r="O61" i="71"/>
  <c r="N61" i="71"/>
  <c r="Q60" i="71"/>
  <c r="P60" i="71"/>
  <c r="O60" i="71"/>
  <c r="N60" i="71"/>
  <c r="D60" i="71"/>
  <c r="F59" i="71"/>
  <c r="V59" i="71" s="1"/>
  <c r="E59" i="71"/>
  <c r="U59" i="71" s="1"/>
  <c r="C59" i="71"/>
  <c r="T59" i="71" s="1"/>
  <c r="B59" i="71"/>
  <c r="S59" i="71" s="1"/>
  <c r="D56" i="71"/>
  <c r="Q55" i="71"/>
  <c r="P55" i="71"/>
  <c r="O55" i="71"/>
  <c r="N55" i="71"/>
  <c r="Q54" i="71"/>
  <c r="P54" i="71"/>
  <c r="O54" i="71"/>
  <c r="N54" i="71"/>
  <c r="Q53" i="71"/>
  <c r="P53" i="71"/>
  <c r="O53" i="71"/>
  <c r="N53" i="71"/>
  <c r="Q52" i="71"/>
  <c r="F53" i="71" s="1"/>
  <c r="F54" i="71" s="1"/>
  <c r="F55" i="71" s="1"/>
  <c r="V55" i="71" s="1"/>
  <c r="P52" i="71"/>
  <c r="E53" i="71" s="1"/>
  <c r="O52" i="71"/>
  <c r="C53" i="71" s="1"/>
  <c r="D53" i="71" s="1"/>
  <c r="N52" i="71"/>
  <c r="B53" i="71" s="1"/>
  <c r="D52" i="71"/>
  <c r="Q51" i="71"/>
  <c r="P51" i="71"/>
  <c r="O51" i="71"/>
  <c r="N51" i="71"/>
  <c r="Q50" i="71"/>
  <c r="P50" i="71"/>
  <c r="O50" i="71"/>
  <c r="N50" i="71"/>
  <c r="Q49" i="71"/>
  <c r="P49" i="71"/>
  <c r="O49" i="71"/>
  <c r="N49" i="71"/>
  <c r="Q48" i="71"/>
  <c r="F49" i="71" s="1"/>
  <c r="P48" i="71"/>
  <c r="E49" i="71" s="1"/>
  <c r="O48" i="71"/>
  <c r="C49" i="71" s="1"/>
  <c r="N48" i="71"/>
  <c r="B49" i="71" s="1"/>
  <c r="D48" i="71"/>
  <c r="Q47" i="71"/>
  <c r="P47" i="71"/>
  <c r="O47" i="71"/>
  <c r="N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D44" i="71"/>
  <c r="Q43" i="71"/>
  <c r="P43" i="71"/>
  <c r="O43" i="71"/>
  <c r="N43" i="71"/>
  <c r="Q42" i="71"/>
  <c r="P42" i="71"/>
  <c r="O42" i="71"/>
  <c r="N42" i="71"/>
  <c r="Q41" i="71"/>
  <c r="P41" i="71"/>
  <c r="O41" i="71"/>
  <c r="N41" i="71"/>
  <c r="Q40" i="71"/>
  <c r="F41" i="71" s="1"/>
  <c r="P40" i="71"/>
  <c r="E41" i="71" s="1"/>
  <c r="O40" i="71"/>
  <c r="C41" i="71" s="1"/>
  <c r="N40" i="71"/>
  <c r="B41" i="71" s="1"/>
  <c r="D40" i="71"/>
  <c r="T39" i="71"/>
  <c r="Q39" i="71"/>
  <c r="P39" i="71"/>
  <c r="O39" i="71"/>
  <c r="N39" i="71"/>
  <c r="D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P32" i="71"/>
  <c r="E33" i="71" s="1"/>
  <c r="O32" i="71"/>
  <c r="C33" i="71" s="1"/>
  <c r="N32" i="71"/>
  <c r="B33" i="71" s="1"/>
  <c r="D32" i="71"/>
  <c r="Q31" i="71"/>
  <c r="P31" i="71"/>
  <c r="O31" i="71"/>
  <c r="N31" i="71"/>
  <c r="Q30" i="71"/>
  <c r="P30" i="71"/>
  <c r="AA30" i="71" s="1"/>
  <c r="O30" i="71"/>
  <c r="Y30" i="71" s="1"/>
  <c r="Z30" i="71" s="1"/>
  <c r="N30" i="71"/>
  <c r="X30" i="71" s="1"/>
  <c r="Q29" i="71"/>
  <c r="P29" i="71"/>
  <c r="O29" i="71"/>
  <c r="N29" i="71"/>
  <c r="X29" i="71" s="1"/>
  <c r="Q28" i="71"/>
  <c r="P28" i="71"/>
  <c r="E29" i="71" s="1"/>
  <c r="O28" i="71"/>
  <c r="C29" i="71" s="1"/>
  <c r="N28" i="71"/>
  <c r="D28" i="71"/>
  <c r="Q27" i="71"/>
  <c r="P27" i="71"/>
  <c r="O27" i="71"/>
  <c r="N27" i="71"/>
  <c r="Q26" i="71"/>
  <c r="P26" i="71"/>
  <c r="O26" i="71"/>
  <c r="N26" i="71"/>
  <c r="Q25" i="71"/>
  <c r="P25" i="71"/>
  <c r="O25" i="71"/>
  <c r="N25" i="71"/>
  <c r="Q24" i="71"/>
  <c r="P24" i="71"/>
  <c r="O24" i="71"/>
  <c r="C25" i="71" s="1"/>
  <c r="N24" i="71"/>
  <c r="B25" i="71" s="1"/>
  <c r="D24" i="71"/>
  <c r="Q23" i="71"/>
  <c r="P23" i="71"/>
  <c r="O23" i="71"/>
  <c r="N23" i="71"/>
  <c r="Q22" i="71"/>
  <c r="P22" i="71"/>
  <c r="O22" i="71"/>
  <c r="N22" i="71"/>
  <c r="Q21" i="71"/>
  <c r="P21" i="71"/>
  <c r="O21" i="71"/>
  <c r="N21" i="71"/>
  <c r="Q20" i="71"/>
  <c r="P20" i="71"/>
  <c r="E21" i="71" s="1"/>
  <c r="E22" i="71" s="1"/>
  <c r="O20" i="71"/>
  <c r="C21" i="71" s="1"/>
  <c r="D21" i="71" s="1"/>
  <c r="N20" i="71"/>
  <c r="D20" i="71"/>
  <c r="O19" i="71"/>
  <c r="C19" i="71" s="1"/>
  <c r="D19" i="71" s="1"/>
  <c r="U19" i="71" s="1"/>
  <c r="N19" i="71"/>
  <c r="E25" i="71"/>
  <c r="E26" i="71" s="1"/>
  <c r="E27" i="71" s="1"/>
  <c r="U27" i="71" s="1"/>
  <c r="P19" i="71"/>
  <c r="Q19" i="71"/>
  <c r="F19" i="71" s="1"/>
  <c r="F18" i="71" s="1"/>
  <c r="F17" i="71" s="1"/>
  <c r="C78" i="71"/>
  <c r="D78"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S29" i="39" s="1"/>
  <c r="Q18" i="36"/>
  <c r="Z18" i="36" s="1"/>
  <c r="D66" i="36"/>
  <c r="E66" i="36" s="1"/>
  <c r="F66" i="36" s="1"/>
  <c r="G66" i="36" s="1"/>
  <c r="H18" i="36"/>
  <c r="AB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75" i="43" s="1"/>
  <c r="H25" i="40"/>
  <c r="AB25" i="40" s="1"/>
  <c r="J25" i="40"/>
  <c r="AC25" i="40" s="1"/>
  <c r="H29" i="39"/>
  <c r="AB29" i="39" s="1"/>
  <c r="J29" i="39"/>
  <c r="AC29" i="39" s="1"/>
  <c r="J18" i="36"/>
  <c r="AC18" i="36" s="1"/>
  <c r="H18" i="35"/>
  <c r="U18" i="35" s="1"/>
  <c r="S18" i="35"/>
  <c r="J18" i="35"/>
  <c r="W18" i="35" s="1"/>
  <c r="H21" i="37"/>
  <c r="AB21" i="37" s="1"/>
  <c r="F21" i="37"/>
  <c r="AA21" i="37" s="1"/>
  <c r="H21" i="34"/>
  <c r="H21" i="33"/>
  <c r="U21" i="33" s="1"/>
  <c r="F21" i="33"/>
  <c r="AA21" i="33" s="1"/>
  <c r="H1" i="69"/>
  <c r="S21" i="37"/>
  <c r="AB18" i="35"/>
  <c r="AC18" i="35"/>
  <c r="J21" i="37"/>
  <c r="AC21" i="37" s="1"/>
  <c r="J21" i="34"/>
  <c r="AC21" i="34" s="1"/>
  <c r="J21" i="33"/>
  <c r="H21" i="21"/>
  <c r="AB21" i="21" s="1"/>
  <c r="F38" i="69"/>
  <c r="E37" i="69"/>
  <c r="F36" i="69"/>
  <c r="F35" i="69"/>
  <c r="F21" i="69"/>
  <c r="C40" i="69" s="1"/>
  <c r="F20" i="69"/>
  <c r="E10" i="69"/>
  <c r="E9" i="69"/>
  <c r="C7" i="69"/>
  <c r="J21" i="21"/>
  <c r="W21" i="21" s="1"/>
  <c r="F38" i="68"/>
  <c r="F35" i="68"/>
  <c r="F21" i="68"/>
  <c r="C40" i="68" s="1"/>
  <c r="F20" i="68"/>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E15" i="66"/>
  <c r="I14" i="66"/>
  <c r="I13" i="66"/>
  <c r="I12" i="66"/>
  <c r="I9" i="66"/>
  <c r="I8" i="66"/>
  <c r="I7" i="66"/>
  <c r="I6" i="66"/>
  <c r="I5" i="66"/>
  <c r="I4" i="66"/>
  <c r="I3" i="66"/>
  <c r="F113" i="43"/>
  <c r="N99" i="43"/>
  <c r="N108" i="43" s="1"/>
  <c r="D99" i="43"/>
  <c r="D108" i="43" s="1"/>
  <c r="E99" i="43"/>
  <c r="E100" i="43" s="1"/>
  <c r="F99" i="43"/>
  <c r="F108" i="43" s="1"/>
  <c r="G99" i="43"/>
  <c r="G100" i="43" s="1"/>
  <c r="H99" i="43"/>
  <c r="H108" i="43" s="1"/>
  <c r="I99" i="43"/>
  <c r="I108" i="43" s="1"/>
  <c r="J99" i="43"/>
  <c r="J108" i="43" s="1"/>
  <c r="K99" i="43"/>
  <c r="K108" i="43" s="1"/>
  <c r="L99" i="43"/>
  <c r="L100" i="43" s="1"/>
  <c r="M99" i="43"/>
  <c r="M108" i="43" s="1"/>
  <c r="C99" i="43"/>
  <c r="C108" i="43" s="1"/>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D75" i="43" s="1"/>
  <c r="M74" i="43"/>
  <c r="N74" i="43" s="1"/>
  <c r="K74" i="43"/>
  <c r="J74" i="43" s="1"/>
  <c r="M73" i="43"/>
  <c r="N73" i="43" s="1"/>
  <c r="K73" i="43"/>
  <c r="J73" i="43" s="1"/>
  <c r="D73" i="43"/>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3" i="15"/>
  <c r="Q59" i="15"/>
  <c r="Q52" i="15"/>
  <c r="Q60" i="15"/>
  <c r="AE10" i="1"/>
  <c r="AE11" i="1"/>
  <c r="AE12" i="1"/>
  <c r="AE13" i="1"/>
  <c r="M48" i="15"/>
  <c r="AG7" i="1"/>
  <c r="AG8" i="1"/>
  <c r="AG9" i="1"/>
  <c r="AG10" i="1"/>
  <c r="AG11" i="1"/>
  <c r="AG12" i="1"/>
  <c r="AG13" i="1"/>
  <c r="J51" i="15"/>
  <c r="J52"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P10" i="1" s="1"/>
  <c r="A11" i="1"/>
  <c r="B11" i="1" s="1"/>
  <c r="E11" i="1" s="1"/>
  <c r="A12" i="1"/>
  <c r="A13" i="1"/>
  <c r="K13" i="1" s="1"/>
  <c r="M13" i="1" s="1"/>
  <c r="O13" i="1" s="1"/>
  <c r="A6" i="1"/>
  <c r="G79" i="36"/>
  <c r="G85" i="35"/>
  <c r="G97" i="37"/>
  <c r="G110" i="34"/>
  <c r="G111" i="21"/>
  <c r="G109" i="33"/>
  <c r="D23" i="31"/>
  <c r="L2" i="31"/>
  <c r="K2" i="31"/>
  <c r="J2" i="31"/>
  <c r="I2" i="31"/>
  <c r="H2" i="31"/>
  <c r="G2" i="31"/>
  <c r="F2" i="31"/>
  <c r="E2" i="31"/>
  <c r="D2" i="31"/>
  <c r="C2" i="31"/>
  <c r="D47"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H113"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I15" i="4"/>
  <c r="H15" i="4"/>
  <c r="F7" i="1" s="1"/>
  <c r="G15" i="4"/>
  <c r="E15" i="4"/>
  <c r="D15" i="4"/>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62"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O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F63" i="68" s="1"/>
  <c r="F63" i="8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85" s="1"/>
  <c r="T4" i="1"/>
  <c r="F15" i="15"/>
  <c r="F17" i="15"/>
  <c r="F18" i="15"/>
  <c r="F20"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J40" i="40" s="1"/>
  <c r="B118" i="40"/>
  <c r="H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c r="B131" i="39"/>
  <c r="J45" i="39" s="1"/>
  <c r="W45" i="39" s="1"/>
  <c r="B129" i="39"/>
  <c r="J44" i="39" s="1"/>
  <c r="AC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F13" i="39" s="1"/>
  <c r="B82" i="39"/>
  <c r="J12" i="39" s="1"/>
  <c r="W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F40" i="37" s="1"/>
  <c r="AA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H26" i="37" s="1"/>
  <c r="AB26" i="37" s="1"/>
  <c r="D79" i="37"/>
  <c r="E79" i="37" s="1"/>
  <c r="F79" i="37" s="1"/>
  <c r="G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W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AA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D70" i="36"/>
  <c r="H22" i="36"/>
  <c r="AB22" i="36" s="1"/>
  <c r="D68" i="36"/>
  <c r="E68" i="36" s="1"/>
  <c r="F68" i="36" s="1"/>
  <c r="G68" i="36" s="1"/>
  <c r="D64" i="36"/>
  <c r="E64" i="36" s="1"/>
  <c r="F64" i="36" s="1"/>
  <c r="G64" i="36" s="1"/>
  <c r="J16" i="36"/>
  <c r="W16" i="36" s="1"/>
  <c r="D62" i="36"/>
  <c r="E62" i="36" s="1"/>
  <c r="F62" i="36" s="1"/>
  <c r="G62" i="36" s="1"/>
  <c r="B59" i="36"/>
  <c r="J13" i="36" s="1"/>
  <c r="AC13" i="36" s="1"/>
  <c r="B57" i="36"/>
  <c r="J12" i="36" s="1"/>
  <c r="B55" i="36"/>
  <c r="F54" i="36"/>
  <c r="G54" i="36" s="1"/>
  <c r="H54" i="36" s="1"/>
  <c r="I54"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J22" i="35"/>
  <c r="AC22" i="35" s="1"/>
  <c r="B101" i="35"/>
  <c r="H36" i="35" s="1"/>
  <c r="AB36" i="35" s="1"/>
  <c r="B99" i="35"/>
  <c r="B97" i="35"/>
  <c r="F34" i="35" s="1"/>
  <c r="S34" i="35" s="1"/>
  <c r="B77" i="35"/>
  <c r="B75" i="35"/>
  <c r="J24" i="35" s="1"/>
  <c r="AC24" i="35" s="1"/>
  <c r="B73" i="35"/>
  <c r="H23" i="35" s="1"/>
  <c r="U23" i="35" s="1"/>
  <c r="B57" i="35"/>
  <c r="J11" i="35" s="1"/>
  <c r="W11" i="35" s="1"/>
  <c r="B61" i="35"/>
  <c r="F13" i="35" s="1"/>
  <c r="S13" i="35" s="1"/>
  <c r="B59" i="35"/>
  <c r="F12" i="35" s="1"/>
  <c r="S12" i="35" s="1"/>
  <c r="B131" i="34"/>
  <c r="B129" i="34"/>
  <c r="H46" i="34" s="1"/>
  <c r="U46" i="34" s="1"/>
  <c r="B127" i="34"/>
  <c r="H45" i="34" s="1"/>
  <c r="U45" i="34" s="1"/>
  <c r="B99" i="34"/>
  <c r="J32" i="34" s="1"/>
  <c r="W32" i="34" s="1"/>
  <c r="B97" i="34"/>
  <c r="B95" i="34"/>
  <c r="B93" i="34"/>
  <c r="B75" i="34"/>
  <c r="B73" i="34"/>
  <c r="B71" i="34"/>
  <c r="F12" i="34" s="1"/>
  <c r="S12" i="34" s="1"/>
  <c r="B130" i="33"/>
  <c r="J46" i="33" s="1"/>
  <c r="AC46" i="33" s="1"/>
  <c r="B128" i="33"/>
  <c r="J45" i="33" s="1"/>
  <c r="B126" i="33"/>
  <c r="B98" i="33"/>
  <c r="F31" i="33" s="1"/>
  <c r="B96" i="33"/>
  <c r="H30" i="33" s="1"/>
  <c r="AB30" i="33" s="1"/>
  <c r="B94" i="33"/>
  <c r="F29" i="33" s="1"/>
  <c r="S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AC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Q38" i="33"/>
  <c r="Z38" i="33" s="1"/>
  <c r="J38" i="33"/>
  <c r="AC38" i="33"/>
  <c r="H38" i="33"/>
  <c r="AB38" i="33"/>
  <c r="F38" i="33"/>
  <c r="AA38" i="33"/>
  <c r="Q37" i="33"/>
  <c r="Z37" i="33" s="1"/>
  <c r="Q36" i="33"/>
  <c r="Z36" i="33" s="1"/>
  <c r="Q35" i="33"/>
  <c r="Z35" i="33" s="1"/>
  <c r="H35" i="33"/>
  <c r="AB35" i="33" s="1"/>
  <c r="Q34" i="33"/>
  <c r="Z34" i="33" s="1"/>
  <c r="Q33" i="33"/>
  <c r="Z33" i="33" s="1"/>
  <c r="J33" i="33"/>
  <c r="AC33" i="33" s="1"/>
  <c r="H33" i="33"/>
  <c r="F33" i="33"/>
  <c r="AA33" i="33"/>
  <c r="Q32" i="33"/>
  <c r="Z32" i="33"/>
  <c r="Q31" i="33"/>
  <c r="Z31" i="33" s="1"/>
  <c r="Q30" i="33"/>
  <c r="Z30" i="33" s="1"/>
  <c r="Q29" i="33"/>
  <c r="Z29" i="33" s="1"/>
  <c r="Q28" i="33"/>
  <c r="Z28" i="33" s="1"/>
  <c r="Q27" i="33"/>
  <c r="Z27" i="33"/>
  <c r="Q26" i="33"/>
  <c r="Z26" i="33"/>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C17" i="39" s="1"/>
  <c r="C15" i="20"/>
  <c r="C15" i="39" s="1"/>
  <c r="E54" i="21"/>
  <c r="F54" i="21" s="1"/>
  <c r="I54" i="21"/>
  <c r="J54" i="21" s="1"/>
  <c r="G54" i="21"/>
  <c r="H54" i="21" s="1"/>
  <c r="D125" i="21"/>
  <c r="E125" i="21" s="1"/>
  <c r="F125" i="21" s="1"/>
  <c r="G125" i="21" s="1"/>
  <c r="D123" i="21"/>
  <c r="E123" i="2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J30" i="21" s="1"/>
  <c r="AC30" i="21" s="1"/>
  <c r="B94" i="21"/>
  <c r="J29" i="21" s="1"/>
  <c r="AC29" i="21" s="1"/>
  <c r="B92" i="21"/>
  <c r="F28" i="21" s="1"/>
  <c r="AA28" i="21" s="1"/>
  <c r="B90" i="21"/>
  <c r="B74" i="21"/>
  <c r="F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E20" i="6" s="1"/>
  <c r="K7" i="1" s="1"/>
  <c r="I4" i="6"/>
  <c r="G3" i="43" s="1"/>
  <c r="N104" i="4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F34" i="21"/>
  <c r="AA34" i="21" s="1"/>
  <c r="H34" i="21"/>
  <c r="U34" i="21" s="1"/>
  <c r="F43" i="21"/>
  <c r="S43" i="21" s="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36" i="39"/>
  <c r="H36" i="39"/>
  <c r="AB36" i="39" s="1"/>
  <c r="J35" i="39"/>
  <c r="AC35" i="39" s="1"/>
  <c r="J36" i="39"/>
  <c r="AC36" i="39" s="1"/>
  <c r="W40" i="39"/>
  <c r="F39" i="37"/>
  <c r="S39" i="37" s="1"/>
  <c r="F29" i="36"/>
  <c r="AA29" i="36" s="1"/>
  <c r="F16" i="36"/>
  <c r="AA16" i="36" s="1"/>
  <c r="S30" i="36"/>
  <c r="AA31" i="36"/>
  <c r="AC31" i="36"/>
  <c r="W31" i="36"/>
  <c r="H22" i="35"/>
  <c r="AB22" i="35" s="1"/>
  <c r="U31" i="35"/>
  <c r="S31" i="35"/>
  <c r="F36" i="34"/>
  <c r="J35" i="34"/>
  <c r="U34" i="34"/>
  <c r="H39" i="33"/>
  <c r="AB39" i="33" s="1"/>
  <c r="S40" i="33"/>
  <c r="F11" i="40"/>
  <c r="AA11" i="40" s="1"/>
  <c r="H11" i="40"/>
  <c r="AB11" i="40" s="1"/>
  <c r="AC9" i="40"/>
  <c r="U34" i="40"/>
  <c r="F42" i="39"/>
  <c r="AA42" i="39" s="1"/>
  <c r="F41" i="39"/>
  <c r="S41" i="39" s="1"/>
  <c r="H40" i="39"/>
  <c r="AB40" i="39" s="1"/>
  <c r="H39" i="39"/>
  <c r="U39" i="39" s="1"/>
  <c r="S34" i="39"/>
  <c r="H34" i="39"/>
  <c r="U34" i="39" s="1"/>
  <c r="E109" i="39"/>
  <c r="F109" i="39" s="1"/>
  <c r="G109" i="39" s="1"/>
  <c r="H109" i="39" s="1"/>
  <c r="I109" i="39" s="1"/>
  <c r="J109" i="39" s="1"/>
  <c r="K109" i="39" s="1"/>
  <c r="L109" i="39" s="1"/>
  <c r="M109" i="39" s="1"/>
  <c r="H31" i="39"/>
  <c r="AB31" i="39" s="1"/>
  <c r="F31" i="39"/>
  <c r="AA31" i="39" s="1"/>
  <c r="H19" i="39"/>
  <c r="AB19" i="39" s="1"/>
  <c r="F19" i="39"/>
  <c r="AA19" i="39" s="1"/>
  <c r="H17" i="39"/>
  <c r="AB17" i="39" s="1"/>
  <c r="F17" i="39"/>
  <c r="S17" i="39" s="1"/>
  <c r="AA17" i="39"/>
  <c r="J23" i="40"/>
  <c r="AC23" i="40" s="1"/>
  <c r="F21" i="40"/>
  <c r="AA21" i="40" s="1"/>
  <c r="J21" i="40"/>
  <c r="W21" i="40" s="1"/>
  <c r="H42" i="39"/>
  <c r="AB42" i="39" s="1"/>
  <c r="J34" i="39"/>
  <c r="AC34" i="39" s="1"/>
  <c r="J31" i="39"/>
  <c r="H27" i="39"/>
  <c r="U27" i="39" s="1"/>
  <c r="J19" i="39"/>
  <c r="AC19" i="39" s="1"/>
  <c r="J17" i="39"/>
  <c r="J27" i="39"/>
  <c r="AC27" i="39" s="1"/>
  <c r="F27" i="39"/>
  <c r="F11" i="21"/>
  <c r="C25" i="39"/>
  <c r="H11" i="39"/>
  <c r="S40" i="39"/>
  <c r="H32" i="33"/>
  <c r="AB32" i="33" s="1"/>
  <c r="H11" i="21"/>
  <c r="U11" i="21" s="1"/>
  <c r="J11" i="21"/>
  <c r="W11" i="21" s="1"/>
  <c r="H37" i="40"/>
  <c r="U37" i="40" s="1"/>
  <c r="H36" i="40"/>
  <c r="F35" i="40"/>
  <c r="AA35" i="40" s="1"/>
  <c r="H23" i="40"/>
  <c r="AB23" i="40" s="1"/>
  <c r="H17" i="40"/>
  <c r="U17" i="40" s="1"/>
  <c r="J15" i="40"/>
  <c r="W15" i="40" s="1"/>
  <c r="J11" i="40"/>
  <c r="W11" i="40" s="1"/>
  <c r="AA12" i="34"/>
  <c r="F37" i="39"/>
  <c r="AA37" i="39" s="1"/>
  <c r="J34" i="36"/>
  <c r="W34" i="36" s="1"/>
  <c r="J30" i="35"/>
  <c r="W30" i="35" s="1"/>
  <c r="H30" i="35"/>
  <c r="AB30" i="35" s="1"/>
  <c r="F22" i="35"/>
  <c r="AA22" i="35" s="1"/>
  <c r="H10" i="35"/>
  <c r="U10" i="35" s="1"/>
  <c r="AC16" i="36"/>
  <c r="H16" i="36"/>
  <c r="AB16" i="36" s="1"/>
  <c r="E85" i="36"/>
  <c r="F85" i="36" s="1"/>
  <c r="G85" i="36" s="1"/>
  <c r="H85" i="36" s="1"/>
  <c r="I85" i="36" s="1"/>
  <c r="J85" i="36" s="1"/>
  <c r="K85" i="36" s="1"/>
  <c r="L85" i="36" s="1"/>
  <c r="M85" i="36" s="1"/>
  <c r="J29" i="36"/>
  <c r="AC29" i="36" s="1"/>
  <c r="F12" i="36"/>
  <c r="S12" i="36" s="1"/>
  <c r="F24" i="36"/>
  <c r="AA24" i="36" s="1"/>
  <c r="F34" i="36"/>
  <c r="AB8" i="36"/>
  <c r="U8" i="35"/>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A39" i="37"/>
  <c r="AB34" i="37"/>
  <c r="J33" i="37"/>
  <c r="U42" i="34"/>
  <c r="H40" i="34"/>
  <c r="U40" i="34" s="1"/>
  <c r="H36" i="34"/>
  <c r="U36" i="34" s="1"/>
  <c r="F37" i="34"/>
  <c r="AA37" i="34" s="1"/>
  <c r="S35" i="34"/>
  <c r="F28" i="34"/>
  <c r="AA28" i="34" s="1"/>
  <c r="F27" i="34"/>
  <c r="AA27" i="34" s="1"/>
  <c r="F25" i="34"/>
  <c r="H23" i="34"/>
  <c r="J23" i="34"/>
  <c r="F19" i="34"/>
  <c r="H17" i="34"/>
  <c r="U17" i="34" s="1"/>
  <c r="F15" i="34"/>
  <c r="AA15" i="34" s="1"/>
  <c r="J15" i="34"/>
  <c r="H15" i="34"/>
  <c r="AB15" i="34" s="1"/>
  <c r="J28" i="34"/>
  <c r="F41" i="33"/>
  <c r="AA41" i="33"/>
  <c r="S38" i="33"/>
  <c r="E113" i="33"/>
  <c r="F113" i="33" s="1"/>
  <c r="G113" i="33" s="1"/>
  <c r="H113" i="33" s="1"/>
  <c r="I113" i="33" s="1"/>
  <c r="J113" i="33" s="1"/>
  <c r="K113" i="33" s="1"/>
  <c r="L113" i="33" s="1"/>
  <c r="M113" i="33" s="1"/>
  <c r="F32" i="33"/>
  <c r="AA32" i="33" s="1"/>
  <c r="J19" i="33"/>
  <c r="AC19" i="33" s="1"/>
  <c r="J15" i="33"/>
  <c r="AC15" i="33" s="1"/>
  <c r="F11" i="33"/>
  <c r="AA11" i="33" s="1"/>
  <c r="S8" i="33"/>
  <c r="F37" i="40"/>
  <c r="AA37" i="40" s="1"/>
  <c r="F36" i="40"/>
  <c r="AA36" i="40" s="1"/>
  <c r="H28" i="40"/>
  <c r="U28" i="40" s="1"/>
  <c r="F23" i="40"/>
  <c r="F17" i="40"/>
  <c r="AA17" i="40" s="1"/>
  <c r="J17" i="40"/>
  <c r="W17" i="40" s="1"/>
  <c r="F15" i="40"/>
  <c r="S15" i="40" s="1"/>
  <c r="H15" i="40"/>
  <c r="AB15" i="40" s="1"/>
  <c r="AB30" i="36"/>
  <c r="U30" i="35"/>
  <c r="F29" i="35"/>
  <c r="S29" i="35" s="1"/>
  <c r="H29" i="35"/>
  <c r="H33" i="37"/>
  <c r="AB33" i="37" s="1"/>
  <c r="F33" i="37"/>
  <c r="AA33" i="37" s="1"/>
  <c r="U34" i="37"/>
  <c r="S34" i="37"/>
  <c r="J43" i="34"/>
  <c r="W43" i="34" s="1"/>
  <c r="AB42" i="34"/>
  <c r="J40" i="34"/>
  <c r="AC40" i="34" s="1"/>
  <c r="H38" i="34"/>
  <c r="AB38" i="34" s="1"/>
  <c r="J36" i="34"/>
  <c r="W36" i="34" s="1"/>
  <c r="H37" i="34"/>
  <c r="U37" i="34"/>
  <c r="H25" i="34"/>
  <c r="AB25" i="34" s="1"/>
  <c r="J25" i="34"/>
  <c r="F23" i="34"/>
  <c r="AA23" i="34" s="1"/>
  <c r="J19" i="34"/>
  <c r="AC19" i="34" s="1"/>
  <c r="F17" i="34"/>
  <c r="AA17" i="34" s="1"/>
  <c r="J17" i="34"/>
  <c r="W17" i="34" s="1"/>
  <c r="S41" i="33"/>
  <c r="H37" i="33"/>
  <c r="AB37" i="33" s="1"/>
  <c r="H15" i="33"/>
  <c r="AB15" i="33" s="1"/>
  <c r="H11" i="33"/>
  <c r="AB11" i="33" s="1"/>
  <c r="F28" i="40"/>
  <c r="AA28" i="40" s="1"/>
  <c r="AA42" i="34"/>
  <c r="AC38" i="34"/>
  <c r="AA38" i="34"/>
  <c r="J37" i="34"/>
  <c r="AC37" i="34" s="1"/>
  <c r="J11" i="33"/>
  <c r="W11" i="33" s="1"/>
  <c r="G123" i="21"/>
  <c r="H123" i="21" s="1"/>
  <c r="I123" i="21" s="1"/>
  <c r="J123" i="21" s="1"/>
  <c r="K123" i="21" s="1"/>
  <c r="L123" i="21" s="1"/>
  <c r="M123" i="21" s="1"/>
  <c r="J42" i="21"/>
  <c r="AC42" i="21" s="1"/>
  <c r="H42" i="21"/>
  <c r="U42" i="21" s="1"/>
  <c r="J44" i="34"/>
  <c r="AC44" i="34" s="1"/>
  <c r="F44" i="34"/>
  <c r="S44" i="34" s="1"/>
  <c r="J10" i="35"/>
  <c r="W10" i="35" s="1"/>
  <c r="BL587" i="3"/>
  <c r="J14" i="21"/>
  <c r="S14" i="21"/>
  <c r="H28" i="21"/>
  <c r="AB28" i="21" s="1"/>
  <c r="J28" i="21"/>
  <c r="W28" i="21" s="1"/>
  <c r="H30" i="21"/>
  <c r="AB30" i="21" s="1"/>
  <c r="F30" i="21"/>
  <c r="S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F28" i="33"/>
  <c r="AA28" i="33" s="1"/>
  <c r="F33" i="35"/>
  <c r="S33" i="35" s="1"/>
  <c r="J33" i="35"/>
  <c r="AC33" i="35" s="1"/>
  <c r="F30" i="35"/>
  <c r="S30" i="35" s="1"/>
  <c r="E89" i="35"/>
  <c r="F89" i="35" s="1"/>
  <c r="G89" i="35" s="1"/>
  <c r="H89" i="35" s="1"/>
  <c r="I89" i="35" s="1"/>
  <c r="J89" i="35" s="1"/>
  <c r="K89" i="35" s="1"/>
  <c r="L89" i="35" s="1"/>
  <c r="M89" i="35" s="1"/>
  <c r="H10" i="36"/>
  <c r="J14" i="36"/>
  <c r="AC14" i="36" s="1"/>
  <c r="H14" i="36"/>
  <c r="AB14" i="36" s="1"/>
  <c r="F28" i="36"/>
  <c r="AA28" i="36" s="1"/>
  <c r="H27" i="21"/>
  <c r="AB27" i="21" s="1"/>
  <c r="J31" i="21"/>
  <c r="AC31" i="21" s="1"/>
  <c r="F45" i="21"/>
  <c r="AA45" i="21" s="1"/>
  <c r="F27" i="33"/>
  <c r="AA27" i="33" s="1"/>
  <c r="J13" i="33"/>
  <c r="F13" i="33"/>
  <c r="J29" i="33"/>
  <c r="AC29" i="33" s="1"/>
  <c r="H29" i="33"/>
  <c r="U29" i="33" s="1"/>
  <c r="J31" i="33"/>
  <c r="W31" i="33" s="1"/>
  <c r="H31" i="33"/>
  <c r="AB31" i="33" s="1"/>
  <c r="H45" i="33"/>
  <c r="U45" i="33" s="1"/>
  <c r="F45" i="33"/>
  <c r="J14" i="34"/>
  <c r="W14" i="34" s="1"/>
  <c r="F14" i="34"/>
  <c r="AA14" i="34" s="1"/>
  <c r="H14" i="34"/>
  <c r="H30" i="34"/>
  <c r="F30" i="34"/>
  <c r="S30" i="34" s="1"/>
  <c r="J30" i="34"/>
  <c r="AC30" i="34" s="1"/>
  <c r="H32" i="34"/>
  <c r="U32" i="34" s="1"/>
  <c r="F32" i="34"/>
  <c r="AA32" i="34" s="1"/>
  <c r="F46" i="34"/>
  <c r="J46" i="34"/>
  <c r="AC46" i="34" s="1"/>
  <c r="F11" i="35"/>
  <c r="S11" i="35" s="1"/>
  <c r="J26" i="36"/>
  <c r="W26" i="36" s="1"/>
  <c r="H28" i="36"/>
  <c r="U28" i="36" s="1"/>
  <c r="J32" i="36"/>
  <c r="J11" i="36"/>
  <c r="W11" i="36" s="1"/>
  <c r="H11" i="36"/>
  <c r="AB11" i="36" s="1"/>
  <c r="F11" i="36"/>
  <c r="H13" i="36"/>
  <c r="AB13" i="36" s="1"/>
  <c r="F13" i="36"/>
  <c r="S13" i="36" s="1"/>
  <c r="J29" i="37"/>
  <c r="W29" i="37" s="1"/>
  <c r="F29" i="37"/>
  <c r="F105" i="37"/>
  <c r="G105" i="37" s="1"/>
  <c r="H36" i="37"/>
  <c r="AB36" i="37" s="1"/>
  <c r="F107" i="37"/>
  <c r="J37" i="37"/>
  <c r="AC37" i="37" s="1"/>
  <c r="H37" i="37"/>
  <c r="U37" i="37" s="1"/>
  <c r="H40" i="37"/>
  <c r="J40" i="37"/>
  <c r="AC12" i="40"/>
  <c r="W12" i="40"/>
  <c r="H14" i="33"/>
  <c r="U14" i="33" s="1"/>
  <c r="F14" i="33"/>
  <c r="AA14" i="33" s="1"/>
  <c r="J14" i="33"/>
  <c r="F30" i="33"/>
  <c r="J30" i="33"/>
  <c r="H44" i="33"/>
  <c r="J44" i="33"/>
  <c r="AC44" i="33" s="1"/>
  <c r="F44" i="33"/>
  <c r="S44" i="33" s="1"/>
  <c r="F46" i="33"/>
  <c r="AA46" i="33" s="1"/>
  <c r="H13" i="34"/>
  <c r="AB13" i="34" s="1"/>
  <c r="J13" i="34"/>
  <c r="W13" i="34" s="1"/>
  <c r="F13" i="34"/>
  <c r="AA13" i="34" s="1"/>
  <c r="J29" i="34"/>
  <c r="F29" i="34"/>
  <c r="S29" i="34" s="1"/>
  <c r="H29" i="34"/>
  <c r="AB29" i="34" s="1"/>
  <c r="J31" i="34"/>
  <c r="AC31" i="34" s="1"/>
  <c r="H31" i="34"/>
  <c r="AB31" i="34" s="1"/>
  <c r="F31" i="34"/>
  <c r="J45" i="34"/>
  <c r="W45" i="34" s="1"/>
  <c r="H47" i="34"/>
  <c r="U47" i="34" s="1"/>
  <c r="F47" i="34"/>
  <c r="S47" i="34" s="1"/>
  <c r="J47" i="34"/>
  <c r="AC47" i="34" s="1"/>
  <c r="J13" i="35"/>
  <c r="W13" i="35" s="1"/>
  <c r="H13" i="35"/>
  <c r="U13" i="35" s="1"/>
  <c r="J25" i="35"/>
  <c r="W25" i="35" s="1"/>
  <c r="F25" i="35"/>
  <c r="S25" i="35" s="1"/>
  <c r="H25" i="35"/>
  <c r="AB25" i="35" s="1"/>
  <c r="J35" i="35"/>
  <c r="AC35" i="35" s="1"/>
  <c r="F35" i="35"/>
  <c r="AA35" i="35" s="1"/>
  <c r="H35" i="35"/>
  <c r="AB35" i="35" s="1"/>
  <c r="J25" i="36"/>
  <c r="W25" i="36" s="1"/>
  <c r="F25" i="36"/>
  <c r="S25" i="36" s="1"/>
  <c r="H25" i="36"/>
  <c r="AB25" i="36" s="1"/>
  <c r="H13" i="37"/>
  <c r="F13" i="37"/>
  <c r="S13" i="37" s="1"/>
  <c r="J13" i="37"/>
  <c r="F28" i="37"/>
  <c r="AA28" i="37" s="1"/>
  <c r="H28" i="37"/>
  <c r="U28" i="37" s="1"/>
  <c r="H38" i="37"/>
  <c r="AB38" i="37" s="1"/>
  <c r="J38" i="37"/>
  <c r="AC38" i="37" s="1"/>
  <c r="F38" i="37"/>
  <c r="S38" i="37" s="1"/>
  <c r="F43" i="39"/>
  <c r="AA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J13" i="39"/>
  <c r="AC13" i="39" s="1"/>
  <c r="H13" i="39"/>
  <c r="H14" i="40"/>
  <c r="AB14" i="40" s="1"/>
  <c r="J14" i="40"/>
  <c r="F14" i="40"/>
  <c r="AA14" i="40" s="1"/>
  <c r="J14" i="37"/>
  <c r="AC14" i="37" s="1"/>
  <c r="J27" i="37"/>
  <c r="AC27" i="37" s="1"/>
  <c r="AA44" i="33"/>
  <c r="AA13" i="35"/>
  <c r="J36" i="37"/>
  <c r="J10" i="36"/>
  <c r="AC10" i="36" s="1"/>
  <c r="F17" i="21"/>
  <c r="AA17" i="21" s="1"/>
  <c r="H17" i="21"/>
  <c r="AB17" i="21" s="1"/>
  <c r="F15" i="21"/>
  <c r="S15" i="21" s="1"/>
  <c r="AB11" i="21"/>
  <c r="J41" i="39"/>
  <c r="AC45" i="39"/>
  <c r="W44" i="39"/>
  <c r="W36" i="39"/>
  <c r="W35" i="39"/>
  <c r="G544" i="3"/>
  <c r="G540" i="3"/>
  <c r="G536" i="3"/>
  <c r="G535" i="3"/>
  <c r="G532" i="3"/>
  <c r="G528" i="3"/>
  <c r="G527" i="3"/>
  <c r="G523" i="3"/>
  <c r="G518" i="3"/>
  <c r="G514" i="3"/>
  <c r="G510" i="3"/>
  <c r="G508" i="3"/>
  <c r="G504" i="3"/>
  <c r="G500" i="3"/>
  <c r="G496" i="3"/>
  <c r="G584" i="3"/>
  <c r="G576" i="3"/>
  <c r="G572" i="3"/>
  <c r="G568" i="3"/>
  <c r="G564" i="3"/>
  <c r="G560" i="3"/>
  <c r="G550" i="3"/>
  <c r="BL580" i="3"/>
  <c r="BL576" i="3"/>
  <c r="BL572" i="3"/>
  <c r="BL564" i="3"/>
  <c r="BL560" i="3"/>
  <c r="BL554" i="3"/>
  <c r="BL546" i="3"/>
  <c r="BL542" i="3"/>
  <c r="BL534" i="3"/>
  <c r="BL530" i="3"/>
  <c r="BL526" i="3"/>
  <c r="BL522" i="3"/>
  <c r="BL516" i="3"/>
  <c r="BL506" i="3"/>
  <c r="BL502" i="3"/>
  <c r="BL498" i="3"/>
  <c r="BL494" i="3"/>
  <c r="BL582" i="3"/>
  <c r="BL574" i="3"/>
  <c r="BL566" i="3"/>
  <c r="BL562" i="3"/>
  <c r="BL556" i="3"/>
  <c r="BL544" i="3"/>
  <c r="BL540" i="3"/>
  <c r="BL536" i="3"/>
  <c r="G533" i="3"/>
  <c r="BL532" i="3"/>
  <c r="BL528" i="3"/>
  <c r="G525" i="3"/>
  <c r="BL524" i="3"/>
  <c r="BL518" i="3"/>
  <c r="BL514" i="3"/>
  <c r="BL504" i="3"/>
  <c r="BL500" i="3"/>
  <c r="BL496" i="3"/>
  <c r="G493" i="3"/>
  <c r="BA584" i="3"/>
  <c r="BA580" i="3"/>
  <c r="BA576" i="3"/>
  <c r="BA574" i="3"/>
  <c r="BA572" i="3"/>
  <c r="BA568" i="3"/>
  <c r="BA566" i="3"/>
  <c r="BA564" i="3"/>
  <c r="BA562" i="3"/>
  <c r="BA560" i="3"/>
  <c r="BA556" i="3"/>
  <c r="BA552" i="3"/>
  <c r="BA548" i="3"/>
  <c r="BA546" i="3"/>
  <c r="BA542" i="3"/>
  <c r="BA540" i="3"/>
  <c r="BA538" i="3"/>
  <c r="BA536" i="3"/>
  <c r="BA532" i="3"/>
  <c r="BA530" i="3"/>
  <c r="AZ530" i="3" s="1"/>
  <c r="BA528" i="3"/>
  <c r="AZ528" i="3" s="1"/>
  <c r="BA526" i="3"/>
  <c r="BA524" i="3"/>
  <c r="BA520" i="3"/>
  <c r="BA518" i="3"/>
  <c r="BA516" i="3"/>
  <c r="BA514" i="3"/>
  <c r="BA512" i="3"/>
  <c r="BA508" i="3"/>
  <c r="BA506" i="3"/>
  <c r="BA504" i="3"/>
  <c r="BA502" i="3"/>
  <c r="AZ502" i="3" s="1"/>
  <c r="BA500" i="3"/>
  <c r="BA496" i="3"/>
  <c r="BA494" i="3"/>
  <c r="BA587" i="3"/>
  <c r="AZ587" i="3" s="1"/>
  <c r="BA583" i="3"/>
  <c r="BA581" i="3"/>
  <c r="BA577" i="3"/>
  <c r="BA573" i="3"/>
  <c r="BA571" i="3"/>
  <c r="BA569" i="3"/>
  <c r="BA565" i="3"/>
  <c r="BA563" i="3"/>
  <c r="BA561" i="3"/>
  <c r="BA559" i="3"/>
  <c r="BA555" i="3"/>
  <c r="BA549" i="3"/>
  <c r="BA545" i="3"/>
  <c r="BA543" i="3"/>
  <c r="BA541" i="3"/>
  <c r="BA537" i="3"/>
  <c r="BA535" i="3"/>
  <c r="BA533" i="3"/>
  <c r="BA531" i="3"/>
  <c r="BA529" i="3"/>
  <c r="BA525" i="3"/>
  <c r="BA523" i="3"/>
  <c r="BA519" i="3"/>
  <c r="BA517" i="3"/>
  <c r="BA515" i="3"/>
  <c r="BA511" i="3"/>
  <c r="BA507" i="3"/>
  <c r="BA505" i="3"/>
  <c r="BA503" i="3"/>
  <c r="BA501" i="3"/>
  <c r="BA497" i="3"/>
  <c r="BA495" i="3"/>
  <c r="BA493" i="3"/>
  <c r="G583" i="3"/>
  <c r="G581" i="3"/>
  <c r="G579" i="3"/>
  <c r="G577" i="3"/>
  <c r="G575" i="3"/>
  <c r="G573" i="3"/>
  <c r="G571" i="3"/>
  <c r="G569" i="3"/>
  <c r="G565" i="3"/>
  <c r="G563" i="3"/>
  <c r="G561" i="3"/>
  <c r="BL558" i="3"/>
  <c r="BA557" i="3"/>
  <c r="AC557" i="3"/>
  <c r="G557" i="3" s="1"/>
  <c r="BQ557" i="3"/>
  <c r="BL557" i="3" s="1"/>
  <c r="BQ583" i="3"/>
  <c r="BL583" i="3" s="1"/>
  <c r="AZ583" i="3" s="1"/>
  <c r="BQ581" i="3"/>
  <c r="BL581" i="3" s="1"/>
  <c r="BQ579" i="3"/>
  <c r="BL579" i="3" s="1"/>
  <c r="BQ577" i="3"/>
  <c r="BL577" i="3" s="1"/>
  <c r="BQ575" i="3"/>
  <c r="BQ573" i="3"/>
  <c r="BQ571" i="3"/>
  <c r="BL571" i="3" s="1"/>
  <c r="BQ569" i="3"/>
  <c r="BL569" i="3" s="1"/>
  <c r="BQ567" i="3"/>
  <c r="BQ565" i="3"/>
  <c r="BL565" i="3" s="1"/>
  <c r="BQ563" i="3"/>
  <c r="BL563" i="3" s="1"/>
  <c r="BQ561" i="3"/>
  <c r="BL561" i="3" s="1"/>
  <c r="BQ559" i="3"/>
  <c r="BL559" i="3" s="1"/>
  <c r="G559" i="3"/>
  <c r="G553" i="3"/>
  <c r="G549" i="3"/>
  <c r="G547" i="3"/>
  <c r="G545" i="3"/>
  <c r="G543" i="3"/>
  <c r="G541" i="3"/>
  <c r="G539" i="3"/>
  <c r="G537" i="3"/>
  <c r="BQ555" i="3"/>
  <c r="BL555" i="3" s="1"/>
  <c r="BQ553" i="3"/>
  <c r="BL553" i="3" s="1"/>
  <c r="BQ551" i="3"/>
  <c r="BL551" i="3" s="1"/>
  <c r="BQ549" i="3"/>
  <c r="BL549" i="3" s="1"/>
  <c r="AZ549" i="3" s="1"/>
  <c r="BQ547" i="3"/>
  <c r="BL547" i="3" s="1"/>
  <c r="BQ545" i="3"/>
  <c r="BQ543" i="3"/>
  <c r="BL543" i="3" s="1"/>
  <c r="BQ541" i="3"/>
  <c r="BQ539" i="3"/>
  <c r="BL539" i="3" s="1"/>
  <c r="BQ537" i="3"/>
  <c r="BQ535" i="3"/>
  <c r="BL535" i="3" s="1"/>
  <c r="BQ533" i="3"/>
  <c r="BL533" i="3" s="1"/>
  <c r="BQ531" i="3"/>
  <c r="BL531" i="3" s="1"/>
  <c r="BQ529" i="3"/>
  <c r="BL529" i="3" s="1"/>
  <c r="BQ527" i="3"/>
  <c r="BL527" i="3" s="1"/>
  <c r="BQ525" i="3"/>
  <c r="BL525" i="3" s="1"/>
  <c r="AZ525" i="3" s="1"/>
  <c r="BQ523" i="3"/>
  <c r="BL523" i="3" s="1"/>
  <c r="AZ523" i="3" s="1"/>
  <c r="AC521" i="3"/>
  <c r="G521" i="3" s="1"/>
  <c r="BQ521" i="3"/>
  <c r="BL521" i="3" s="1"/>
  <c r="BL520" i="3"/>
  <c r="G519" i="3"/>
  <c r="G515" i="3"/>
  <c r="G513" i="3"/>
  <c r="G511" i="3"/>
  <c r="BQ519" i="3"/>
  <c r="BL519" i="3" s="1"/>
  <c r="AZ519" i="3" s="1"/>
  <c r="BQ517" i="3"/>
  <c r="BQ515" i="3"/>
  <c r="BL515" i="3" s="1"/>
  <c r="BQ513" i="3"/>
  <c r="BL513" i="3" s="1"/>
  <c r="BQ511" i="3"/>
  <c r="BL511" i="3"/>
  <c r="AC509" i="3"/>
  <c r="G509" i="3" s="1"/>
  <c r="BQ509" i="3"/>
  <c r="BL509" i="3" s="1"/>
  <c r="BL508" i="3"/>
  <c r="AZ508" i="3" s="1"/>
  <c r="G507" i="3"/>
  <c r="G505" i="3"/>
  <c r="G503" i="3"/>
  <c r="G501" i="3"/>
  <c r="G499" i="3"/>
  <c r="G497" i="3"/>
  <c r="G495" i="3"/>
  <c r="BQ507" i="3"/>
  <c r="BL507" i="3" s="1"/>
  <c r="BQ505" i="3"/>
  <c r="BL505" i="3" s="1"/>
  <c r="BQ503" i="3"/>
  <c r="BL503" i="3" s="1"/>
  <c r="BQ501" i="3"/>
  <c r="BL501" i="3" s="1"/>
  <c r="BQ499" i="3"/>
  <c r="BL499" i="3" s="1"/>
  <c r="BQ497" i="3"/>
  <c r="BL497" i="3" s="1"/>
  <c r="AZ497" i="3" s="1"/>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AA25" i="21" s="1"/>
  <c r="J25" i="21"/>
  <c r="AC25" i="21" s="1"/>
  <c r="E125" i="33"/>
  <c r="F125" i="33" s="1"/>
  <c r="G125" i="33" s="1"/>
  <c r="H43" i="33"/>
  <c r="AB43" i="33" s="1"/>
  <c r="H17" i="37"/>
  <c r="AB17" i="37" s="1"/>
  <c r="F39" i="33"/>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S41" i="34" s="1"/>
  <c r="H41" i="34"/>
  <c r="U41" i="34" s="1"/>
  <c r="J41" i="34"/>
  <c r="W41" i="34" s="1"/>
  <c r="F10" i="35"/>
  <c r="F24" i="35"/>
  <c r="AA24" i="35" s="1"/>
  <c r="H24" i="35"/>
  <c r="AB24" i="35"/>
  <c r="H23" i="37"/>
  <c r="AB23" i="37" s="1"/>
  <c r="J32" i="37"/>
  <c r="AC32" i="37" s="1"/>
  <c r="F36" i="37"/>
  <c r="AA36" i="37" s="1"/>
  <c r="F37" i="37"/>
  <c r="AA37" i="37" s="1"/>
  <c r="F31" i="40"/>
  <c r="AA31" i="40" s="1"/>
  <c r="H31" i="40"/>
  <c r="AB31" i="40" s="1"/>
  <c r="F32" i="40"/>
  <c r="S32" i="40" s="1"/>
  <c r="H32" i="40"/>
  <c r="AB32" i="40" s="1"/>
  <c r="J36" i="40"/>
  <c r="W36" i="40" s="1"/>
  <c r="H19" i="37"/>
  <c r="AB19" i="37" s="1"/>
  <c r="H42" i="33"/>
  <c r="AB42" i="33"/>
  <c r="J43" i="33"/>
  <c r="AC43" i="33" s="1"/>
  <c r="S28" i="31"/>
  <c r="S27" i="31"/>
  <c r="S26" i="31"/>
  <c r="AA12" i="35"/>
  <c r="W14" i="37"/>
  <c r="U33" i="37"/>
  <c r="AC8" i="37"/>
  <c r="U26" i="37"/>
  <c r="W37" i="34"/>
  <c r="AB37" i="34"/>
  <c r="AC36" i="34"/>
  <c r="U19" i="21"/>
  <c r="U26" i="21"/>
  <c r="AC46" i="21"/>
  <c r="AB38" i="21"/>
  <c r="F43" i="33"/>
  <c r="W15" i="34"/>
  <c r="AC15" i="34"/>
  <c r="W16" i="35"/>
  <c r="G107" i="37"/>
  <c r="H107" i="37" s="1"/>
  <c r="I107" i="37" s="1"/>
  <c r="J107" i="37" s="1"/>
  <c r="K107" i="37" s="1"/>
  <c r="L107" i="37" s="1"/>
  <c r="M107" i="37" s="1"/>
  <c r="H37" i="21"/>
  <c r="U37" i="21" s="1"/>
  <c r="S42" i="21"/>
  <c r="H19" i="34"/>
  <c r="U19" i="34" s="1"/>
  <c r="F36" i="35"/>
  <c r="S36" i="35" s="1"/>
  <c r="J9" i="37"/>
  <c r="W9" i="37" s="1"/>
  <c r="H9" i="37"/>
  <c r="AB9" i="37" s="1"/>
  <c r="F9" i="37"/>
  <c r="AA9" i="37" s="1"/>
  <c r="J12" i="37"/>
  <c r="AC12" i="37" s="1"/>
  <c r="W12" i="37"/>
  <c r="H12" i="37"/>
  <c r="F12" i="37"/>
  <c r="S12" i="37" s="1"/>
  <c r="E71" i="37"/>
  <c r="F71" i="37" s="1"/>
  <c r="G71" i="37" s="1"/>
  <c r="F15" i="37"/>
  <c r="AA15" i="37" s="1"/>
  <c r="F31" i="37"/>
  <c r="S31" i="37" s="1"/>
  <c r="F12" i="39"/>
  <c r="S12" i="39" s="1"/>
  <c r="J42" i="39"/>
  <c r="AC42" i="39" s="1"/>
  <c r="H21" i="40"/>
  <c r="H31" i="37"/>
  <c r="U31" i="37" s="1"/>
  <c r="J15" i="37"/>
  <c r="W15" i="37" s="1"/>
  <c r="AT6" i="3"/>
  <c r="H5" i="3"/>
  <c r="C12" i="43"/>
  <c r="H19" i="40"/>
  <c r="U19" i="40" s="1"/>
  <c r="G88" i="40"/>
  <c r="F19" i="40"/>
  <c r="S19" i="40" s="1"/>
  <c r="AB33" i="40"/>
  <c r="W23" i="39"/>
  <c r="W43" i="39"/>
  <c r="H37" i="39"/>
  <c r="AC37" i="39"/>
  <c r="W37" i="39"/>
  <c r="H25" i="39"/>
  <c r="AB25" i="39" s="1"/>
  <c r="J25" i="39"/>
  <c r="W25" i="39" s="1"/>
  <c r="F25" i="39"/>
  <c r="AA25" i="39" s="1"/>
  <c r="F15" i="39"/>
  <c r="AA15" i="39" s="1"/>
  <c r="H15" i="39"/>
  <c r="U15" i="39" s="1"/>
  <c r="J15" i="39"/>
  <c r="W15" i="39" s="1"/>
  <c r="H41" i="39"/>
  <c r="U41" i="39" s="1"/>
  <c r="AB34" i="39"/>
  <c r="S42" i="39"/>
  <c r="W14" i="39"/>
  <c r="AA41" i="39"/>
  <c r="W9" i="39"/>
  <c r="W8" i="39"/>
  <c r="J19" i="40"/>
  <c r="AC19" i="40" s="1"/>
  <c r="J50" i="40"/>
  <c r="B54" i="72"/>
  <c r="H103" i="9"/>
  <c r="D8" i="53" s="1"/>
  <c r="D9" i="53" s="1"/>
  <c r="B25" i="72" s="1"/>
  <c r="B16" i="53"/>
  <c r="B33" i="72" s="1"/>
  <c r="C7" i="37"/>
  <c r="C7" i="34"/>
  <c r="C7" i="36"/>
  <c r="W35" i="40"/>
  <c r="A118" i="9"/>
  <c r="A4" i="52"/>
  <c r="B41" i="72" s="1"/>
  <c r="J11" i="39"/>
  <c r="F11" i="39"/>
  <c r="S11" i="39" s="1"/>
  <c r="AA11" i="39"/>
  <c r="A12" i="52"/>
  <c r="B56" i="72" s="1"/>
  <c r="G4" i="4"/>
  <c r="I4" i="4"/>
  <c r="K5" i="4"/>
  <c r="B47" i="48" s="1"/>
  <c r="A2" i="9"/>
  <c r="F59" i="43"/>
  <c r="H65" i="43" s="1"/>
  <c r="AZ494" i="3"/>
  <c r="AZ546"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AZ306" i="3" s="1"/>
  <c r="BL307" i="3"/>
  <c r="G308" i="3"/>
  <c r="BA310" i="3"/>
  <c r="AZ310" i="3" s="1"/>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BO5" i="3"/>
  <c r="BM5" i="3"/>
  <c r="BJ5" i="3"/>
  <c r="BF5" i="3"/>
  <c r="G548" i="3"/>
  <c r="G538" i="3"/>
  <c r="G520" i="3"/>
  <c r="G502" i="3"/>
  <c r="BS5" i="3"/>
  <c r="BP5" i="3"/>
  <c r="BN5" i="3"/>
  <c r="BK5" i="3"/>
  <c r="BG5" i="3"/>
  <c r="G17" i="3"/>
  <c r="BA17" i="3"/>
  <c r="BA15" i="3"/>
  <c r="BB5" i="3"/>
  <c r="E8" i="6" s="1"/>
  <c r="BR5" i="3"/>
  <c r="F36" i="43"/>
  <c r="F81" i="43"/>
  <c r="H82" i="43" s="1"/>
  <c r="F48" i="43"/>
  <c r="H56" i="43" s="1"/>
  <c r="M11" i="43"/>
  <c r="F39" i="43"/>
  <c r="F6" i="1"/>
  <c r="I20" i="43" s="1"/>
  <c r="U17" i="39"/>
  <c r="S14" i="35"/>
  <c r="U43" i="21"/>
  <c r="U35" i="21"/>
  <c r="AC35" i="21"/>
  <c r="G9" i="1"/>
  <c r="G10" i="1"/>
  <c r="F48" i="9"/>
  <c r="O52" i="9" s="1"/>
  <c r="W44" i="34"/>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U32" i="37" s="1"/>
  <c r="F96" i="37"/>
  <c r="G96" i="37" s="1"/>
  <c r="H96" i="37" s="1"/>
  <c r="I96" i="37" s="1"/>
  <c r="J96" i="37" s="1"/>
  <c r="K96" i="37" s="1"/>
  <c r="L96" i="37" s="1"/>
  <c r="M96" i="37" s="1"/>
  <c r="H27" i="40"/>
  <c r="J27" i="40"/>
  <c r="AC27" i="40" s="1"/>
  <c r="F27" i="40"/>
  <c r="S27" i="40" s="1"/>
  <c r="J30" i="40"/>
  <c r="W30" i="40" s="1"/>
  <c r="F30" i="40"/>
  <c r="S30" i="40" s="1"/>
  <c r="S31" i="39"/>
  <c r="S11" i="40"/>
  <c r="E98" i="40"/>
  <c r="F98" i="40" s="1"/>
  <c r="G98" i="40" s="1"/>
  <c r="H98" i="40" s="1"/>
  <c r="I98" i="40" s="1"/>
  <c r="J98" i="40" s="1"/>
  <c r="K98" i="40" s="1"/>
  <c r="L98" i="40" s="1"/>
  <c r="M98" i="40" s="1"/>
  <c r="F10" i="33"/>
  <c r="S10" i="33" s="1"/>
  <c r="F34" i="33"/>
  <c r="S34" i="33" s="1"/>
  <c r="H34" i="33"/>
  <c r="U34" i="33" s="1"/>
  <c r="F35" i="33"/>
  <c r="AA35" i="33" s="1"/>
  <c r="F39" i="34"/>
  <c r="AA39" i="34" s="1"/>
  <c r="J39" i="34"/>
  <c r="AC39" i="34" s="1"/>
  <c r="F40" i="34"/>
  <c r="S40" i="34" s="1"/>
  <c r="F43" i="34"/>
  <c r="AA43" i="34" s="1"/>
  <c r="H44" i="34"/>
  <c r="AB44" i="34" s="1"/>
  <c r="AC38" i="39"/>
  <c r="F39" i="39"/>
  <c r="S39" i="39" s="1"/>
  <c r="J39" i="39"/>
  <c r="AC39" i="39" s="1"/>
  <c r="E97" i="39"/>
  <c r="F97" i="39" s="1"/>
  <c r="G97" i="39" s="1"/>
  <c r="C40" i="11"/>
  <c r="F23" i="39"/>
  <c r="AA23" i="39" s="1"/>
  <c r="H27" i="36"/>
  <c r="U27" i="36" s="1"/>
  <c r="F27" i="36"/>
  <c r="S27" i="36" s="1"/>
  <c r="H33" i="34"/>
  <c r="U33" i="34" s="1"/>
  <c r="F32" i="37"/>
  <c r="F20" i="36"/>
  <c r="AA20" i="36" s="1"/>
  <c r="J33" i="34"/>
  <c r="W33" i="34" s="1"/>
  <c r="H23" i="39"/>
  <c r="U23" i="39" s="1"/>
  <c r="D48" i="9"/>
  <c r="M52" i="9" s="1"/>
  <c r="K9" i="1"/>
  <c r="M9" i="1" s="1"/>
  <c r="O9" i="1" s="1"/>
  <c r="AE9" i="1"/>
  <c r="D93" i="9"/>
  <c r="AC26" i="33"/>
  <c r="W26" i="33"/>
  <c r="AB34" i="36"/>
  <c r="U34" i="36"/>
  <c r="AC12" i="39"/>
  <c r="W12" i="33"/>
  <c r="AC12" i="33"/>
  <c r="AA32" i="36"/>
  <c r="S32" i="36"/>
  <c r="BL14" i="3"/>
  <c r="U30" i="33"/>
  <c r="AC13" i="34"/>
  <c r="AA47" i="34"/>
  <c r="S19" i="39"/>
  <c r="F12" i="33"/>
  <c r="H12" i="39"/>
  <c r="U12" i="39" s="1"/>
  <c r="F39" i="40"/>
  <c r="BA14" i="3"/>
  <c r="S12" i="1"/>
  <c r="T12" i="1" s="1"/>
  <c r="R12" i="1"/>
  <c r="B12" i="1"/>
  <c r="E12" i="1" s="1"/>
  <c r="S10" i="1"/>
  <c r="AR10" i="1" s="1"/>
  <c r="R10" i="1"/>
  <c r="B10" i="1"/>
  <c r="E10" i="1" s="1"/>
  <c r="K12" i="1"/>
  <c r="M12" i="1" s="1"/>
  <c r="O12" i="1" s="1"/>
  <c r="P12" i="1" s="1"/>
  <c r="S13" i="1"/>
  <c r="T13" i="1" s="1"/>
  <c r="R13" i="1"/>
  <c r="S11" i="1"/>
  <c r="AQ11" i="1" s="1"/>
  <c r="R11" i="1"/>
  <c r="S9" i="1"/>
  <c r="AR9" i="1" s="1"/>
  <c r="R9" i="1"/>
  <c r="J51" i="67"/>
  <c r="C42" i="1"/>
  <c r="H100" i="43"/>
  <c r="C30" i="66"/>
  <c r="E26" i="66" s="1"/>
  <c r="AA34" i="33"/>
  <c r="B41" i="1"/>
  <c r="F52" i="9" s="1"/>
  <c r="J100" i="43"/>
  <c r="AB37" i="40"/>
  <c r="S35" i="40"/>
  <c r="AA32" i="40"/>
  <c r="AC17" i="40"/>
  <c r="AC15" i="40"/>
  <c r="AA19" i="40"/>
  <c r="S28" i="40"/>
  <c r="AA27" i="40"/>
  <c r="W42" i="39"/>
  <c r="U35" i="39"/>
  <c r="F32" i="39"/>
  <c r="F107" i="39"/>
  <c r="G107" i="39" s="1"/>
  <c r="H107" i="39" s="1"/>
  <c r="I107" i="39" s="1"/>
  <c r="J107" i="39" s="1"/>
  <c r="K107" i="39" s="1"/>
  <c r="L107" i="39" s="1"/>
  <c r="M107" i="39" s="1"/>
  <c r="AB27" i="39"/>
  <c r="U31" i="39"/>
  <c r="J21" i="39"/>
  <c r="F21" i="39"/>
  <c r="AA21" i="39" s="1"/>
  <c r="G95" i="39"/>
  <c r="H21" i="39"/>
  <c r="AB21" i="39" s="1"/>
  <c r="W19" i="39"/>
  <c r="U19" i="39"/>
  <c r="AB15" i="39"/>
  <c r="AA12" i="39"/>
  <c r="S9" i="39"/>
  <c r="U14" i="39"/>
  <c r="U13" i="36"/>
  <c r="AC27" i="36"/>
  <c r="U26" i="36"/>
  <c r="S33" i="36"/>
  <c r="AA26" i="36"/>
  <c r="S29" i="36"/>
  <c r="AC26" i="36"/>
  <c r="AA22" i="36"/>
  <c r="W14" i="36"/>
  <c r="U22" i="36"/>
  <c r="S16" i="36"/>
  <c r="AA25" i="36"/>
  <c r="S24" i="36"/>
  <c r="U24" i="36"/>
  <c r="U16" i="36"/>
  <c r="S14" i="36"/>
  <c r="W10" i="36"/>
  <c r="AA25" i="35"/>
  <c r="W24" i="35"/>
  <c r="AB13" i="35"/>
  <c r="U28" i="35"/>
  <c r="AB27" i="35"/>
  <c r="U36" i="35"/>
  <c r="U32" i="35"/>
  <c r="AA33" i="35"/>
  <c r="AC30" i="35"/>
  <c r="S32" i="35"/>
  <c r="AA36" i="35"/>
  <c r="W32" i="35"/>
  <c r="S28" i="35"/>
  <c r="AB16" i="35"/>
  <c r="U22" i="35"/>
  <c r="S20" i="35"/>
  <c r="AC20" i="35"/>
  <c r="S22" i="35"/>
  <c r="U14" i="35"/>
  <c r="AC10" i="35"/>
  <c r="AB10" i="35"/>
  <c r="AA11" i="35"/>
  <c r="S8" i="35"/>
  <c r="AC9" i="35"/>
  <c r="W9" i="35"/>
  <c r="F9" i="35"/>
  <c r="S9" i="35" s="1"/>
  <c r="H9" i="35"/>
  <c r="F26" i="35"/>
  <c r="AA26" i="35" s="1"/>
  <c r="J26" i="35"/>
  <c r="W26" i="35" s="1"/>
  <c r="H26" i="35"/>
  <c r="AB26" i="35" s="1"/>
  <c r="W27" i="37"/>
  <c r="AC9" i="37"/>
  <c r="AC29" i="37"/>
  <c r="U29" i="37"/>
  <c r="W30" i="37"/>
  <c r="S36" i="37"/>
  <c r="AA38" i="37"/>
  <c r="W38" i="37"/>
  <c r="AC35" i="37"/>
  <c r="S30" i="37"/>
  <c r="S37" i="37"/>
  <c r="AC15" i="37"/>
  <c r="J17" i="37"/>
  <c r="W17" i="37" s="1"/>
  <c r="G73" i="37"/>
  <c r="F17" i="37"/>
  <c r="S17" i="37" s="1"/>
  <c r="F75" i="37"/>
  <c r="F19" i="37"/>
  <c r="S19" i="37" s="1"/>
  <c r="F23" i="37"/>
  <c r="S23" i="37" s="1"/>
  <c r="U23" i="37"/>
  <c r="U15" i="37"/>
  <c r="U9" i="37"/>
  <c r="AA13" i="37"/>
  <c r="H10" i="37"/>
  <c r="AB10" i="37" s="1"/>
  <c r="H60" i="37"/>
  <c r="I60" i="37" s="1"/>
  <c r="F63" i="37"/>
  <c r="F11" i="37"/>
  <c r="S11" i="37" s="1"/>
  <c r="S27" i="34"/>
  <c r="AB8" i="34"/>
  <c r="U43" i="34"/>
  <c r="AC42" i="34"/>
  <c r="AB35" i="34"/>
  <c r="U39" i="34"/>
  <c r="S43" i="34"/>
  <c r="W34" i="34"/>
  <c r="U28" i="34"/>
  <c r="S17" i="34"/>
  <c r="S23" i="34"/>
  <c r="U15" i="34"/>
  <c r="S10" i="34"/>
  <c r="S13" i="34"/>
  <c r="H67" i="34"/>
  <c r="I67" i="34" s="1"/>
  <c r="H10" i="34"/>
  <c r="AB10" i="34" s="1"/>
  <c r="F11" i="34"/>
  <c r="S11" i="34" s="1"/>
  <c r="W42" i="33"/>
  <c r="S27" i="33"/>
  <c r="S32" i="33"/>
  <c r="AA29" i="33"/>
  <c r="W38" i="33"/>
  <c r="H41" i="33"/>
  <c r="U41" i="33" s="1"/>
  <c r="F121" i="33"/>
  <c r="G121" i="33"/>
  <c r="H121" i="33" s="1"/>
  <c r="I121" i="33" s="1"/>
  <c r="J121" i="33" s="1"/>
  <c r="K121" i="33" s="1"/>
  <c r="L121" i="33" s="1"/>
  <c r="M121" i="33" s="1"/>
  <c r="U42" i="33"/>
  <c r="S42" i="33"/>
  <c r="F36" i="33"/>
  <c r="S36" i="33" s="1"/>
  <c r="G111" i="33"/>
  <c r="H111" i="33" s="1"/>
  <c r="I111" i="33" s="1"/>
  <c r="J111" i="33" s="1"/>
  <c r="K111" i="33" s="1"/>
  <c r="L111" i="33" s="1"/>
  <c r="M111" i="33" s="1"/>
  <c r="G108" i="33"/>
  <c r="H108" i="33" s="1"/>
  <c r="I108" i="33" s="1"/>
  <c r="J108" i="33" s="1"/>
  <c r="K108" i="33"/>
  <c r="L108" i="33" s="1"/>
  <c r="M108" i="33" s="1"/>
  <c r="J35" i="33"/>
  <c r="AC35" i="33" s="1"/>
  <c r="S37" i="33"/>
  <c r="AA37" i="33"/>
  <c r="F101" i="33"/>
  <c r="G101" i="33" s="1"/>
  <c r="H101" i="33" s="1"/>
  <c r="I101" i="33" s="1"/>
  <c r="J101" i="33" s="1"/>
  <c r="K101" i="33" s="1"/>
  <c r="L101" i="33" s="1"/>
  <c r="M101" i="33" s="1"/>
  <c r="J32" i="33"/>
  <c r="AC32" i="33" s="1"/>
  <c r="S46" i="33"/>
  <c r="F91" i="33"/>
  <c r="G91" i="33" s="1"/>
  <c r="H91" i="33" s="1"/>
  <c r="I91" i="33" s="1"/>
  <c r="J91" i="33" s="1"/>
  <c r="K91" i="33" s="1"/>
  <c r="L91" i="33" s="1"/>
  <c r="M91" i="33" s="1"/>
  <c r="H27" i="33"/>
  <c r="U27" i="33" s="1"/>
  <c r="F87" i="33"/>
  <c r="G87" i="33" s="1"/>
  <c r="H25" i="33"/>
  <c r="U25" i="33" s="1"/>
  <c r="F25" i="33"/>
  <c r="AA25" i="33" s="1"/>
  <c r="J23" i="33"/>
  <c r="AC23" i="33" s="1"/>
  <c r="F85" i="33"/>
  <c r="H23" i="33"/>
  <c r="U23" i="33" s="1"/>
  <c r="F19" i="33"/>
  <c r="S19" i="33" s="1"/>
  <c r="W19" i="33"/>
  <c r="J17" i="33"/>
  <c r="AC17" i="33" s="1"/>
  <c r="F79" i="33"/>
  <c r="G79" i="33" s="1"/>
  <c r="S15" i="33"/>
  <c r="W15" i="33"/>
  <c r="I66" i="33"/>
  <c r="J10" i="33"/>
  <c r="W10" i="33" s="1"/>
  <c r="H10" i="33"/>
  <c r="AB10" i="33" s="1"/>
  <c r="AA10" i="33"/>
  <c r="AC11" i="33"/>
  <c r="AB14" i="33"/>
  <c r="W43" i="21"/>
  <c r="W36" i="21"/>
  <c r="W41" i="21"/>
  <c r="AB39" i="21"/>
  <c r="AA43" i="21"/>
  <c r="S39" i="21"/>
  <c r="AA38" i="21"/>
  <c r="AA36" i="21"/>
  <c r="AC40" i="21"/>
  <c r="J15" i="21"/>
  <c r="F23" i="21"/>
  <c r="E85" i="21"/>
  <c r="F85" i="21" s="1"/>
  <c r="G85" i="21" s="1"/>
  <c r="AC11" i="21"/>
  <c r="AA14" i="21"/>
  <c r="AB8" i="21"/>
  <c r="S8" i="21"/>
  <c r="M3" i="43"/>
  <c r="M1" i="43"/>
  <c r="N8" i="43"/>
  <c r="D120" i="9"/>
  <c r="D121" i="9" s="1"/>
  <c r="D7" i="52" s="1"/>
  <c r="C18" i="9"/>
  <c r="D18" i="9" s="1"/>
  <c r="F34" i="67"/>
  <c r="F62" i="67" s="1"/>
  <c r="M20" i="67"/>
  <c r="F63" i="15"/>
  <c r="BA13" i="3"/>
  <c r="BL17" i="3"/>
  <c r="AZ17" i="3" s="1"/>
  <c r="BL13" i="3"/>
  <c r="J56" i="9"/>
  <c r="J57" i="9" s="1"/>
  <c r="A24" i="51"/>
  <c r="B18" i="72" s="1"/>
  <c r="U29" i="34"/>
  <c r="G1" i="68"/>
  <c r="K1" i="12"/>
  <c r="E19" i="69"/>
  <c r="E19" i="68"/>
  <c r="E19" i="11"/>
  <c r="E1" i="73"/>
  <c r="G41" i="69"/>
  <c r="G22" i="69"/>
  <c r="G41" i="68"/>
  <c r="G22" i="68"/>
  <c r="G27" i="12"/>
  <c r="G26" i="12"/>
  <c r="G41" i="11"/>
  <c r="G22" i="11"/>
  <c r="G25" i="12"/>
  <c r="C100" i="43"/>
  <c r="E11" i="43"/>
  <c r="E10" i="43"/>
  <c r="E9" i="43"/>
  <c r="E8" i="43"/>
  <c r="E81" i="43"/>
  <c r="B79" i="43" s="1"/>
  <c r="E48" i="43"/>
  <c r="B46" i="43" s="1"/>
  <c r="F100" i="43"/>
  <c r="H17" i="43"/>
  <c r="H85" i="43"/>
  <c r="C17" i="43"/>
  <c r="K17" i="43"/>
  <c r="F34" i="43"/>
  <c r="N6" i="43"/>
  <c r="N3" i="43"/>
  <c r="M9" i="43"/>
  <c r="N5" i="43"/>
  <c r="M12" i="43"/>
  <c r="B19" i="53"/>
  <c r="B37" i="72" s="1"/>
  <c r="C7" i="39"/>
  <c r="C68" i="39" s="1"/>
  <c r="C70"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C7" i="40"/>
  <c r="C63" i="40" s="1"/>
  <c r="C65" i="40" s="1"/>
  <c r="M47" i="9"/>
  <c r="G19" i="43"/>
  <c r="O19" i="43" s="1"/>
  <c r="T35" i="4"/>
  <c r="A19" i="51" s="1"/>
  <c r="B14" i="72" s="1"/>
  <c r="C46" i="36"/>
  <c r="D46" i="36" s="1"/>
  <c r="E46" i="36" s="1"/>
  <c r="F46" i="36" s="1"/>
  <c r="C59" i="34"/>
  <c r="D59" i="34" s="1"/>
  <c r="E59" i="34" s="1"/>
  <c r="F59" i="34" s="1"/>
  <c r="G59" i="34" s="1"/>
  <c r="H59" i="34" s="1"/>
  <c r="I59" i="34" s="1"/>
  <c r="J59" i="34" s="1"/>
  <c r="K59" i="34" s="1"/>
  <c r="L59" i="34" s="1"/>
  <c r="M59" i="34" s="1"/>
  <c r="N59" i="34" s="1"/>
  <c r="O59" i="34" s="1"/>
  <c r="C52" i="37"/>
  <c r="D52" i="37" s="1"/>
  <c r="E52" i="37" s="1"/>
  <c r="F52" i="37" s="1"/>
  <c r="G52" i="37" s="1"/>
  <c r="H52" i="37" s="1"/>
  <c r="I52" i="37" s="1"/>
  <c r="A4" i="51"/>
  <c r="B6" i="72" s="1"/>
  <c r="C4" i="12"/>
  <c r="H64" i="43"/>
  <c r="H63" i="43"/>
  <c r="H55" i="43"/>
  <c r="L20" i="6"/>
  <c r="B6" i="1"/>
  <c r="E6" i="1" s="1"/>
  <c r="S8" i="1"/>
  <c r="AR8" i="1" s="1"/>
  <c r="K11" i="1"/>
  <c r="M11" i="1" s="1"/>
  <c r="B9" i="1"/>
  <c r="E9" i="1" s="1"/>
  <c r="G1" i="15"/>
  <c r="G1" i="69"/>
  <c r="G1" i="67"/>
  <c r="W23" i="40"/>
  <c r="U32" i="40"/>
  <c r="S37" i="40"/>
  <c r="AB28" i="40"/>
  <c r="W28" i="40"/>
  <c r="W34" i="40"/>
  <c r="W19" i="40"/>
  <c r="W27" i="40"/>
  <c r="S36" i="40"/>
  <c r="W37" i="40"/>
  <c r="S13" i="40"/>
  <c r="S33" i="40"/>
  <c r="U11" i="40"/>
  <c r="S31" i="40"/>
  <c r="AB13" i="40"/>
  <c r="U15" i="40"/>
  <c r="AB17" i="40"/>
  <c r="U8" i="40"/>
  <c r="S8" i="40"/>
  <c r="AA39" i="39"/>
  <c r="U42" i="39"/>
  <c r="AB23" i="39"/>
  <c r="AB41" i="39"/>
  <c r="AC25" i="39"/>
  <c r="U13" i="39"/>
  <c r="AB13" i="39"/>
  <c r="AA13" i="39"/>
  <c r="S13" i="39"/>
  <c r="S14" i="39"/>
  <c r="AA14" i="39"/>
  <c r="AB11" i="39"/>
  <c r="U11" i="39"/>
  <c r="AA27" i="39"/>
  <c r="S27" i="39"/>
  <c r="W17" i="39"/>
  <c r="AC17" i="39"/>
  <c r="W31" i="39"/>
  <c r="AC31" i="39"/>
  <c r="AB39" i="39"/>
  <c r="W34" i="39"/>
  <c r="U38" i="39"/>
  <c r="S8" i="39"/>
  <c r="AC25" i="36"/>
  <c r="S28" i="36"/>
  <c r="W29" i="36"/>
  <c r="AC20" i="36"/>
  <c r="U25" i="36"/>
  <c r="AB28" i="36"/>
  <c r="AA13" i="36"/>
  <c r="W22" i="36"/>
  <c r="S9" i="36"/>
  <c r="AB20" i="35"/>
  <c r="AC25" i="35"/>
  <c r="U25" i="35"/>
  <c r="S24" i="35"/>
  <c r="W33" i="35"/>
  <c r="AA30" i="35"/>
  <c r="U24" i="35"/>
  <c r="S35" i="35"/>
  <c r="W35" i="35"/>
  <c r="AA16" i="35"/>
  <c r="AA35" i="37"/>
  <c r="S27" i="37"/>
  <c r="S28" i="37"/>
  <c r="W32" i="37"/>
  <c r="U36" i="37"/>
  <c r="S40" i="37"/>
  <c r="U38" i="37"/>
  <c r="AB37" i="37"/>
  <c r="S33" i="37"/>
  <c r="AC34" i="37"/>
  <c r="AA31" i="37"/>
  <c r="U19" i="37"/>
  <c r="AA8" i="37"/>
  <c r="U8" i="37"/>
  <c r="AA40" i="34"/>
  <c r="AB40" i="34"/>
  <c r="W19" i="34"/>
  <c r="AB33" i="34"/>
  <c r="AC45" i="34"/>
  <c r="AA30" i="34"/>
  <c r="AB45" i="34"/>
  <c r="AB47" i="34"/>
  <c r="U25" i="34"/>
  <c r="AB36" i="34"/>
  <c r="AC14" i="34"/>
  <c r="AC32" i="34"/>
  <c r="AC29" i="34"/>
  <c r="W29" i="34"/>
  <c r="W46" i="34"/>
  <c r="S32" i="34"/>
  <c r="U30" i="34"/>
  <c r="AB30" i="34"/>
  <c r="S37" i="34"/>
  <c r="U38" i="34"/>
  <c r="W40" i="34"/>
  <c r="AA19" i="34"/>
  <c r="S19" i="34"/>
  <c r="AA36" i="34"/>
  <c r="S36" i="34"/>
  <c r="AA8" i="34"/>
  <c r="S8" i="34"/>
  <c r="AB9" i="34"/>
  <c r="U9" i="34"/>
  <c r="S46" i="34"/>
  <c r="AA46" i="34"/>
  <c r="AB32" i="34"/>
  <c r="U14" i="34"/>
  <c r="AB14" i="34"/>
  <c r="AC43" i="34"/>
  <c r="W23" i="34"/>
  <c r="AC23" i="34"/>
  <c r="AC35" i="34"/>
  <c r="W35" i="34"/>
  <c r="AB28" i="33"/>
  <c r="W46" i="33"/>
  <c r="U39" i="33"/>
  <c r="U38" i="33"/>
  <c r="S33" i="33"/>
  <c r="U44" i="33"/>
  <c r="AB44" i="33"/>
  <c r="S30" i="33"/>
  <c r="AA30" i="33"/>
  <c r="AC14" i="33"/>
  <c r="W14" i="33"/>
  <c r="AC30" i="33"/>
  <c r="W30" i="33"/>
  <c r="W13" i="33"/>
  <c r="AC13" i="33"/>
  <c r="U15" i="33"/>
  <c r="S11" i="33"/>
  <c r="U37" i="33"/>
  <c r="S28" i="33"/>
  <c r="W8" i="33"/>
  <c r="S44" i="21"/>
  <c r="AB42" i="21"/>
  <c r="U28" i="21"/>
  <c r="S45" i="21"/>
  <c r="I101" i="21"/>
  <c r="J101" i="21" s="1"/>
  <c r="K101" i="21" s="1"/>
  <c r="L101" i="21" s="1"/>
  <c r="M101" i="21" s="1"/>
  <c r="F33" i="21"/>
  <c r="S33" i="21" s="1"/>
  <c r="J33" i="21"/>
  <c r="AC33" i="21" s="1"/>
  <c r="H33" i="21"/>
  <c r="AB33" i="21" s="1"/>
  <c r="F37" i="21"/>
  <c r="AA37" i="21" s="1"/>
  <c r="AA26" i="21"/>
  <c r="AB46" i="21"/>
  <c r="U40" i="21"/>
  <c r="AB31" i="21"/>
  <c r="U31" i="21"/>
  <c r="U13" i="21"/>
  <c r="AB13" i="21"/>
  <c r="W8" i="21"/>
  <c r="S35" i="21"/>
  <c r="AB37" i="21"/>
  <c r="J37" i="21"/>
  <c r="W37" i="21"/>
  <c r="H15" i="21"/>
  <c r="U15" i="21" s="1"/>
  <c r="J17" i="21"/>
  <c r="AC17" i="21" s="1"/>
  <c r="AC19" i="21"/>
  <c r="W39" i="21"/>
  <c r="W30" i="21"/>
  <c r="S46" i="21"/>
  <c r="H45" i="21"/>
  <c r="U45" i="21" s="1"/>
  <c r="F29" i="21"/>
  <c r="S29" i="21" s="1"/>
  <c r="F13" i="21"/>
  <c r="AA13" i="21" s="1"/>
  <c r="AC38" i="21"/>
  <c r="H32" i="21"/>
  <c r="AB32" i="21" s="1"/>
  <c r="H9" i="21"/>
  <c r="AB9" i="21" s="1"/>
  <c r="J9" i="21"/>
  <c r="W9" i="21" s="1"/>
  <c r="J32" i="21"/>
  <c r="W32" i="21" s="1"/>
  <c r="F32" i="21"/>
  <c r="AA32" i="21" s="1"/>
  <c r="U17" i="21"/>
  <c r="W29" i="21"/>
  <c r="S19" i="21"/>
  <c r="S9" i="21"/>
  <c r="AA9" i="21"/>
  <c r="U27" i="21"/>
  <c r="AB25" i="21"/>
  <c r="AB44" i="21"/>
  <c r="AA30" i="21"/>
  <c r="W42" i="21"/>
  <c r="AC45" i="21"/>
  <c r="F10" i="21"/>
  <c r="AA10" i="21" s="1"/>
  <c r="W31" i="21"/>
  <c r="S17" i="21"/>
  <c r="AA15" i="21"/>
  <c r="AC26" i="21"/>
  <c r="S28" i="21"/>
  <c r="AC34" i="21"/>
  <c r="W10" i="21"/>
  <c r="AB36" i="21"/>
  <c r="C19" i="39"/>
  <c r="C15" i="40"/>
  <c r="C17" i="40"/>
  <c r="C23" i="40"/>
  <c r="C21" i="40"/>
  <c r="U30" i="40"/>
  <c r="B54" i="43"/>
  <c r="B65" i="43"/>
  <c r="B49" i="43"/>
  <c r="B52" i="43"/>
  <c r="B56" i="43"/>
  <c r="B60" i="43"/>
  <c r="B63" i="43"/>
  <c r="B67" i="43"/>
  <c r="D23" i="15"/>
  <c r="D22" i="15"/>
  <c r="E4" i="4"/>
  <c r="B5" i="62" s="1"/>
  <c r="B73" i="72" s="1"/>
  <c r="C4" i="4"/>
  <c r="B4" i="62" s="1"/>
  <c r="B71" i="72" s="1"/>
  <c r="F28" i="67"/>
  <c r="F61" i="15"/>
  <c r="M18" i="15"/>
  <c r="AA39" i="40"/>
  <c r="S39" i="40"/>
  <c r="S12" i="33"/>
  <c r="AA12" i="33"/>
  <c r="J32" i="39"/>
  <c r="AC32" i="39" s="1"/>
  <c r="H32" i="39"/>
  <c r="AB32" i="39" s="1"/>
  <c r="AA32" i="39"/>
  <c r="S32" i="39"/>
  <c r="AC21" i="39"/>
  <c r="W21" i="39"/>
  <c r="U9" i="35"/>
  <c r="AB9" i="35"/>
  <c r="U26" i="35"/>
  <c r="J19" i="37"/>
  <c r="W19" i="37" s="1"/>
  <c r="G75" i="37"/>
  <c r="J23" i="37"/>
  <c r="W23" i="37" s="1"/>
  <c r="J10" i="37"/>
  <c r="AC10" i="37" s="1"/>
  <c r="G63" i="37"/>
  <c r="H63" i="37" s="1"/>
  <c r="I63" i="37" s="1"/>
  <c r="J63" i="37" s="1"/>
  <c r="K63" i="37" s="1"/>
  <c r="L63" i="37" s="1"/>
  <c r="M63" i="37" s="1"/>
  <c r="H11" i="37"/>
  <c r="AB11" i="37" s="1"/>
  <c r="U10" i="37"/>
  <c r="H11" i="34"/>
  <c r="AB11" i="34" s="1"/>
  <c r="U10" i="34"/>
  <c r="J10" i="34"/>
  <c r="W10" i="34" s="1"/>
  <c r="AB41" i="33"/>
  <c r="W35" i="33"/>
  <c r="J36" i="33"/>
  <c r="AC36" i="33" s="1"/>
  <c r="H36" i="33"/>
  <c r="AB36" i="33" s="1"/>
  <c r="AA36" i="33"/>
  <c r="J27" i="33"/>
  <c r="AC27" i="33" s="1"/>
  <c r="AB25" i="33"/>
  <c r="S25" i="33"/>
  <c r="H87" i="33"/>
  <c r="I87" i="33" s="1"/>
  <c r="J87" i="33" s="1"/>
  <c r="K87" i="33" s="1"/>
  <c r="L87" i="33" s="1"/>
  <c r="M87" i="33" s="1"/>
  <c r="J25" i="33"/>
  <c r="AC25" i="33" s="1"/>
  <c r="F23" i="33"/>
  <c r="AA23" i="33" s="1"/>
  <c r="G85" i="33"/>
  <c r="H19" i="33"/>
  <c r="AB19" i="33" s="1"/>
  <c r="H17" i="33"/>
  <c r="AB17" i="33" s="1"/>
  <c r="F17" i="33"/>
  <c r="AA17" i="33" s="1"/>
  <c r="W17" i="33"/>
  <c r="U10" i="33"/>
  <c r="AC10" i="33"/>
  <c r="AC37" i="21"/>
  <c r="J23" i="21"/>
  <c r="AC23" i="21" s="1"/>
  <c r="H23" i="21"/>
  <c r="U23" i="21" s="1"/>
  <c r="D6" i="52"/>
  <c r="K120" i="9"/>
  <c r="J59" i="9"/>
  <c r="J61" i="9" s="1"/>
  <c r="AP7" i="1"/>
  <c r="W33" i="21"/>
  <c r="AC9" i="21"/>
  <c r="A18" i="62"/>
  <c r="B64" i="72" s="1"/>
  <c r="J11" i="37"/>
  <c r="J11" i="34"/>
  <c r="W11" i="34" s="1"/>
  <c r="W27" i="33"/>
  <c r="F34" i="11"/>
  <c r="F11" i="12"/>
  <c r="F34" i="68"/>
  <c r="R8" i="1"/>
  <c r="AE8" i="1"/>
  <c r="AG6" i="1"/>
  <c r="H109" i="9"/>
  <c r="M49" i="9" s="1"/>
  <c r="H112" i="9"/>
  <c r="D21" i="53" s="1"/>
  <c r="B39" i="72" s="1"/>
  <c r="H111" i="9"/>
  <c r="D126" i="9" s="1"/>
  <c r="D59" i="9"/>
  <c r="M55" i="9" s="1"/>
  <c r="AD3" i="71"/>
  <c r="J1" i="73"/>
  <c r="H51" i="43"/>
  <c r="H67" i="43"/>
  <c r="H59" i="43"/>
  <c r="H60" i="43"/>
  <c r="H61" i="43"/>
  <c r="M4" i="43"/>
  <c r="M5" i="43"/>
  <c r="N12" i="43"/>
  <c r="N11" i="43"/>
  <c r="M10" i="43"/>
  <c r="M2" i="43"/>
  <c r="M7" i="43"/>
  <c r="H54" i="43"/>
  <c r="N9" i="43"/>
  <c r="M8" i="43"/>
  <c r="N10" i="43"/>
  <c r="H48" i="43"/>
  <c r="M6" i="43"/>
  <c r="N7" i="43"/>
  <c r="F70" i="43" s="1"/>
  <c r="N4" i="43"/>
  <c r="N2" i="43"/>
  <c r="H49" i="43"/>
  <c r="N17" i="43"/>
  <c r="L17" i="43"/>
  <c r="O17" i="43"/>
  <c r="M17" i="43"/>
  <c r="E17" i="43"/>
  <c r="C24" i="12"/>
  <c r="C13" i="71"/>
  <c r="C12" i="71" s="1"/>
  <c r="D14" i="71"/>
  <c r="D15" i="71"/>
  <c r="U15" i="71" s="1"/>
  <c r="S15" i="71"/>
  <c r="T15" i="71"/>
  <c r="AB13" i="71"/>
  <c r="X11" i="71"/>
  <c r="X10" i="71"/>
  <c r="AA11" i="71"/>
  <c r="AA10" i="71"/>
  <c r="X14" i="71"/>
  <c r="Y10" i="71"/>
  <c r="Z10" i="71" s="1"/>
  <c r="AB11" i="71"/>
  <c r="AB10" i="71"/>
  <c r="F12" i="71"/>
  <c r="F11" i="71" s="1"/>
  <c r="F10" i="71" s="1"/>
  <c r="F9" i="71" s="1"/>
  <c r="F8" i="71" s="1"/>
  <c r="Y11" i="71"/>
  <c r="Z11" i="71" s="1"/>
  <c r="X3" i="71"/>
  <c r="F37" i="15"/>
  <c r="M24" i="15"/>
  <c r="F16" i="67"/>
  <c r="B10" i="76"/>
  <c r="B11" i="76"/>
  <c r="M23" i="67"/>
  <c r="M6" i="67"/>
  <c r="M8" i="67"/>
  <c r="AZ338" i="3" l="1"/>
  <c r="BD5" i="3"/>
  <c r="BA547" i="3"/>
  <c r="G529" i="3"/>
  <c r="BA527" i="3"/>
  <c r="G526" i="3"/>
  <c r="BA498" i="3"/>
  <c r="BC5" i="3"/>
  <c r="T63" i="71"/>
  <c r="AA33" i="34"/>
  <c r="U25" i="39"/>
  <c r="W39" i="39"/>
  <c r="AB19" i="40"/>
  <c r="AA12" i="40"/>
  <c r="AC13" i="40"/>
  <c r="AC31" i="33"/>
  <c r="AZ501" i="3"/>
  <c r="AC13" i="35"/>
  <c r="U23" i="40"/>
  <c r="G586" i="3"/>
  <c r="BA585" i="3"/>
  <c r="BL584" i="3"/>
  <c r="BA582" i="3"/>
  <c r="BA579" i="3"/>
  <c r="BL578" i="3"/>
  <c r="AZ578" i="3" s="1"/>
  <c r="BA578" i="3"/>
  <c r="BA575" i="3"/>
  <c r="BL570" i="3"/>
  <c r="BA570" i="3"/>
  <c r="BL568" i="3"/>
  <c r="BA567" i="3"/>
  <c r="BA558" i="3"/>
  <c r="BA554" i="3"/>
  <c r="AZ554" i="3" s="1"/>
  <c r="BA553" i="3"/>
  <c r="BL552" i="3"/>
  <c r="AZ552" i="3" s="1"/>
  <c r="BA544" i="3"/>
  <c r="BA539" i="3"/>
  <c r="AZ539" i="3" s="1"/>
  <c r="BL538" i="3"/>
  <c r="AZ538" i="3" s="1"/>
  <c r="BH5" i="3"/>
  <c r="BT5" i="3"/>
  <c r="BI5" i="3"/>
  <c r="BA534" i="3"/>
  <c r="BA522" i="3"/>
  <c r="BA521" i="3"/>
  <c r="BA513" i="3"/>
  <c r="BL512" i="3"/>
  <c r="BL510" i="3"/>
  <c r="BA510" i="3"/>
  <c r="BA509" i="3"/>
  <c r="AZ509" i="3" s="1"/>
  <c r="BA499" i="3"/>
  <c r="AC5" i="3"/>
  <c r="G323" i="3"/>
  <c r="G222" i="3"/>
  <c r="G277" i="3"/>
  <c r="G124" i="3"/>
  <c r="G136" i="3"/>
  <c r="G148" i="3"/>
  <c r="G168" i="3"/>
  <c r="G179" i="3"/>
  <c r="G184" i="3"/>
  <c r="G194" i="3"/>
  <c r="G59" i="3"/>
  <c r="G63" i="3"/>
  <c r="G67" i="3"/>
  <c r="G110" i="3"/>
  <c r="D78" i="43"/>
  <c r="N100" i="43"/>
  <c r="G13" i="3"/>
  <c r="E5" i="6"/>
  <c r="D9" i="11" s="1"/>
  <c r="C9" i="11" s="1"/>
  <c r="AC37" i="33"/>
  <c r="S15" i="39"/>
  <c r="AZ327" i="3"/>
  <c r="AC17" i="37"/>
  <c r="W25" i="21"/>
  <c r="AA15" i="40"/>
  <c r="B24" i="72"/>
  <c r="AB29" i="33"/>
  <c r="U27" i="34"/>
  <c r="AC36" i="40"/>
  <c r="AZ14" i="3"/>
  <c r="AA45" i="33"/>
  <c r="S45" i="33"/>
  <c r="W14" i="21"/>
  <c r="AC14" i="21"/>
  <c r="W10" i="37"/>
  <c r="U32" i="21"/>
  <c r="AB23" i="33"/>
  <c r="AA29" i="34"/>
  <c r="AB31" i="37"/>
  <c r="S43" i="39"/>
  <c r="U35" i="40"/>
  <c r="AA32" i="37"/>
  <c r="S32" i="37"/>
  <c r="U14" i="40"/>
  <c r="AZ522" i="3"/>
  <c r="U11" i="33"/>
  <c r="W41" i="39"/>
  <c r="AC41" i="39"/>
  <c r="W14" i="40"/>
  <c r="AC14" i="40"/>
  <c r="AB29" i="35"/>
  <c r="U29" i="35"/>
  <c r="S11" i="21"/>
  <c r="AA11" i="21"/>
  <c r="AA33" i="21"/>
  <c r="S37" i="21"/>
  <c r="W44" i="33"/>
  <c r="S29" i="37"/>
  <c r="AA29" i="37"/>
  <c r="AB10" i="36"/>
  <c r="U10" i="36"/>
  <c r="S36" i="39"/>
  <c r="AA36" i="39"/>
  <c r="AZ512" i="3"/>
  <c r="AZ536" i="3"/>
  <c r="AZ566" i="3"/>
  <c r="W13" i="37"/>
  <c r="AC13" i="37"/>
  <c r="AC34" i="36"/>
  <c r="AC33" i="37"/>
  <c r="W33" i="37"/>
  <c r="AB45" i="21"/>
  <c r="U21" i="39"/>
  <c r="F30" i="69"/>
  <c r="C48" i="69" s="1"/>
  <c r="AB34" i="33"/>
  <c r="W43" i="33"/>
  <c r="AA12" i="37"/>
  <c r="S25" i="39"/>
  <c r="S13" i="33"/>
  <c r="AA13" i="33"/>
  <c r="AB36" i="40"/>
  <c r="U36" i="40"/>
  <c r="S23" i="39"/>
  <c r="W37" i="37"/>
  <c r="AB13" i="37"/>
  <c r="U13" i="37"/>
  <c r="U30" i="21"/>
  <c r="AZ553" i="3"/>
  <c r="AZ377" i="3"/>
  <c r="AZ361" i="3"/>
  <c r="AZ514" i="3"/>
  <c r="AC36" i="37"/>
  <c r="W36" i="37"/>
  <c r="AC40" i="37"/>
  <c r="W40" i="37"/>
  <c r="U23" i="34"/>
  <c r="AB23" i="34"/>
  <c r="AA31" i="33"/>
  <c r="S31" i="33"/>
  <c r="AA43" i="33"/>
  <c r="S43" i="33"/>
  <c r="S10" i="35"/>
  <c r="AA10" i="35"/>
  <c r="U40" i="37"/>
  <c r="AB40" i="37"/>
  <c r="S28" i="34"/>
  <c r="AC41" i="34"/>
  <c r="AA39" i="33"/>
  <c r="S39" i="33"/>
  <c r="W32" i="36"/>
  <c r="AC32" i="36"/>
  <c r="W45" i="33"/>
  <c r="AC45" i="33"/>
  <c r="AB21" i="40"/>
  <c r="U21" i="40"/>
  <c r="AA23" i="40"/>
  <c r="S23" i="40"/>
  <c r="S34" i="36"/>
  <c r="AA34" i="36"/>
  <c r="J36" i="35"/>
  <c r="AC36" i="35" s="1"/>
  <c r="G41" i="3"/>
  <c r="S34" i="21"/>
  <c r="BA44" i="3"/>
  <c r="BA56" i="3"/>
  <c r="E23" i="71"/>
  <c r="U23" i="71" s="1"/>
  <c r="AZ391" i="3"/>
  <c r="W44" i="21"/>
  <c r="AA12" i="21"/>
  <c r="BL495" i="3"/>
  <c r="AZ495" i="3" s="1"/>
  <c r="BL517" i="3"/>
  <c r="BL537" i="3"/>
  <c r="BL567" i="3"/>
  <c r="H43" i="39"/>
  <c r="H32" i="36"/>
  <c r="H14" i="21"/>
  <c r="F23" i="35"/>
  <c r="S40" i="21"/>
  <c r="W8" i="36"/>
  <c r="W41" i="33"/>
  <c r="W8" i="35"/>
  <c r="G439" i="3"/>
  <c r="G396" i="3"/>
  <c r="G232" i="3"/>
  <c r="G256" i="3"/>
  <c r="G294" i="3"/>
  <c r="G295" i="3"/>
  <c r="BL297" i="3"/>
  <c r="BL298" i="3"/>
  <c r="G116" i="3"/>
  <c r="G142" i="3"/>
  <c r="G166" i="3"/>
  <c r="G192" i="3"/>
  <c r="P27" i="6"/>
  <c r="G551" i="3"/>
  <c r="G438" i="3"/>
  <c r="BL440" i="3"/>
  <c r="BA456" i="3"/>
  <c r="BL465" i="3"/>
  <c r="G347" i="3"/>
  <c r="G231" i="3"/>
  <c r="G190" i="3"/>
  <c r="G23" i="3"/>
  <c r="G35" i="3"/>
  <c r="G1" i="85"/>
  <c r="E34" i="71"/>
  <c r="E35" i="71" s="1"/>
  <c r="U35" i="71" s="1"/>
  <c r="AI10" i="43"/>
  <c r="AC21" i="40"/>
  <c r="BE5" i="3"/>
  <c r="E14" i="6" s="1"/>
  <c r="E64" i="39" s="1"/>
  <c r="U40" i="39"/>
  <c r="BL545" i="3"/>
  <c r="AZ545" i="3" s="1"/>
  <c r="BL573" i="3"/>
  <c r="AZ573" i="3" s="1"/>
  <c r="W13" i="39"/>
  <c r="F45" i="34"/>
  <c r="H46" i="33"/>
  <c r="U46" i="33" s="1"/>
  <c r="F31" i="21"/>
  <c r="J28" i="33"/>
  <c r="AC11" i="40"/>
  <c r="U8" i="33"/>
  <c r="W8" i="34"/>
  <c r="S8" i="36"/>
  <c r="U40" i="40"/>
  <c r="U9" i="39"/>
  <c r="F26" i="37"/>
  <c r="C5" i="11"/>
  <c r="BL268" i="3"/>
  <c r="G174" i="3"/>
  <c r="W25" i="40"/>
  <c r="F35" i="71"/>
  <c r="V35" i="71" s="1"/>
  <c r="F42" i="71"/>
  <c r="B14" i="71"/>
  <c r="B13" i="71" s="1"/>
  <c r="B12" i="71" s="1"/>
  <c r="B11" i="71" s="1"/>
  <c r="AZ505" i="3"/>
  <c r="AZ556" i="3"/>
  <c r="W40" i="33"/>
  <c r="J26" i="37"/>
  <c r="J38" i="40"/>
  <c r="G69" i="3"/>
  <c r="G106" i="3"/>
  <c r="U10" i="21"/>
  <c r="AZ345" i="3"/>
  <c r="AZ318" i="3"/>
  <c r="BL575" i="3"/>
  <c r="AZ575" i="3" s="1"/>
  <c r="H29" i="21"/>
  <c r="AA29" i="35"/>
  <c r="U40" i="33"/>
  <c r="S10" i="36"/>
  <c r="S34" i="40"/>
  <c r="F35" i="39"/>
  <c r="BL400" i="3"/>
  <c r="BL381" i="3"/>
  <c r="AZ381" i="3" s="1"/>
  <c r="G171" i="3"/>
  <c r="G183" i="3"/>
  <c r="G20" i="3"/>
  <c r="AA9" i="40"/>
  <c r="G299" i="3"/>
  <c r="G158" i="3"/>
  <c r="E38" i="71"/>
  <c r="E39" i="71" s="1"/>
  <c r="U39" i="71" s="1"/>
  <c r="E54" i="71"/>
  <c r="E55" i="71" s="1"/>
  <c r="U55" i="71" s="1"/>
  <c r="C28" i="67"/>
  <c r="AC27" i="34"/>
  <c r="W27" i="34"/>
  <c r="AA38" i="40"/>
  <c r="S38" i="40"/>
  <c r="K144" i="21"/>
  <c r="K141" i="21"/>
  <c r="K143" i="21"/>
  <c r="K145" i="21"/>
  <c r="D13" i="71"/>
  <c r="AC11" i="34"/>
  <c r="U32" i="39"/>
  <c r="AC33" i="34"/>
  <c r="AZ390" i="3"/>
  <c r="AZ379" i="3"/>
  <c r="AZ372" i="3"/>
  <c r="AZ355" i="3"/>
  <c r="AZ351" i="3"/>
  <c r="AZ305" i="3"/>
  <c r="AZ378" i="3"/>
  <c r="AZ376" i="3"/>
  <c r="AZ362" i="3"/>
  <c r="AZ360" i="3"/>
  <c r="AZ325" i="3"/>
  <c r="AZ517" i="3"/>
  <c r="AZ557" i="3"/>
  <c r="AZ577" i="3"/>
  <c r="AZ500" i="3"/>
  <c r="AZ506" i="3"/>
  <c r="U13" i="34"/>
  <c r="H12" i="21"/>
  <c r="AA34" i="35"/>
  <c r="G14" i="3"/>
  <c r="G400" i="3"/>
  <c r="G408" i="3"/>
  <c r="G414" i="3"/>
  <c r="G418" i="3"/>
  <c r="H38" i="40"/>
  <c r="F40" i="40"/>
  <c r="G574" i="3"/>
  <c r="BA207" i="3"/>
  <c r="G422" i="3"/>
  <c r="BA424" i="3"/>
  <c r="G426" i="3"/>
  <c r="G430" i="3"/>
  <c r="G432" i="3"/>
  <c r="G437" i="3"/>
  <c r="G456" i="3"/>
  <c r="G457" i="3"/>
  <c r="G460" i="3"/>
  <c r="G461" i="3"/>
  <c r="G465" i="3"/>
  <c r="G481" i="3"/>
  <c r="G491" i="3"/>
  <c r="BA303" i="3"/>
  <c r="AZ303" i="3" s="1"/>
  <c r="G307" i="3"/>
  <c r="G313" i="3"/>
  <c r="G327" i="3"/>
  <c r="G329" i="3"/>
  <c r="BA331" i="3"/>
  <c r="AZ331" i="3" s="1"/>
  <c r="BL340" i="3"/>
  <c r="AZ340" i="3" s="1"/>
  <c r="G349" i="3"/>
  <c r="G362" i="3"/>
  <c r="G369" i="3"/>
  <c r="BL212" i="3"/>
  <c r="G213" i="3"/>
  <c r="G239" i="3"/>
  <c r="BL245" i="3"/>
  <c r="G247" i="3"/>
  <c r="G251" i="3"/>
  <c r="G296" i="3"/>
  <c r="G300" i="3"/>
  <c r="G114" i="3"/>
  <c r="G144" i="3"/>
  <c r="G147" i="3"/>
  <c r="G154" i="3"/>
  <c r="G156" i="3"/>
  <c r="G170" i="3"/>
  <c r="G180" i="3"/>
  <c r="G191" i="3"/>
  <c r="G198" i="3"/>
  <c r="G200" i="3"/>
  <c r="G205" i="3"/>
  <c r="G24" i="3"/>
  <c r="G32" i="3"/>
  <c r="BL33" i="3"/>
  <c r="G36" i="3"/>
  <c r="G42" i="3"/>
  <c r="BL45" i="3"/>
  <c r="G46" i="3"/>
  <c r="BL46" i="3"/>
  <c r="G54" i="3"/>
  <c r="G56" i="3"/>
  <c r="G57" i="3"/>
  <c r="G81" i="3"/>
  <c r="G85" i="3"/>
  <c r="G89" i="3"/>
  <c r="G92" i="3"/>
  <c r="BL92" i="3"/>
  <c r="G103" i="3"/>
  <c r="G105" i="3"/>
  <c r="BA105" i="3"/>
  <c r="D77" i="43"/>
  <c r="U21" i="37"/>
  <c r="C29" i="39"/>
  <c r="C74" i="71"/>
  <c r="D74" i="71" s="1"/>
  <c r="E70" i="71"/>
  <c r="E69" i="71" s="1"/>
  <c r="E62" i="71"/>
  <c r="E61" i="71" s="1"/>
  <c r="E58" i="71"/>
  <c r="P58" i="71" s="1"/>
  <c r="AB28" i="71"/>
  <c r="B38" i="71"/>
  <c r="B42" i="71"/>
  <c r="B43" i="71" s="1"/>
  <c r="S43" i="71" s="1"/>
  <c r="E42" i="71"/>
  <c r="E43" i="71" s="1"/>
  <c r="U43" i="71" s="1"/>
  <c r="E50" i="71"/>
  <c r="E51" i="71" s="1"/>
  <c r="U51" i="71" s="1"/>
  <c r="V63" i="71"/>
  <c r="V71" i="71"/>
  <c r="U19" i="33"/>
  <c r="AC10" i="34"/>
  <c r="W32" i="39"/>
  <c r="S10" i="21"/>
  <c r="AA29" i="21"/>
  <c r="F30" i="68"/>
  <c r="C30" i="68" s="1"/>
  <c r="M18" i="85"/>
  <c r="C48" i="84"/>
  <c r="F30" i="84"/>
  <c r="C30" i="84" s="1"/>
  <c r="AA27" i="36"/>
  <c r="G29" i="6"/>
  <c r="AZ347" i="3"/>
  <c r="AZ344" i="3"/>
  <c r="AZ334" i="3"/>
  <c r="AZ373" i="3"/>
  <c r="AZ336" i="3"/>
  <c r="U43" i="33"/>
  <c r="AZ533" i="3"/>
  <c r="AZ558" i="3"/>
  <c r="AZ499" i="3"/>
  <c r="AZ527" i="3"/>
  <c r="AZ510" i="3"/>
  <c r="AZ516" i="3"/>
  <c r="AB45" i="33"/>
  <c r="AB17" i="34"/>
  <c r="U11" i="34"/>
  <c r="S13" i="21"/>
  <c r="AZ511" i="3"/>
  <c r="AZ537" i="3"/>
  <c r="AZ555" i="3"/>
  <c r="AZ496" i="3"/>
  <c r="AZ568" i="3"/>
  <c r="AZ524" i="3"/>
  <c r="AB13" i="33"/>
  <c r="U13" i="33"/>
  <c r="AB14" i="37"/>
  <c r="U14" i="37"/>
  <c r="AA11" i="34"/>
  <c r="AB12" i="39"/>
  <c r="AZ369" i="3"/>
  <c r="AZ304" i="3"/>
  <c r="AZ322" i="3"/>
  <c r="AZ311" i="3"/>
  <c r="AZ569" i="3"/>
  <c r="AB33" i="35"/>
  <c r="U33" i="35"/>
  <c r="G566" i="3"/>
  <c r="G552" i="3"/>
  <c r="F34" i="78"/>
  <c r="F34" i="84"/>
  <c r="BL401" i="3"/>
  <c r="G402" i="3"/>
  <c r="BL410" i="3"/>
  <c r="G415" i="3"/>
  <c r="G427" i="3"/>
  <c r="BL441" i="3"/>
  <c r="BL442" i="3"/>
  <c r="G455" i="3"/>
  <c r="G463" i="3"/>
  <c r="BA465" i="3"/>
  <c r="AZ465" i="3" s="1"/>
  <c r="BL466" i="3"/>
  <c r="G467" i="3"/>
  <c r="BA468" i="3"/>
  <c r="BL469" i="3"/>
  <c r="G483" i="3"/>
  <c r="BA484" i="3"/>
  <c r="BA485" i="3"/>
  <c r="BL487" i="3"/>
  <c r="G488" i="3"/>
  <c r="G334" i="3"/>
  <c r="BL353" i="3"/>
  <c r="BL365" i="3"/>
  <c r="AZ365" i="3" s="1"/>
  <c r="BL367" i="3"/>
  <c r="G387" i="3"/>
  <c r="G240" i="3"/>
  <c r="BL248" i="3"/>
  <c r="BA260" i="3"/>
  <c r="G265" i="3"/>
  <c r="G270" i="3"/>
  <c r="G274" i="3"/>
  <c r="G278" i="3"/>
  <c r="J9" i="36"/>
  <c r="AZ410" i="3"/>
  <c r="BL265" i="3"/>
  <c r="AZ534" i="3"/>
  <c r="AZ582" i="3"/>
  <c r="AZ562" i="3"/>
  <c r="AZ560" i="3"/>
  <c r="G562" i="3"/>
  <c r="G542" i="3"/>
  <c r="E19" i="78"/>
  <c r="E19" i="84"/>
  <c r="G41" i="84"/>
  <c r="G22" i="84"/>
  <c r="BL420" i="3"/>
  <c r="BL423" i="3"/>
  <c r="BL430" i="3"/>
  <c r="BA449" i="3"/>
  <c r="BL464" i="3"/>
  <c r="G466" i="3"/>
  <c r="G487" i="3"/>
  <c r="BA492" i="3"/>
  <c r="G345" i="3"/>
  <c r="BA350" i="3"/>
  <c r="BA354" i="3"/>
  <c r="G217" i="3"/>
  <c r="BA227" i="3"/>
  <c r="BL246" i="3"/>
  <c r="BL398" i="3"/>
  <c r="G399" i="3"/>
  <c r="G407" i="3"/>
  <c r="G411" i="3"/>
  <c r="BL411" i="3"/>
  <c r="BL419" i="3"/>
  <c r="G420" i="3"/>
  <c r="G425" i="3"/>
  <c r="G434" i="3"/>
  <c r="BA440" i="3"/>
  <c r="G443" i="3"/>
  <c r="G444" i="3"/>
  <c r="BA444" i="3"/>
  <c r="G447" i="3"/>
  <c r="G448" i="3"/>
  <c r="BA448" i="3"/>
  <c r="BA452" i="3"/>
  <c r="G453" i="3"/>
  <c r="BL463" i="3"/>
  <c r="G464" i="3"/>
  <c r="G468" i="3"/>
  <c r="BA470" i="3"/>
  <c r="G476" i="3"/>
  <c r="G480" i="3"/>
  <c r="G484" i="3"/>
  <c r="BA487" i="3"/>
  <c r="G489" i="3"/>
  <c r="BL312" i="3"/>
  <c r="AZ312" i="3" s="1"/>
  <c r="G331" i="3"/>
  <c r="G339" i="3"/>
  <c r="G343" i="3"/>
  <c r="BL350" i="3"/>
  <c r="G351" i="3"/>
  <c r="BL375" i="3"/>
  <c r="AZ375" i="3" s="1"/>
  <c r="BL383" i="3"/>
  <c r="AZ383" i="3" s="1"/>
  <c r="BL386" i="3"/>
  <c r="G392" i="3"/>
  <c r="G397" i="3"/>
  <c r="BA209" i="3"/>
  <c r="G229" i="3"/>
  <c r="G238" i="3"/>
  <c r="G254" i="3"/>
  <c r="BL253" i="3"/>
  <c r="G258" i="3"/>
  <c r="G271" i="3"/>
  <c r="G275" i="3"/>
  <c r="BL118" i="3"/>
  <c r="G122" i="3"/>
  <c r="G131" i="3"/>
  <c r="BA132" i="3"/>
  <c r="AZ132" i="3" s="1"/>
  <c r="BL135" i="3"/>
  <c r="AZ135" i="3" s="1"/>
  <c r="G139" i="3"/>
  <c r="BA141" i="3"/>
  <c r="G143" i="3"/>
  <c r="BA149" i="3"/>
  <c r="G152" i="3"/>
  <c r="BL158" i="3"/>
  <c r="BA166" i="3"/>
  <c r="BA184" i="3"/>
  <c r="AZ184" i="3" s="1"/>
  <c r="BA192" i="3"/>
  <c r="AZ192" i="3" s="1"/>
  <c r="G195" i="3"/>
  <c r="BA197" i="3"/>
  <c r="BL202" i="3"/>
  <c r="BA22" i="3"/>
  <c r="BL25" i="3"/>
  <c r="BL26" i="3"/>
  <c r="BA27" i="3"/>
  <c r="BL29" i="3"/>
  <c r="G30" i="3"/>
  <c r="BA32" i="3"/>
  <c r="AZ32" i="3" s="1"/>
  <c r="G37" i="3"/>
  <c r="BL37" i="3"/>
  <c r="BA38" i="3"/>
  <c r="G43" i="3"/>
  <c r="BL43" i="3"/>
  <c r="BL64" i="3"/>
  <c r="BL69" i="3"/>
  <c r="G74" i="3"/>
  <c r="BA78" i="3"/>
  <c r="G82" i="3"/>
  <c r="G86" i="3"/>
  <c r="G90" i="3"/>
  <c r="G94" i="3"/>
  <c r="G98" i="3"/>
  <c r="BL99" i="3"/>
  <c r="D72" i="43"/>
  <c r="D100" i="43"/>
  <c r="G108" i="43"/>
  <c r="S21" i="21"/>
  <c r="C77" i="71"/>
  <c r="D77" i="71" s="1"/>
  <c r="O59" i="71"/>
  <c r="X23" i="71"/>
  <c r="AB25" i="71"/>
  <c r="AB29" i="71"/>
  <c r="G126" i="3"/>
  <c r="G134" i="3"/>
  <c r="BA136" i="3"/>
  <c r="AZ136" i="3" s="1"/>
  <c r="BA150" i="3"/>
  <c r="BA153" i="3"/>
  <c r="BA158" i="3"/>
  <c r="G164" i="3"/>
  <c r="BL193" i="3"/>
  <c r="G199" i="3"/>
  <c r="BA201" i="3"/>
  <c r="G19" i="3"/>
  <c r="BL24" i="3"/>
  <c r="G25" i="3"/>
  <c r="G29" i="3"/>
  <c r="BL32" i="3"/>
  <c r="G33" i="3"/>
  <c r="G40" i="3"/>
  <c r="G47" i="3"/>
  <c r="G51" i="3"/>
  <c r="G60" i="3"/>
  <c r="G73" i="3"/>
  <c r="E59" i="43"/>
  <c r="B57" i="43" s="1"/>
  <c r="I10" i="66"/>
  <c r="I21" i="66" s="1"/>
  <c r="C22" i="71"/>
  <c r="C23" i="71" s="1"/>
  <c r="Y22" i="71"/>
  <c r="Z22" i="71" s="1"/>
  <c r="AB30" i="71"/>
  <c r="AC10" i="43"/>
  <c r="BL129" i="3"/>
  <c r="BA40" i="3"/>
  <c r="AB16" i="71"/>
  <c r="BA217" i="3"/>
  <c r="G221" i="3"/>
  <c r="G227" i="3"/>
  <c r="BL228" i="3"/>
  <c r="G235" i="3"/>
  <c r="G241" i="3"/>
  <c r="G246" i="3"/>
  <c r="G259" i="3"/>
  <c r="G267" i="3"/>
  <c r="BL269" i="3"/>
  <c r="G276" i="3"/>
  <c r="G280" i="3"/>
  <c r="G281" i="3"/>
  <c r="BA294" i="3"/>
  <c r="G298" i="3"/>
  <c r="G132" i="3"/>
  <c r="G140" i="3"/>
  <c r="G146" i="3"/>
  <c r="BL159" i="3"/>
  <c r="AZ159" i="3" s="1"/>
  <c r="G162" i="3"/>
  <c r="G163" i="3"/>
  <c r="G176" i="3"/>
  <c r="BL185" i="3"/>
  <c r="BA193" i="3"/>
  <c r="G196" i="3"/>
  <c r="G202" i="3"/>
  <c r="BL205" i="3"/>
  <c r="G18" i="3"/>
  <c r="G22" i="3"/>
  <c r="G27" i="3"/>
  <c r="BL27" i="3"/>
  <c r="BL30" i="3"/>
  <c r="G31" i="3"/>
  <c r="BL31" i="3"/>
  <c r="G38" i="3"/>
  <c r="BL38" i="3"/>
  <c r="G39" i="3"/>
  <c r="G45" i="3"/>
  <c r="G49" i="3"/>
  <c r="BL51" i="3"/>
  <c r="G53" i="3"/>
  <c r="BL57" i="3"/>
  <c r="G66" i="3"/>
  <c r="BL70" i="3"/>
  <c r="G71" i="3"/>
  <c r="BA72" i="3"/>
  <c r="G75" i="3"/>
  <c r="G76" i="3"/>
  <c r="G79" i="3"/>
  <c r="BA79" i="3"/>
  <c r="BA82" i="3"/>
  <c r="G83" i="3"/>
  <c r="BA92" i="3"/>
  <c r="AZ92" i="3" s="1"/>
  <c r="G95" i="3"/>
  <c r="G96" i="3"/>
  <c r="G99" i="3"/>
  <c r="G104" i="3"/>
  <c r="BA104" i="3"/>
  <c r="G107" i="3"/>
  <c r="G112" i="3"/>
  <c r="I100" i="43"/>
  <c r="W21" i="37"/>
  <c r="AB22" i="71"/>
  <c r="AB23" i="71"/>
  <c r="AA23" i="71"/>
  <c r="X27" i="71"/>
  <c r="F29" i="71"/>
  <c r="F30" i="71" s="1"/>
  <c r="F31" i="71" s="1"/>
  <c r="V31" i="71" s="1"/>
  <c r="AA16" i="71"/>
  <c r="G6" i="1"/>
  <c r="B7" i="1"/>
  <c r="E7" i="1" s="1"/>
  <c r="G1" i="84"/>
  <c r="G27" i="6"/>
  <c r="G101" i="43"/>
  <c r="G102" i="43" s="1"/>
  <c r="Y11" i="43"/>
  <c r="Y13" i="43" s="1"/>
  <c r="L101" i="43"/>
  <c r="AA11" i="43"/>
  <c r="AA13" i="43" s="1"/>
  <c r="AE11" i="43"/>
  <c r="AE13" i="43" s="1"/>
  <c r="Z11" i="43"/>
  <c r="Z13" i="43" s="1"/>
  <c r="E101" i="43"/>
  <c r="E105" i="43" s="1"/>
  <c r="AB11" i="43"/>
  <c r="AB13" i="43" s="1"/>
  <c r="M101" i="43"/>
  <c r="M102" i="43" s="1"/>
  <c r="AH11" i="43"/>
  <c r="AH13" i="43" s="1"/>
  <c r="H101" i="43"/>
  <c r="H109" i="43" s="1"/>
  <c r="J22" i="43"/>
  <c r="L68" i="9"/>
  <c r="M68" i="9" s="1"/>
  <c r="L65" i="9"/>
  <c r="M65" i="9" s="1"/>
  <c r="L66" i="9"/>
  <c r="M66" i="9" s="1"/>
  <c r="D12" i="71"/>
  <c r="C11" i="71"/>
  <c r="AC26" i="35"/>
  <c r="AB20" i="36"/>
  <c r="D68" i="39"/>
  <c r="F7" i="33"/>
  <c r="AA7" i="33" s="1"/>
  <c r="R48" i="33" s="1"/>
  <c r="W25" i="33"/>
  <c r="AB15" i="21"/>
  <c r="AA9" i="35"/>
  <c r="F31" i="12"/>
  <c r="W17" i="21"/>
  <c r="AB41" i="34"/>
  <c r="AC15" i="39"/>
  <c r="AC34" i="33"/>
  <c r="AZ387" i="3"/>
  <c r="AZ356" i="3"/>
  <c r="AZ498" i="3"/>
  <c r="U31" i="34"/>
  <c r="S23" i="33"/>
  <c r="AZ371" i="3"/>
  <c r="AZ320" i="3"/>
  <c r="S20" i="36"/>
  <c r="AZ313" i="3"/>
  <c r="J7" i="33"/>
  <c r="W7" i="33" s="1"/>
  <c r="U11" i="37"/>
  <c r="S32" i="21"/>
  <c r="AA19" i="33"/>
  <c r="C7" i="43"/>
  <c r="D16" i="53"/>
  <c r="W36" i="33"/>
  <c r="U33" i="21"/>
  <c r="W23" i="33"/>
  <c r="AA23" i="37"/>
  <c r="F54" i="9"/>
  <c r="F30" i="11"/>
  <c r="C48" i="11" s="1"/>
  <c r="W23" i="21"/>
  <c r="AC23" i="37"/>
  <c r="U9" i="21"/>
  <c r="AB27" i="33"/>
  <c r="AA19" i="37"/>
  <c r="S26" i="35"/>
  <c r="D68" i="9"/>
  <c r="S39" i="34"/>
  <c r="AA30" i="40"/>
  <c r="AZ382" i="3"/>
  <c r="AZ342" i="3"/>
  <c r="U31" i="33"/>
  <c r="AA11" i="36"/>
  <c r="S11" i="36"/>
  <c r="AA11" i="37"/>
  <c r="AB23" i="21"/>
  <c r="W32" i="33"/>
  <c r="AC32" i="21"/>
  <c r="S35" i="33"/>
  <c r="AC30" i="40"/>
  <c r="U12" i="40"/>
  <c r="AZ364" i="3"/>
  <c r="AA41" i="34"/>
  <c r="S14" i="33"/>
  <c r="S25" i="34"/>
  <c r="AA25" i="34"/>
  <c r="S21" i="39"/>
  <c r="U17" i="33"/>
  <c r="AZ337" i="3"/>
  <c r="AZ515" i="3"/>
  <c r="AB46" i="34"/>
  <c r="S31" i="34"/>
  <c r="AA31" i="34"/>
  <c r="W13" i="36"/>
  <c r="AC25" i="34"/>
  <c r="W25" i="34"/>
  <c r="W28" i="34"/>
  <c r="AC28" i="34"/>
  <c r="AB27" i="40"/>
  <c r="U27" i="40"/>
  <c r="U31" i="40"/>
  <c r="AZ572" i="3"/>
  <c r="C48" i="68"/>
  <c r="M18" i="67"/>
  <c r="AZ507" i="3"/>
  <c r="AZ535" i="3"/>
  <c r="AZ518" i="3"/>
  <c r="U14" i="36"/>
  <c r="U26" i="33"/>
  <c r="AB26" i="33"/>
  <c r="H7" i="33"/>
  <c r="U7" i="33" s="1"/>
  <c r="C23" i="12"/>
  <c r="AZ389" i="3"/>
  <c r="AZ571" i="3"/>
  <c r="AZ540" i="3"/>
  <c r="AZ580" i="3"/>
  <c r="AZ574" i="3"/>
  <c r="AB8" i="39"/>
  <c r="H12" i="34"/>
  <c r="W36" i="35"/>
  <c r="S15" i="37"/>
  <c r="AZ394" i="3"/>
  <c r="S22" i="31"/>
  <c r="R22" i="31" s="1"/>
  <c r="U32" i="33"/>
  <c r="AZ513" i="3"/>
  <c r="AZ565" i="3"/>
  <c r="AZ504" i="3"/>
  <c r="S15" i="34"/>
  <c r="G587" i="3"/>
  <c r="J12" i="34"/>
  <c r="AB30" i="37"/>
  <c r="U30" i="37"/>
  <c r="J25" i="37"/>
  <c r="W25" i="37" s="1"/>
  <c r="F25" i="37"/>
  <c r="AC31" i="40"/>
  <c r="W31" i="40"/>
  <c r="AZ398" i="3"/>
  <c r="AB35" i="37"/>
  <c r="S37" i="39"/>
  <c r="S17" i="40"/>
  <c r="W28" i="37"/>
  <c r="AZ326" i="3"/>
  <c r="AZ321" i="3"/>
  <c r="W27" i="39"/>
  <c r="S14" i="40"/>
  <c r="W47" i="34"/>
  <c r="AZ520" i="3"/>
  <c r="AZ529" i="3"/>
  <c r="AZ567" i="3"/>
  <c r="AZ579" i="3"/>
  <c r="AZ547" i="3"/>
  <c r="AZ526" i="3"/>
  <c r="AZ544" i="3"/>
  <c r="AZ564" i="3"/>
  <c r="AZ532" i="3"/>
  <c r="AZ542" i="3"/>
  <c r="U36" i="39"/>
  <c r="AC28" i="21"/>
  <c r="H11" i="35"/>
  <c r="J13" i="21"/>
  <c r="AC32" i="40"/>
  <c r="W32" i="40"/>
  <c r="AB33" i="33"/>
  <c r="U33" i="33"/>
  <c r="F26" i="33"/>
  <c r="BL585" i="3"/>
  <c r="B70" i="43"/>
  <c r="AB39" i="40"/>
  <c r="U39" i="40"/>
  <c r="BA586" i="3"/>
  <c r="W39" i="33"/>
  <c r="AC39" i="33"/>
  <c r="S27" i="35"/>
  <c r="AA27" i="35"/>
  <c r="H9" i="36"/>
  <c r="F9" i="33"/>
  <c r="AA9" i="33" s="1"/>
  <c r="H9" i="33"/>
  <c r="F44" i="39"/>
  <c r="H44" i="39"/>
  <c r="W27" i="35"/>
  <c r="H45" i="39"/>
  <c r="F45" i="39"/>
  <c r="AA12" i="36"/>
  <c r="J27" i="21"/>
  <c r="F27" i="21"/>
  <c r="F23" i="36"/>
  <c r="H23" i="36"/>
  <c r="J23" i="36"/>
  <c r="J39" i="37"/>
  <c r="H39" i="37"/>
  <c r="W40" i="40"/>
  <c r="AC40" i="40"/>
  <c r="W30" i="36"/>
  <c r="C21" i="39"/>
  <c r="U31" i="36"/>
  <c r="G421" i="3"/>
  <c r="BL427" i="3"/>
  <c r="BL435" i="3"/>
  <c r="BA437" i="3"/>
  <c r="BL451" i="3"/>
  <c r="BA453" i="3"/>
  <c r="BL461" i="3"/>
  <c r="BL316" i="3"/>
  <c r="BA317" i="3"/>
  <c r="BL332" i="3"/>
  <c r="G366" i="3"/>
  <c r="BL397" i="3"/>
  <c r="BL208" i="3"/>
  <c r="BA213" i="3"/>
  <c r="G273" i="3"/>
  <c r="BL301" i="3"/>
  <c r="D62" i="71"/>
  <c r="C61" i="71"/>
  <c r="D61" i="71" s="1"/>
  <c r="BL15" i="3"/>
  <c r="AZ15" i="3" s="1"/>
  <c r="BL402" i="3"/>
  <c r="BL424" i="3"/>
  <c r="G440" i="3"/>
  <c r="G441" i="3"/>
  <c r="BL445" i="3"/>
  <c r="BL446" i="3"/>
  <c r="BA447" i="3"/>
  <c r="AZ447" i="3" s="1"/>
  <c r="BA450" i="3"/>
  <c r="G462" i="3"/>
  <c r="BL470" i="3"/>
  <c r="BL472" i="3"/>
  <c r="BA473" i="3"/>
  <c r="BA476" i="3"/>
  <c r="G482" i="3"/>
  <c r="BL486" i="3"/>
  <c r="BL488" i="3"/>
  <c r="BA491" i="3"/>
  <c r="G311" i="3"/>
  <c r="BL330" i="3"/>
  <c r="AZ330" i="3" s="1"/>
  <c r="BA370" i="3"/>
  <c r="AZ370" i="3" s="1"/>
  <c r="G378" i="3"/>
  <c r="BA384" i="3"/>
  <c r="AZ384" i="3" s="1"/>
  <c r="BL218" i="3"/>
  <c r="BA222" i="3"/>
  <c r="BA225" i="3"/>
  <c r="BA277" i="3"/>
  <c r="BA125" i="3"/>
  <c r="BL399" i="3"/>
  <c r="BA426" i="3"/>
  <c r="BL428" i="3"/>
  <c r="BA432" i="3"/>
  <c r="BA435" i="3"/>
  <c r="AZ435" i="3" s="1"/>
  <c r="BL444" i="3"/>
  <c r="BL447" i="3"/>
  <c r="BA451" i="3"/>
  <c r="BA472" i="3"/>
  <c r="BL484" i="3"/>
  <c r="BL489" i="3"/>
  <c r="BA490" i="3"/>
  <c r="BL490" i="3"/>
  <c r="BL314" i="3"/>
  <c r="AZ314" i="3" s="1"/>
  <c r="BL328" i="3"/>
  <c r="AZ328" i="3" s="1"/>
  <c r="BL393" i="3"/>
  <c r="AZ393" i="3" s="1"/>
  <c r="BL217" i="3"/>
  <c r="AZ217" i="3" s="1"/>
  <c r="BA237" i="3"/>
  <c r="BA238" i="3"/>
  <c r="BA263" i="3"/>
  <c r="BA292" i="3"/>
  <c r="BA301" i="3"/>
  <c r="BA124" i="3"/>
  <c r="AZ124" i="3" s="1"/>
  <c r="AZ193" i="3"/>
  <c r="BL403" i="3"/>
  <c r="G416" i="3"/>
  <c r="BA423" i="3"/>
  <c r="BA425" i="3"/>
  <c r="BL426" i="3"/>
  <c r="BA428" i="3"/>
  <c r="BA430" i="3"/>
  <c r="AZ430" i="3" s="1"/>
  <c r="BA446" i="3"/>
  <c r="AZ446" i="3" s="1"/>
  <c r="G458" i="3"/>
  <c r="BL468" i="3"/>
  <c r="AZ468" i="3" s="1"/>
  <c r="BA471" i="3"/>
  <c r="BA474" i="3"/>
  <c r="BL485" i="3"/>
  <c r="BA486" i="3"/>
  <c r="BA488" i="3"/>
  <c r="BA489" i="3"/>
  <c r="BA315" i="3"/>
  <c r="AZ315" i="3" s="1"/>
  <c r="BL260" i="3"/>
  <c r="AZ260" i="3" s="1"/>
  <c r="BL273" i="3"/>
  <c r="G282" i="3"/>
  <c r="BA148" i="3"/>
  <c r="AZ148" i="3" s="1"/>
  <c r="V15" i="71"/>
  <c r="E14" i="71"/>
  <c r="E13" i="71" s="1"/>
  <c r="E12" i="71" s="1"/>
  <c r="E11" i="71" s="1"/>
  <c r="W22" i="35"/>
  <c r="W28" i="36"/>
  <c r="J12" i="21"/>
  <c r="BL586" i="3"/>
  <c r="G582" i="3"/>
  <c r="BA550" i="3"/>
  <c r="BA403" i="3"/>
  <c r="BL405" i="3"/>
  <c r="BL439" i="3"/>
  <c r="BL443" i="3"/>
  <c r="BA467" i="3"/>
  <c r="G477" i="3"/>
  <c r="BL480" i="3"/>
  <c r="BL481" i="3"/>
  <c r="BL482" i="3"/>
  <c r="BL230" i="3"/>
  <c r="BL231" i="3"/>
  <c r="G128" i="3"/>
  <c r="BA133" i="3"/>
  <c r="BA405" i="3"/>
  <c r="AZ405" i="3" s="1"/>
  <c r="G406" i="3"/>
  <c r="G429" i="3"/>
  <c r="G431" i="3"/>
  <c r="BA442" i="3"/>
  <c r="AZ442" i="3" s="1"/>
  <c r="BA445" i="3"/>
  <c r="AZ445" i="3" s="1"/>
  <c r="G451" i="3"/>
  <c r="G452" i="3"/>
  <c r="BL458" i="3"/>
  <c r="BL459" i="3"/>
  <c r="BL460" i="3"/>
  <c r="BL462" i="3"/>
  <c r="BA463" i="3"/>
  <c r="AZ463" i="3" s="1"/>
  <c r="BA464" i="3"/>
  <c r="AZ464" i="3" s="1"/>
  <c r="BA469" i="3"/>
  <c r="G475" i="3"/>
  <c r="BL348" i="3"/>
  <c r="G209" i="3"/>
  <c r="BL213" i="3"/>
  <c r="BA216" i="3"/>
  <c r="BA235" i="3"/>
  <c r="BA245" i="3"/>
  <c r="AZ245" i="3" s="1"/>
  <c r="BL257" i="3"/>
  <c r="BA284" i="3"/>
  <c r="S38" i="39"/>
  <c r="H34" i="35"/>
  <c r="AB34" i="35" s="1"/>
  <c r="G558" i="3"/>
  <c r="BL550" i="3"/>
  <c r="BL16" i="3"/>
  <c r="AZ16" i="3" s="1"/>
  <c r="BL414" i="3"/>
  <c r="BL415" i="3"/>
  <c r="G428" i="3"/>
  <c r="BA439" i="3"/>
  <c r="BA443" i="3"/>
  <c r="AZ443" i="3" s="1"/>
  <c r="BL456" i="3"/>
  <c r="AZ456" i="3" s="1"/>
  <c r="BA480" i="3"/>
  <c r="BA481" i="3"/>
  <c r="BL483" i="3"/>
  <c r="AZ27" i="3"/>
  <c r="J34" i="35"/>
  <c r="BL432" i="3"/>
  <c r="BA436" i="3"/>
  <c r="BA458" i="3"/>
  <c r="BA459" i="3"/>
  <c r="BA460" i="3"/>
  <c r="BA462" i="3"/>
  <c r="BA466" i="3"/>
  <c r="AZ466" i="3" s="1"/>
  <c r="BL476" i="3"/>
  <c r="BL477" i="3"/>
  <c r="BL346" i="3"/>
  <c r="AZ346" i="3" s="1"/>
  <c r="BA221" i="3"/>
  <c r="BL141" i="3"/>
  <c r="AZ141" i="3" s="1"/>
  <c r="BL167" i="3"/>
  <c r="AZ167" i="3" s="1"/>
  <c r="U9" i="40"/>
  <c r="U35" i="33"/>
  <c r="W28" i="35"/>
  <c r="G556" i="3"/>
  <c r="BL548" i="3"/>
  <c r="AZ548" i="3" s="1"/>
  <c r="M20" i="15"/>
  <c r="M20" i="79"/>
  <c r="G403" i="3"/>
  <c r="BA414" i="3"/>
  <c r="BA416" i="3"/>
  <c r="BA420" i="3"/>
  <c r="AZ420" i="3" s="1"/>
  <c r="BA434" i="3"/>
  <c r="BA441" i="3"/>
  <c r="AZ441" i="3" s="1"/>
  <c r="G490" i="3"/>
  <c r="BL308" i="3"/>
  <c r="AZ308" i="3" s="1"/>
  <c r="BA335" i="3"/>
  <c r="AZ335" i="3" s="1"/>
  <c r="BA156" i="3"/>
  <c r="AZ156" i="3" s="1"/>
  <c r="G578" i="3"/>
  <c r="BA417" i="3"/>
  <c r="BL455" i="3"/>
  <c r="BL457" i="3"/>
  <c r="BA477" i="3"/>
  <c r="BL209" i="3"/>
  <c r="AZ209" i="3" s="1"/>
  <c r="BL210" i="3"/>
  <c r="BL211" i="3"/>
  <c r="BA232" i="3"/>
  <c r="BL255" i="3"/>
  <c r="BA267" i="3"/>
  <c r="BA118" i="3"/>
  <c r="AZ118" i="3" s="1"/>
  <c r="BA140" i="3"/>
  <c r="AZ140" i="3" s="1"/>
  <c r="G41" i="78"/>
  <c r="G22" i="78"/>
  <c r="BL431" i="3"/>
  <c r="BL433" i="3"/>
  <c r="AZ440" i="3"/>
  <c r="BL473" i="3"/>
  <c r="BL491" i="3"/>
  <c r="BA319" i="3"/>
  <c r="AZ319" i="3" s="1"/>
  <c r="BA333" i="3"/>
  <c r="BA211" i="3"/>
  <c r="BA279" i="3"/>
  <c r="BL166" i="3"/>
  <c r="BA178" i="3"/>
  <c r="BL191" i="3"/>
  <c r="AZ191" i="3" s="1"/>
  <c r="BA200" i="3"/>
  <c r="AZ200" i="3" s="1"/>
  <c r="BL35" i="3"/>
  <c r="BL40" i="3"/>
  <c r="AZ40" i="3" s="1"/>
  <c r="BA62" i="3"/>
  <c r="BL80" i="3"/>
  <c r="BL81" i="3"/>
  <c r="U29" i="39"/>
  <c r="B86" i="43"/>
  <c r="X22" i="71"/>
  <c r="X20" i="71"/>
  <c r="AB10" i="43"/>
  <c r="X13" i="71"/>
  <c r="Y5" i="71"/>
  <c r="Z5" i="71" s="1"/>
  <c r="BA349" i="3"/>
  <c r="AZ349" i="3" s="1"/>
  <c r="BL359" i="3"/>
  <c r="AZ359" i="3" s="1"/>
  <c r="G211" i="3"/>
  <c r="G212" i="3"/>
  <c r="BA220" i="3"/>
  <c r="G233" i="3"/>
  <c r="BL238" i="3"/>
  <c r="BA242" i="3"/>
  <c r="BA246" i="3"/>
  <c r="BL263" i="3"/>
  <c r="BL264" i="3"/>
  <c r="BL271" i="3"/>
  <c r="BA273" i="3"/>
  <c r="G288" i="3"/>
  <c r="BL293" i="3"/>
  <c r="BA296" i="3"/>
  <c r="BA121" i="3"/>
  <c r="G123" i="3"/>
  <c r="BL131" i="3"/>
  <c r="AZ131" i="3" s="1"/>
  <c r="BL133" i="3"/>
  <c r="BL142" i="3"/>
  <c r="G155" i="3"/>
  <c r="G159" i="3"/>
  <c r="BA165" i="3"/>
  <c r="G178" i="3"/>
  <c r="BL195" i="3"/>
  <c r="AZ195" i="3" s="1"/>
  <c r="BA35" i="3"/>
  <c r="G44" i="3"/>
  <c r="G48" i="3"/>
  <c r="G72" i="3"/>
  <c r="BL79" i="3"/>
  <c r="BA81" i="3"/>
  <c r="G93" i="3"/>
  <c r="G111" i="3"/>
  <c r="D71" i="43"/>
  <c r="D71" i="71"/>
  <c r="Y20" i="71"/>
  <c r="Z20" i="71" s="1"/>
  <c r="Y25" i="71"/>
  <c r="Z25" i="71" s="1"/>
  <c r="S71" i="71"/>
  <c r="G384" i="3"/>
  <c r="BA392" i="3"/>
  <c r="AZ392" i="3" s="1"/>
  <c r="BL395" i="3"/>
  <c r="G210" i="3"/>
  <c r="BL216" i="3"/>
  <c r="G230" i="3"/>
  <c r="BA241" i="3"/>
  <c r="BL243" i="3"/>
  <c r="BA282" i="3"/>
  <c r="G287" i="3"/>
  <c r="BA293" i="3"/>
  <c r="BA295" i="3"/>
  <c r="BA300" i="3"/>
  <c r="BL302" i="3"/>
  <c r="BL115" i="3"/>
  <c r="AZ115" i="3" s="1"/>
  <c r="BL134" i="3"/>
  <c r="BL145" i="3"/>
  <c r="BA152" i="3"/>
  <c r="AZ152" i="3" s="1"/>
  <c r="BL186" i="3"/>
  <c r="BA24" i="3"/>
  <c r="G26" i="3"/>
  <c r="BA29" i="3"/>
  <c r="BL53" i="3"/>
  <c r="BL55" i="3"/>
  <c r="BA66" i="3"/>
  <c r="BL66" i="3"/>
  <c r="BL76" i="3"/>
  <c r="BL85" i="3"/>
  <c r="BL86" i="3"/>
  <c r="BA100" i="3"/>
  <c r="U25" i="40"/>
  <c r="BA243" i="3"/>
  <c r="AZ243" i="3" s="1"/>
  <c r="BA250" i="3"/>
  <c r="BL266" i="3"/>
  <c r="BA268" i="3"/>
  <c r="AZ268" i="3" s="1"/>
  <c r="BL270" i="3"/>
  <c r="BL275" i="3"/>
  <c r="BA280" i="3"/>
  <c r="BL127" i="3"/>
  <c r="AZ127" i="3" s="1"/>
  <c r="BA130" i="3"/>
  <c r="BA134" i="3"/>
  <c r="AZ134" i="3" s="1"/>
  <c r="BL137" i="3"/>
  <c r="BL157" i="3"/>
  <c r="BL171" i="3"/>
  <c r="AZ171" i="3" s="1"/>
  <c r="BL182" i="3"/>
  <c r="BA186" i="3"/>
  <c r="BL194" i="3"/>
  <c r="BA19" i="3"/>
  <c r="BL50" i="3"/>
  <c r="BL52" i="3"/>
  <c r="BL58" i="3"/>
  <c r="G68" i="3"/>
  <c r="G70" i="3"/>
  <c r="BA77" i="3"/>
  <c r="G87" i="3"/>
  <c r="G88" i="3"/>
  <c r="BL95" i="3"/>
  <c r="BL96" i="3"/>
  <c r="BA101" i="3"/>
  <c r="BL111" i="3"/>
  <c r="AC21" i="21"/>
  <c r="AB18" i="71"/>
  <c r="X12" i="71"/>
  <c r="Y14" i="71"/>
  <c r="Z14" i="71" s="1"/>
  <c r="Y9" i="71"/>
  <c r="Z9" i="71" s="1"/>
  <c r="BA358" i="3"/>
  <c r="AZ358" i="3" s="1"/>
  <c r="G380" i="3"/>
  <c r="BL385" i="3"/>
  <c r="G395" i="3"/>
  <c r="BA223" i="3"/>
  <c r="G226" i="3"/>
  <c r="G228" i="3"/>
  <c r="BL240" i="3"/>
  <c r="G250" i="3"/>
  <c r="BL254" i="3"/>
  <c r="BA257" i="3"/>
  <c r="AZ257" i="3" s="1"/>
  <c r="G283" i="3"/>
  <c r="BA297" i="3"/>
  <c r="AZ297" i="3" s="1"/>
  <c r="G118" i="3"/>
  <c r="BL125" i="3"/>
  <c r="BA137" i="3"/>
  <c r="BL170" i="3"/>
  <c r="BL178" i="3"/>
  <c r="BA182" i="3"/>
  <c r="BA194" i="3"/>
  <c r="BA204" i="3"/>
  <c r="AZ204" i="3" s="1"/>
  <c r="G21" i="3"/>
  <c r="BL48" i="3"/>
  <c r="BA50" i="3"/>
  <c r="BA52" i="3"/>
  <c r="BA58" i="3"/>
  <c r="BA76" i="3"/>
  <c r="BA80" i="3"/>
  <c r="BL90" i="3"/>
  <c r="BL94" i="3"/>
  <c r="BA112" i="3"/>
  <c r="C70" i="71"/>
  <c r="D70" i="71" s="1"/>
  <c r="AA17" i="71"/>
  <c r="N59" i="71"/>
  <c r="F21" i="71"/>
  <c r="F22" i="71" s="1"/>
  <c r="F23" i="71" s="1"/>
  <c r="V23" i="71" s="1"/>
  <c r="B50" i="71"/>
  <c r="B51" i="71" s="1"/>
  <c r="S51" i="71" s="1"/>
  <c r="Y18" i="71"/>
  <c r="Z18" i="71" s="1"/>
  <c r="AA12" i="71"/>
  <c r="X9" i="71"/>
  <c r="AA9" i="71"/>
  <c r="BL214" i="3"/>
  <c r="G225" i="3"/>
  <c r="BA236" i="3"/>
  <c r="BA240" i="3"/>
  <c r="AZ240" i="3" s="1"/>
  <c r="G245" i="3"/>
  <c r="G248" i="3"/>
  <c r="G249" i="3"/>
  <c r="G272" i="3"/>
  <c r="G279" i="3"/>
  <c r="BL287" i="3"/>
  <c r="BL292" i="3"/>
  <c r="BL299" i="3"/>
  <c r="BA114" i="3"/>
  <c r="BL121" i="3"/>
  <c r="BL126" i="3"/>
  <c r="BA144" i="3"/>
  <c r="AZ144" i="3" s="1"/>
  <c r="G150" i="3"/>
  <c r="BA157" i="3"/>
  <c r="BA162" i="3"/>
  <c r="BA170" i="3"/>
  <c r="G175" i="3"/>
  <c r="BA185" i="3"/>
  <c r="AZ185" i="3" s="1"/>
  <c r="BA189" i="3"/>
  <c r="AZ189" i="3" s="1"/>
  <c r="BL189" i="3"/>
  <c r="BL197" i="3"/>
  <c r="AZ197" i="3" s="1"/>
  <c r="G204" i="3"/>
  <c r="G206" i="3"/>
  <c r="G28" i="3"/>
  <c r="BL44" i="3"/>
  <c r="AZ44" i="3" s="1"/>
  <c r="BL47" i="3"/>
  <c r="BA49" i="3"/>
  <c r="BL54" i="3"/>
  <c r="G64" i="3"/>
  <c r="BL72" i="3"/>
  <c r="G84" i="3"/>
  <c r="BA91" i="3"/>
  <c r="BL93" i="3"/>
  <c r="BA94" i="3"/>
  <c r="AZ94" i="3" s="1"/>
  <c r="D76" i="43"/>
  <c r="L108" i="43"/>
  <c r="E108" i="43"/>
  <c r="C66" i="71"/>
  <c r="D66" i="71" s="1"/>
  <c r="E30" i="71"/>
  <c r="E31" i="71" s="1"/>
  <c r="X24" i="71"/>
  <c r="B39" i="71"/>
  <c r="S39" i="71" s="1"/>
  <c r="C54" i="71"/>
  <c r="B58" i="71"/>
  <c r="AB12" i="71"/>
  <c r="G1" i="78"/>
  <c r="G1" i="79"/>
  <c r="D63" i="71"/>
  <c r="X16" i="71"/>
  <c r="X28" i="71"/>
  <c r="Y21" i="71"/>
  <c r="Z21" i="71" s="1"/>
  <c r="Y26" i="71"/>
  <c r="Z26" i="71" s="1"/>
  <c r="F43" i="71"/>
  <c r="V43" i="71" s="1"/>
  <c r="AB9" i="71"/>
  <c r="G224" i="3"/>
  <c r="BL229" i="3"/>
  <c r="G244" i="3"/>
  <c r="BL250" i="3"/>
  <c r="BL251" i="3"/>
  <c r="BA252" i="3"/>
  <c r="BA255" i="3"/>
  <c r="BL288" i="3"/>
  <c r="BL290" i="3"/>
  <c r="BA113" i="3"/>
  <c r="BA122" i="3"/>
  <c r="BA129" i="3"/>
  <c r="AZ129" i="3" s="1"/>
  <c r="G138" i="3"/>
  <c r="BA154" i="3"/>
  <c r="BL162" i="3"/>
  <c r="G172" i="3"/>
  <c r="BL175" i="3"/>
  <c r="AZ175" i="3" s="1"/>
  <c r="BL177" i="3"/>
  <c r="BA181" i="3"/>
  <c r="BA196" i="3"/>
  <c r="AZ196" i="3" s="1"/>
  <c r="BL19" i="3"/>
  <c r="BL22" i="3"/>
  <c r="BA26" i="3"/>
  <c r="BA31" i="3"/>
  <c r="AZ31" i="3" s="1"/>
  <c r="BL34" i="3"/>
  <c r="BL36" i="3"/>
  <c r="BA37" i="3"/>
  <c r="BA43" i="3"/>
  <c r="AZ43" i="3" s="1"/>
  <c r="BL71" i="3"/>
  <c r="BA75" i="3"/>
  <c r="BA89" i="3"/>
  <c r="G102" i="3"/>
  <c r="S21" i="33"/>
  <c r="U18" i="36"/>
  <c r="B29" i="71"/>
  <c r="B30" i="71" s="1"/>
  <c r="B31" i="71" s="1"/>
  <c r="S31" i="71" s="1"/>
  <c r="AA20" i="71"/>
  <c r="B26" i="71"/>
  <c r="B27" i="71" s="1"/>
  <c r="S27" i="71" s="1"/>
  <c r="AA25" i="71"/>
  <c r="F50" i="71"/>
  <c r="F51" i="71" s="1"/>
  <c r="V51" i="71" s="1"/>
  <c r="BA406" i="3"/>
  <c r="BL413" i="3"/>
  <c r="G423" i="3"/>
  <c r="G424" i="3"/>
  <c r="BL429" i="3"/>
  <c r="G446" i="3"/>
  <c r="BL452" i="3"/>
  <c r="BL453" i="3"/>
  <c r="BL454" i="3"/>
  <c r="BA455" i="3"/>
  <c r="AZ455" i="3" s="1"/>
  <c r="BA457" i="3"/>
  <c r="G473" i="3"/>
  <c r="G474" i="3"/>
  <c r="BL478" i="3"/>
  <c r="BA482" i="3"/>
  <c r="BA348" i="3"/>
  <c r="AZ348" i="3" s="1"/>
  <c r="BA385" i="3"/>
  <c r="BA208" i="3"/>
  <c r="G218" i="3"/>
  <c r="G219" i="3"/>
  <c r="BA228" i="3"/>
  <c r="AZ228" i="3" s="1"/>
  <c r="BA229" i="3"/>
  <c r="BA230" i="3"/>
  <c r="BL235" i="3"/>
  <c r="G242" i="3"/>
  <c r="G243" i="3"/>
  <c r="BA258" i="3"/>
  <c r="BL258" i="3"/>
  <c r="G266" i="3"/>
  <c r="G269" i="3"/>
  <c r="BL282" i="3"/>
  <c r="BA286" i="3"/>
  <c r="BA288" i="3"/>
  <c r="AZ288" i="3" s="1"/>
  <c r="G115" i="3"/>
  <c r="G135" i="3"/>
  <c r="G167" i="3"/>
  <c r="BL207" i="3"/>
  <c r="AZ207" i="3" s="1"/>
  <c r="BA59" i="3"/>
  <c r="G61" i="3"/>
  <c r="G62" i="3"/>
  <c r="BA68" i="3"/>
  <c r="BL68" i="3"/>
  <c r="BA71" i="3"/>
  <c r="BA87" i="3"/>
  <c r="BL97" i="3"/>
  <c r="G100" i="3"/>
  <c r="G101" i="3"/>
  <c r="BL106" i="3"/>
  <c r="BA109" i="3"/>
  <c r="AB21" i="33"/>
  <c r="S25" i="40"/>
  <c r="AB26" i="71"/>
  <c r="Y29" i="71"/>
  <c r="Z29" i="71" s="1"/>
  <c r="Y16" i="71"/>
  <c r="Z16" i="71" s="1"/>
  <c r="AA14" i="71"/>
  <c r="X8" i="71"/>
  <c r="BL276" i="3"/>
  <c r="BL279" i="3"/>
  <c r="BL280" i="3"/>
  <c r="BL122" i="3"/>
  <c r="BA128" i="3"/>
  <c r="AZ128" i="3" s="1"/>
  <c r="BL147" i="3"/>
  <c r="AZ147" i="3" s="1"/>
  <c r="BL149" i="3"/>
  <c r="AZ149" i="3" s="1"/>
  <c r="BL151" i="3"/>
  <c r="AZ151" i="3" s="1"/>
  <c r="BL206" i="3"/>
  <c r="BA20" i="3"/>
  <c r="BA21" i="3"/>
  <c r="BL23" i="3"/>
  <c r="BL28" i="3"/>
  <c r="BL39" i="3"/>
  <c r="BA42" i="3"/>
  <c r="BA53" i="3"/>
  <c r="BL63" i="3"/>
  <c r="BL65" i="3"/>
  <c r="BA67" i="3"/>
  <c r="BA69" i="3"/>
  <c r="AZ69" i="3" s="1"/>
  <c r="BA74" i="3"/>
  <c r="BL74" i="3"/>
  <c r="BL84" i="3"/>
  <c r="BL88" i="3"/>
  <c r="BA97" i="3"/>
  <c r="AZ97" i="3" s="1"/>
  <c r="BA98" i="3"/>
  <c r="BL103" i="3"/>
  <c r="BL105" i="3"/>
  <c r="BA108" i="3"/>
  <c r="AA27" i="71"/>
  <c r="X17" i="71"/>
  <c r="X18" i="71"/>
  <c r="AA29" i="71"/>
  <c r="B46" i="71"/>
  <c r="B47" i="71" s="1"/>
  <c r="S47" i="71" s="1"/>
  <c r="AA13" i="71"/>
  <c r="Y8" i="71"/>
  <c r="Z8" i="71" s="1"/>
  <c r="G442" i="3"/>
  <c r="BL448" i="3"/>
  <c r="BL449" i="3"/>
  <c r="BL450" i="3"/>
  <c r="BA454" i="3"/>
  <c r="BA461" i="3"/>
  <c r="AZ461" i="3" s="1"/>
  <c r="G469" i="3"/>
  <c r="G472" i="3"/>
  <c r="BL474" i="3"/>
  <c r="BL475" i="3"/>
  <c r="BA478" i="3"/>
  <c r="BL479" i="3"/>
  <c r="G492" i="3"/>
  <c r="BL324" i="3"/>
  <c r="AZ324" i="3" s="1"/>
  <c r="BL363" i="3"/>
  <c r="AZ363" i="3" s="1"/>
  <c r="BA396" i="3"/>
  <c r="G215" i="3"/>
  <c r="BA218" i="3"/>
  <c r="BL221" i="3"/>
  <c r="BL223" i="3"/>
  <c r="BA226" i="3"/>
  <c r="G237" i="3"/>
  <c r="BL244" i="3"/>
  <c r="BL247" i="3"/>
  <c r="BA253" i="3"/>
  <c r="AZ253" i="3" s="1"/>
  <c r="G262" i="3"/>
  <c r="G263" i="3"/>
  <c r="G264" i="3"/>
  <c r="BA272" i="3"/>
  <c r="BL274" i="3"/>
  <c r="BL283" i="3"/>
  <c r="G292" i="3"/>
  <c r="G293" i="3"/>
  <c r="BA117" i="3"/>
  <c r="BL119" i="3"/>
  <c r="AZ119" i="3" s="1"/>
  <c r="G130" i="3"/>
  <c r="BA161" i="3"/>
  <c r="BA174" i="3"/>
  <c r="BL179" i="3"/>
  <c r="AZ179" i="3" s="1"/>
  <c r="BL199" i="3"/>
  <c r="AZ199" i="3" s="1"/>
  <c r="BL201" i="3"/>
  <c r="BA206" i="3"/>
  <c r="BL18" i="3"/>
  <c r="BA25" i="3"/>
  <c r="BA30" i="3"/>
  <c r="BL41" i="3"/>
  <c r="G55" i="3"/>
  <c r="G77" i="3"/>
  <c r="G80" i="3"/>
  <c r="G97" i="3"/>
  <c r="D74" i="43"/>
  <c r="B55" i="43"/>
  <c r="Q59" i="71"/>
  <c r="AA26" i="71"/>
  <c r="AB24" i="71"/>
  <c r="Y27" i="71"/>
  <c r="Z27" i="71" s="1"/>
  <c r="B54" i="71"/>
  <c r="B55" i="71" s="1"/>
  <c r="S55" i="71" s="1"/>
  <c r="AB14" i="71"/>
  <c r="G358" i="3"/>
  <c r="BA366" i="3"/>
  <c r="AZ366" i="3" s="1"/>
  <c r="BA212" i="3"/>
  <c r="BL219" i="3"/>
  <c r="BL220" i="3"/>
  <c r="BL225" i="3"/>
  <c r="BL232" i="3"/>
  <c r="BL233" i="3"/>
  <c r="G236" i="3"/>
  <c r="BA244" i="3"/>
  <c r="BA247" i="3"/>
  <c r="G257" i="3"/>
  <c r="G261" i="3"/>
  <c r="BA270" i="3"/>
  <c r="BL278" i="3"/>
  <c r="BA281" i="3"/>
  <c r="BL285" i="3"/>
  <c r="BA287" i="3"/>
  <c r="BA289" i="3"/>
  <c r="G291" i="3"/>
  <c r="G127" i="3"/>
  <c r="BL143" i="3"/>
  <c r="AZ143" i="3" s="1"/>
  <c r="BL150" i="3"/>
  <c r="AZ150" i="3" s="1"/>
  <c r="BL153" i="3"/>
  <c r="AZ153" i="3" s="1"/>
  <c r="BL169" i="3"/>
  <c r="BA173" i="3"/>
  <c r="G182" i="3"/>
  <c r="BL203" i="3"/>
  <c r="AZ203" i="3" s="1"/>
  <c r="G50" i="3"/>
  <c r="G52" i="3"/>
  <c r="BA63" i="3"/>
  <c r="AZ63" i="3" s="1"/>
  <c r="BA73" i="3"/>
  <c r="G91" i="3"/>
  <c r="I20" i="66"/>
  <c r="D22" i="67"/>
  <c r="C58" i="71"/>
  <c r="AA22" i="71"/>
  <c r="F25" i="71"/>
  <c r="F26" i="71" s="1"/>
  <c r="F27" i="71" s="1"/>
  <c r="V27" i="71" s="1"/>
  <c r="B34" i="71"/>
  <c r="B35" i="71" s="1"/>
  <c r="S35" i="71" s="1"/>
  <c r="AJ10" i="43"/>
  <c r="C28" i="79"/>
  <c r="C77" i="9"/>
  <c r="C74" i="9" s="1"/>
  <c r="C31" i="12"/>
  <c r="F32" i="67"/>
  <c r="F60" i="67" s="1"/>
  <c r="M18" i="79"/>
  <c r="F30" i="78"/>
  <c r="D29" i="43"/>
  <c r="D1" i="43" s="1"/>
  <c r="AH6" i="1"/>
  <c r="E19" i="6"/>
  <c r="M7" i="1"/>
  <c r="D23" i="67"/>
  <c r="AC7" i="33"/>
  <c r="V48" i="33" s="1"/>
  <c r="I48" i="33" s="1"/>
  <c r="I52" i="33" s="1"/>
  <c r="J52" i="33" s="1"/>
  <c r="C30" i="69"/>
  <c r="C76" i="67"/>
  <c r="B12" i="76"/>
  <c r="F8" i="15"/>
  <c r="M26" i="85"/>
  <c r="M28" i="15"/>
  <c r="M28" i="67"/>
  <c r="F6" i="15"/>
  <c r="D4" i="73"/>
  <c r="F13" i="15"/>
  <c r="F20" i="31"/>
  <c r="M26" i="15"/>
  <c r="F41" i="85"/>
  <c r="F3" i="73"/>
  <c r="F35" i="67"/>
  <c r="E13" i="76"/>
  <c r="J15" i="85"/>
  <c r="M27" i="67"/>
  <c r="M9" i="15"/>
  <c r="L49" i="15"/>
  <c r="F4" i="73"/>
  <c r="F40" i="67"/>
  <c r="F43" i="85"/>
  <c r="F7" i="73"/>
  <c r="F7" i="67"/>
  <c r="F41" i="15"/>
  <c r="AO12" i="1"/>
  <c r="D6" i="73"/>
  <c r="F38" i="67"/>
  <c r="J15" i="67"/>
  <c r="F9" i="67"/>
  <c r="E7" i="76"/>
  <c r="D2" i="21"/>
  <c r="AO11" i="1"/>
  <c r="E8" i="76"/>
  <c r="M9" i="85"/>
  <c r="D2" i="33"/>
  <c r="D5" i="73"/>
  <c r="F13" i="67"/>
  <c r="F37" i="67"/>
  <c r="E11" i="76"/>
  <c r="F9" i="15"/>
  <c r="M8" i="85"/>
  <c r="M21" i="67"/>
  <c r="F42" i="67"/>
  <c r="M22" i="67"/>
  <c r="F6" i="73"/>
  <c r="M26" i="67"/>
  <c r="D2" i="35"/>
  <c r="F36" i="85"/>
  <c r="F36" i="67"/>
  <c r="E10" i="76"/>
  <c r="M8" i="15"/>
  <c r="D3" i="73"/>
  <c r="B8" i="76"/>
  <c r="M6" i="15"/>
  <c r="M23" i="85"/>
  <c r="AO10" i="1"/>
  <c r="E2" i="69"/>
  <c r="E9" i="76"/>
  <c r="F36" i="15"/>
  <c r="D7" i="73"/>
  <c r="E12" i="76"/>
  <c r="F6" i="67"/>
  <c r="F41" i="67"/>
  <c r="F7" i="15"/>
  <c r="E2" i="68"/>
  <c r="F5" i="73"/>
  <c r="B7" i="76"/>
  <c r="M9" i="67"/>
  <c r="D9" i="84"/>
  <c r="F9" i="85"/>
  <c r="D2" i="34"/>
  <c r="M27" i="15"/>
  <c r="AO9" i="1"/>
  <c r="F26" i="15"/>
  <c r="M27" i="85"/>
  <c r="L47" i="67"/>
  <c r="D2" i="37"/>
  <c r="F43" i="67"/>
  <c r="D35" i="9"/>
  <c r="B9" i="76"/>
  <c r="F8" i="85"/>
  <c r="J15" i="15"/>
  <c r="AO8" i="1"/>
  <c r="M22" i="15"/>
  <c r="M29" i="67"/>
  <c r="D2" i="36"/>
  <c r="F6" i="85"/>
  <c r="F8" i="67"/>
  <c r="L48" i="15"/>
  <c r="F26" i="67"/>
  <c r="F16" i="15"/>
  <c r="C77" i="15"/>
  <c r="M23" i="15"/>
  <c r="B13" i="76"/>
  <c r="AO13" i="1"/>
  <c r="F43" i="15"/>
  <c r="L48" i="67"/>
  <c r="M24" i="67"/>
  <c r="D34" i="9"/>
  <c r="AZ487" i="3" l="1"/>
  <c r="AZ105" i="3"/>
  <c r="AZ37" i="3"/>
  <c r="AZ26" i="3"/>
  <c r="C73" i="71"/>
  <c r="D73" i="71" s="1"/>
  <c r="AZ72" i="3"/>
  <c r="AZ29" i="3"/>
  <c r="AZ24" i="3"/>
  <c r="AZ79" i="3"/>
  <c r="AZ246" i="3"/>
  <c r="AZ166" i="3"/>
  <c r="AZ423" i="3"/>
  <c r="AZ470" i="3"/>
  <c r="AZ585" i="3"/>
  <c r="S45" i="34"/>
  <c r="AA45" i="34"/>
  <c r="AA35" i="39"/>
  <c r="S35" i="39"/>
  <c r="AA23" i="35"/>
  <c r="S23" i="35"/>
  <c r="AC38" i="40"/>
  <c r="W38" i="40"/>
  <c r="AA26" i="37"/>
  <c r="S26" i="37"/>
  <c r="U14" i="21"/>
  <c r="AB14" i="21"/>
  <c r="AC26" i="37"/>
  <c r="W26" i="37"/>
  <c r="AB32" i="36"/>
  <c r="U32" i="36"/>
  <c r="U43" i="39"/>
  <c r="AB43" i="39"/>
  <c r="AZ428" i="3"/>
  <c r="U29" i="21"/>
  <c r="AB29" i="21"/>
  <c r="W28" i="33"/>
  <c r="AC28" i="33"/>
  <c r="S31" i="21"/>
  <c r="AA31" i="21"/>
  <c r="AZ182" i="3"/>
  <c r="AZ66" i="3"/>
  <c r="AZ287" i="3"/>
  <c r="AZ53" i="3"/>
  <c r="AZ35" i="3"/>
  <c r="AZ158" i="3"/>
  <c r="L109" i="43"/>
  <c r="AZ250" i="3"/>
  <c r="AZ282" i="3"/>
  <c r="AZ263" i="3"/>
  <c r="AA40" i="40"/>
  <c r="S40" i="40"/>
  <c r="AB12" i="21"/>
  <c r="U12" i="21"/>
  <c r="AZ206" i="3"/>
  <c r="AB38" i="40"/>
  <c r="U38" i="40"/>
  <c r="F52" i="85"/>
  <c r="F69" i="85"/>
  <c r="F65" i="85"/>
  <c r="AZ74" i="3"/>
  <c r="AZ68" i="3"/>
  <c r="AZ186" i="3"/>
  <c r="AZ232" i="3"/>
  <c r="AZ221" i="3"/>
  <c r="AZ38" i="3"/>
  <c r="H63" i="68"/>
  <c r="D37" i="68"/>
  <c r="AC9" i="36"/>
  <c r="W9" i="36"/>
  <c r="AZ457" i="3"/>
  <c r="AZ19" i="3"/>
  <c r="AZ439" i="3"/>
  <c r="AZ238" i="3"/>
  <c r="C37" i="68"/>
  <c r="C17" i="15" s="1"/>
  <c r="C34" i="84"/>
  <c r="C14" i="85"/>
  <c r="AZ218" i="3"/>
  <c r="AZ223" i="3"/>
  <c r="AZ486" i="3"/>
  <c r="F28" i="15"/>
  <c r="C28" i="15" s="1"/>
  <c r="F28" i="85"/>
  <c r="C28" i="85" s="1"/>
  <c r="AZ350" i="3"/>
  <c r="C9" i="84"/>
  <c r="AB23" i="36"/>
  <c r="U23" i="36"/>
  <c r="AC12" i="21"/>
  <c r="W12" i="21"/>
  <c r="AZ211" i="3"/>
  <c r="AZ550" i="3"/>
  <c r="AC39" i="37"/>
  <c r="W39" i="37"/>
  <c r="AB44" i="39"/>
  <c r="U44" i="39"/>
  <c r="U11" i="35"/>
  <c r="AB11" i="35"/>
  <c r="AZ194" i="3"/>
  <c r="AZ280" i="3"/>
  <c r="AZ121" i="3"/>
  <c r="AZ220" i="3"/>
  <c r="AZ235" i="3"/>
  <c r="AC23" i="36"/>
  <c r="W23" i="36"/>
  <c r="AA44" i="39"/>
  <c r="S44" i="39"/>
  <c r="AB9" i="33"/>
  <c r="U9" i="33"/>
  <c r="AA25" i="37"/>
  <c r="S25" i="37"/>
  <c r="AZ293" i="3"/>
  <c r="AZ213" i="3"/>
  <c r="AA27" i="21"/>
  <c r="S27" i="21"/>
  <c r="AA26" i="33"/>
  <c r="S26" i="33"/>
  <c r="AB9" i="36"/>
  <c r="U9" i="36"/>
  <c r="B57" i="71"/>
  <c r="N58" i="71"/>
  <c r="AZ80" i="3"/>
  <c r="AZ273" i="3"/>
  <c r="AC34" i="35"/>
  <c r="W34" i="35"/>
  <c r="AZ488" i="3"/>
  <c r="W27" i="21"/>
  <c r="AC27" i="21"/>
  <c r="AZ414" i="3"/>
  <c r="W12" i="34"/>
  <c r="AC12" i="34"/>
  <c r="AA23" i="36"/>
  <c r="S23" i="36"/>
  <c r="AZ491" i="3"/>
  <c r="AZ58" i="3"/>
  <c r="O58" i="71"/>
  <c r="C57" i="71"/>
  <c r="D57" i="71" s="1"/>
  <c r="AZ52" i="3"/>
  <c r="AZ490" i="3"/>
  <c r="AZ125" i="3"/>
  <c r="S45" i="39"/>
  <c r="AA45" i="39"/>
  <c r="AZ230" i="3"/>
  <c r="U31" i="71"/>
  <c r="M19" i="43"/>
  <c r="AZ170" i="3"/>
  <c r="AZ50" i="3"/>
  <c r="AZ178" i="3"/>
  <c r="U45" i="39"/>
  <c r="AB45" i="39"/>
  <c r="AZ586" i="3"/>
  <c r="AB12" i="34"/>
  <c r="U12" i="34"/>
  <c r="AZ71" i="3"/>
  <c r="AZ255" i="3"/>
  <c r="AZ162" i="3"/>
  <c r="AZ81" i="3"/>
  <c r="AZ480" i="3"/>
  <c r="AZ301" i="3"/>
  <c r="AZ225" i="3"/>
  <c r="AZ476" i="3"/>
  <c r="AZ229" i="3"/>
  <c r="AZ258" i="3"/>
  <c r="AZ482" i="3"/>
  <c r="AZ157" i="3"/>
  <c r="B10" i="71"/>
  <c r="B9" i="71" s="1"/>
  <c r="B8" i="71" s="1"/>
  <c r="S11" i="71"/>
  <c r="AZ279" i="3"/>
  <c r="AZ133" i="3"/>
  <c r="AZ472" i="3"/>
  <c r="AZ473" i="3"/>
  <c r="AB39" i="37"/>
  <c r="U39" i="37"/>
  <c r="AC13" i="21"/>
  <c r="W13" i="21"/>
  <c r="C48" i="78"/>
  <c r="C30" i="78"/>
  <c r="K6" i="1"/>
  <c r="E32" i="6"/>
  <c r="C39" i="15"/>
  <c r="C38" i="15"/>
  <c r="D70" i="43"/>
  <c r="E70" i="43" s="1"/>
  <c r="B68" i="43" s="1"/>
  <c r="C24" i="43" s="1"/>
  <c r="H75" i="43"/>
  <c r="H77" i="43"/>
  <c r="H76" i="43"/>
  <c r="H70" i="43"/>
  <c r="H71" i="43"/>
  <c r="H72" i="43"/>
  <c r="H74" i="43"/>
  <c r="H78" i="43"/>
  <c r="C94" i="9"/>
  <c r="C92" i="9"/>
  <c r="C30" i="11"/>
  <c r="C21" i="68"/>
  <c r="C21" i="69"/>
  <c r="M105" i="43"/>
  <c r="M107" i="43"/>
  <c r="M104" i="43"/>
  <c r="F27" i="6"/>
  <c r="E56" i="39"/>
  <c r="E51" i="40"/>
  <c r="AJ11" i="43"/>
  <c r="AJ13" i="43" s="1"/>
  <c r="G22" i="43"/>
  <c r="T11" i="1"/>
  <c r="E59" i="40"/>
  <c r="AQ13" i="1"/>
  <c r="AG11" i="43"/>
  <c r="AG13" i="43" s="1"/>
  <c r="AR13" i="1"/>
  <c r="E107" i="43"/>
  <c r="D19" i="12"/>
  <c r="C19" i="12" s="1"/>
  <c r="E9" i="49"/>
  <c r="D9" i="69"/>
  <c r="C9" i="69" s="1"/>
  <c r="E103" i="43"/>
  <c r="J101" i="43"/>
  <c r="J109" i="43" s="1"/>
  <c r="G107" i="43"/>
  <c r="AR11" i="1"/>
  <c r="O7" i="1"/>
  <c r="P7" i="1" s="1"/>
  <c r="T8" i="1"/>
  <c r="E12" i="6"/>
  <c r="AQ8" i="1"/>
  <c r="T9" i="1"/>
  <c r="AZ13" i="3"/>
  <c r="G28" i="6"/>
  <c r="G30" i="6" s="1"/>
  <c r="G31" i="6" s="1"/>
  <c r="T10" i="1"/>
  <c r="AQ10" i="1"/>
  <c r="F29" i="6"/>
  <c r="E29" i="6" s="1"/>
  <c r="K15" i="1" s="1"/>
  <c r="AQ9" i="1"/>
  <c r="H104" i="43"/>
  <c r="E106" i="43"/>
  <c r="G103" i="43"/>
  <c r="H22" i="43"/>
  <c r="C101" i="43"/>
  <c r="C109" i="43" s="1"/>
  <c r="E104" i="43"/>
  <c r="B22" i="49"/>
  <c r="H106" i="43"/>
  <c r="H103" i="43"/>
  <c r="E102" i="43"/>
  <c r="AC11" i="43"/>
  <c r="AC13" i="43" s="1"/>
  <c r="AD11" i="43"/>
  <c r="G106" i="43"/>
  <c r="E22" i="43"/>
  <c r="E6" i="49"/>
  <c r="E10" i="49"/>
  <c r="H107" i="43"/>
  <c r="AF11" i="43"/>
  <c r="L103" i="43"/>
  <c r="H102" i="43"/>
  <c r="N101" i="43"/>
  <c r="F101" i="43"/>
  <c r="F102" i="43" s="1"/>
  <c r="K101" i="43"/>
  <c r="H105" i="43"/>
  <c r="L105" i="43"/>
  <c r="M106" i="43"/>
  <c r="AI11" i="43"/>
  <c r="AI13" i="43" s="1"/>
  <c r="I101" i="43"/>
  <c r="I109" i="43" s="1"/>
  <c r="B113" i="43"/>
  <c r="G118" i="43" s="1"/>
  <c r="H118" i="43" s="1"/>
  <c r="F22" i="43"/>
  <c r="L104" i="43"/>
  <c r="L107" i="43"/>
  <c r="L106" i="43"/>
  <c r="L102" i="43"/>
  <c r="E109" i="43"/>
  <c r="Z7" i="43"/>
  <c r="D101" i="43"/>
  <c r="K4" i="4"/>
  <c r="B46" i="48" s="1"/>
  <c r="B4" i="72" s="1"/>
  <c r="H88" i="43"/>
  <c r="J17" i="43"/>
  <c r="F37" i="43"/>
  <c r="H84" i="43"/>
  <c r="F35" i="43"/>
  <c r="F38" i="43"/>
  <c r="H81" i="43"/>
  <c r="H86" i="43"/>
  <c r="I17" i="43"/>
  <c r="X7" i="43"/>
  <c r="C6" i="43"/>
  <c r="D17" i="43"/>
  <c r="H73" i="43"/>
  <c r="F33" i="43"/>
  <c r="G13" i="1"/>
  <c r="G12" i="1"/>
  <c r="B4" i="49"/>
  <c r="G8" i="1"/>
  <c r="E8" i="49"/>
  <c r="G11" i="1"/>
  <c r="G7" i="1"/>
  <c r="S7" i="33"/>
  <c r="D63" i="40"/>
  <c r="E10" i="71"/>
  <c r="E9" i="71" s="1"/>
  <c r="E8" i="71" s="1"/>
  <c r="E7" i="71" s="1"/>
  <c r="V11" i="71"/>
  <c r="J7" i="21"/>
  <c r="J58" i="21"/>
  <c r="K58" i="21" s="1"/>
  <c r="L58" i="21" s="1"/>
  <c r="M58" i="21" s="1"/>
  <c r="N58" i="21" s="1"/>
  <c r="O58" i="21" s="1"/>
  <c r="G46" i="36"/>
  <c r="H46" i="36" s="1"/>
  <c r="I46" i="36" s="1"/>
  <c r="J46" i="36" s="1"/>
  <c r="K46" i="36" s="1"/>
  <c r="L46" i="36" s="1"/>
  <c r="M46" i="36" s="1"/>
  <c r="N46" i="36" s="1"/>
  <c r="O46" i="36" s="1"/>
  <c r="J52" i="37"/>
  <c r="K52" i="37" s="1"/>
  <c r="L52" i="37" s="1"/>
  <c r="M52" i="37" s="1"/>
  <c r="N52" i="37" s="1"/>
  <c r="O52" i="37" s="1"/>
  <c r="D70" i="39"/>
  <c r="E68" i="39"/>
  <c r="H7" i="34"/>
  <c r="J7" i="34"/>
  <c r="F7" i="34"/>
  <c r="I14" i="74"/>
  <c r="B8" i="74" s="1"/>
  <c r="D127" i="9"/>
  <c r="D13" i="52" s="1"/>
  <c r="D12" i="52"/>
  <c r="H7" i="21"/>
  <c r="C10" i="71"/>
  <c r="T11" i="71"/>
  <c r="D11" i="71"/>
  <c r="U11" i="71" s="1"/>
  <c r="E48" i="33"/>
  <c r="R49" i="33"/>
  <c r="F7" i="21"/>
  <c r="G48" i="35"/>
  <c r="B34" i="72"/>
  <c r="D17" i="53"/>
  <c r="B36" i="72" s="1"/>
  <c r="AC11" i="37"/>
  <c r="W11" i="37"/>
  <c r="AB7" i="33"/>
  <c r="T48" i="33" s="1"/>
  <c r="G48" i="33" s="1"/>
  <c r="H110" i="9"/>
  <c r="D18" i="53" s="1"/>
  <c r="B35" i="72" s="1"/>
  <c r="D124" i="9"/>
  <c r="U36" i="33"/>
  <c r="L67" i="9"/>
  <c r="M67" i="9" s="1"/>
  <c r="D19" i="53"/>
  <c r="L63" i="9"/>
  <c r="M63" i="9" s="1"/>
  <c r="M69" i="9" s="1"/>
  <c r="N69" i="9" s="1"/>
  <c r="L64" i="9"/>
  <c r="M64" i="9" s="1"/>
  <c r="AC19" i="37"/>
  <c r="O11" i="1"/>
  <c r="P11" i="1" s="1"/>
  <c r="O6" i="1"/>
  <c r="S17" i="33"/>
  <c r="M103" i="43"/>
  <c r="M109" i="43"/>
  <c r="S23" i="21"/>
  <c r="AA23" i="21"/>
  <c r="AC15" i="21"/>
  <c r="W15" i="21"/>
  <c r="AR12" i="1"/>
  <c r="AQ12" i="1"/>
  <c r="AA17" i="37"/>
  <c r="G109" i="43"/>
  <c r="G105" i="43"/>
  <c r="G104" i="43"/>
  <c r="P9" i="1"/>
  <c r="AZ563" i="3"/>
  <c r="H53" i="43"/>
  <c r="H52" i="43"/>
  <c r="AB27" i="36"/>
  <c r="F53" i="9"/>
  <c r="H50" i="43"/>
  <c r="BQ5" i="3"/>
  <c r="F28" i="6" s="1"/>
  <c r="BL541" i="3"/>
  <c r="AZ541" i="3" s="1"/>
  <c r="W39" i="34"/>
  <c r="H87" i="43"/>
  <c r="H83" i="43"/>
  <c r="AZ357" i="3"/>
  <c r="AZ343" i="3"/>
  <c r="AB37" i="39"/>
  <c r="U37" i="39"/>
  <c r="AZ543" i="3"/>
  <c r="E11" i="6"/>
  <c r="E13" i="6"/>
  <c r="AB12" i="37"/>
  <c r="U12" i="37"/>
  <c r="AZ380" i="3"/>
  <c r="AZ341" i="3"/>
  <c r="AC11" i="39"/>
  <c r="W11" i="39"/>
  <c r="AZ584" i="3"/>
  <c r="E10" i="6"/>
  <c r="AZ329" i="3"/>
  <c r="U44" i="34"/>
  <c r="AB32" i="37"/>
  <c r="H66" i="43"/>
  <c r="H62" i="43"/>
  <c r="AZ581" i="3"/>
  <c r="E15" i="6"/>
  <c r="AZ531" i="3"/>
  <c r="AZ561" i="3"/>
  <c r="AZ570" i="3"/>
  <c r="S9" i="37"/>
  <c r="S25" i="21"/>
  <c r="W30" i="34"/>
  <c r="W31" i="34"/>
  <c r="AZ521" i="3"/>
  <c r="AZ576" i="3"/>
  <c r="W29" i="33"/>
  <c r="AA14" i="37"/>
  <c r="U27" i="37"/>
  <c r="AB27" i="37"/>
  <c r="U35" i="35"/>
  <c r="AB46" i="33"/>
  <c r="U11" i="36"/>
  <c r="AC11" i="35"/>
  <c r="U17" i="37"/>
  <c r="AC11" i="36"/>
  <c r="S14" i="34"/>
  <c r="AA44" i="34"/>
  <c r="AZ503" i="3"/>
  <c r="AZ559" i="3"/>
  <c r="S9" i="33"/>
  <c r="AB19" i="34"/>
  <c r="AB28" i="37"/>
  <c r="F9" i="34"/>
  <c r="S34" i="34"/>
  <c r="J9" i="33"/>
  <c r="B74" i="43"/>
  <c r="J9" i="34"/>
  <c r="J39" i="40"/>
  <c r="W33" i="33"/>
  <c r="AB34" i="21"/>
  <c r="J24" i="36"/>
  <c r="H33" i="36"/>
  <c r="AC25" i="37"/>
  <c r="AC31" i="37"/>
  <c r="U34" i="35"/>
  <c r="J33" i="36"/>
  <c r="AB41" i="21"/>
  <c r="BA551" i="3"/>
  <c r="AZ551" i="3" s="1"/>
  <c r="W8" i="40"/>
  <c r="S10" i="37"/>
  <c r="H12" i="35"/>
  <c r="H12" i="36"/>
  <c r="G570" i="3"/>
  <c r="H12" i="33"/>
  <c r="J12" i="35"/>
  <c r="AZ403" i="3"/>
  <c r="J23" i="35"/>
  <c r="W31" i="35"/>
  <c r="BA413" i="3"/>
  <c r="AZ413" i="3" s="1"/>
  <c r="BA412" i="3"/>
  <c r="AZ489" i="3"/>
  <c r="BA431" i="3"/>
  <c r="AZ431" i="3" s="1"/>
  <c r="AZ469" i="3"/>
  <c r="AZ484" i="3"/>
  <c r="AZ485" i="3"/>
  <c r="AZ292" i="3"/>
  <c r="BA415" i="3"/>
  <c r="AZ415" i="3" s="1"/>
  <c r="BA433" i="3"/>
  <c r="AZ433" i="3" s="1"/>
  <c r="AZ458" i="3"/>
  <c r="AZ459" i="3"/>
  <c r="AZ460" i="3"/>
  <c r="AZ462" i="3"/>
  <c r="P13" i="1"/>
  <c r="BA427" i="3"/>
  <c r="AZ427" i="3" s="1"/>
  <c r="AZ385" i="3"/>
  <c r="AZ208" i="3"/>
  <c r="G404" i="3"/>
  <c r="BL422" i="3"/>
  <c r="AZ424" i="3"/>
  <c r="AZ426" i="3"/>
  <c r="AZ452" i="3"/>
  <c r="AZ481" i="3"/>
  <c r="P8" i="1"/>
  <c r="AZ432" i="3"/>
  <c r="AZ454" i="3"/>
  <c r="AZ478" i="3"/>
  <c r="BL417" i="3"/>
  <c r="AZ417" i="3" s="1"/>
  <c r="BA422" i="3"/>
  <c r="AZ448" i="3"/>
  <c r="AZ453" i="3"/>
  <c r="AZ477" i="3"/>
  <c r="AZ212" i="3"/>
  <c r="AZ247" i="3"/>
  <c r="AZ270" i="3"/>
  <c r="BA399" i="3"/>
  <c r="AZ399" i="3" s="1"/>
  <c r="BL409" i="3"/>
  <c r="BL418" i="3"/>
  <c r="BA419" i="3"/>
  <c r="AZ419" i="3" s="1"/>
  <c r="BA421" i="3"/>
  <c r="G436" i="3"/>
  <c r="AZ450" i="3"/>
  <c r="BA400" i="3"/>
  <c r="AZ400" i="3" s="1"/>
  <c r="BA401" i="3"/>
  <c r="AZ401" i="3" s="1"/>
  <c r="BA402" i="3"/>
  <c r="AZ402" i="3" s="1"/>
  <c r="BL408" i="3"/>
  <c r="AZ444" i="3"/>
  <c r="AZ451" i="3"/>
  <c r="BA404" i="3"/>
  <c r="BL406" i="3"/>
  <c r="AZ406" i="3" s="1"/>
  <c r="BL407" i="3"/>
  <c r="BA408" i="3"/>
  <c r="BA409" i="3"/>
  <c r="AZ409" i="3" s="1"/>
  <c r="BL412" i="3"/>
  <c r="BL416" i="3"/>
  <c r="AZ416" i="3" s="1"/>
  <c r="BA418" i="3"/>
  <c r="BA407" i="3"/>
  <c r="BA411" i="3"/>
  <c r="AZ411" i="3" s="1"/>
  <c r="BL434" i="3"/>
  <c r="AZ434" i="3" s="1"/>
  <c r="BL436" i="3"/>
  <c r="AZ436" i="3" s="1"/>
  <c r="BL437" i="3"/>
  <c r="AZ437" i="3" s="1"/>
  <c r="AZ449" i="3"/>
  <c r="AZ474" i="3"/>
  <c r="AZ216" i="3"/>
  <c r="BL425" i="3"/>
  <c r="AZ425" i="3" s="1"/>
  <c r="BL471" i="3"/>
  <c r="AZ471" i="3" s="1"/>
  <c r="BL333" i="3"/>
  <c r="AZ333" i="3" s="1"/>
  <c r="BA388" i="3"/>
  <c r="AZ388" i="3" s="1"/>
  <c r="BA224" i="3"/>
  <c r="BL226" i="3"/>
  <c r="AZ226" i="3" s="1"/>
  <c r="BL239" i="3"/>
  <c r="BL242" i="3"/>
  <c r="AZ242" i="3" s="1"/>
  <c r="BL261" i="3"/>
  <c r="BA262" i="3"/>
  <c r="BA264" i="3"/>
  <c r="AZ264" i="3" s="1"/>
  <c r="BA265" i="3"/>
  <c r="AZ265" i="3" s="1"/>
  <c r="BA266" i="3"/>
  <c r="AZ266" i="3" s="1"/>
  <c r="BA269" i="3"/>
  <c r="AZ269" i="3" s="1"/>
  <c r="BA271" i="3"/>
  <c r="AZ271" i="3" s="1"/>
  <c r="BA274" i="3"/>
  <c r="AZ274" i="3" s="1"/>
  <c r="BA275" i="3"/>
  <c r="AZ275" i="3" s="1"/>
  <c r="BL277" i="3"/>
  <c r="AZ277" i="3" s="1"/>
  <c r="BA285" i="3"/>
  <c r="AZ285" i="3" s="1"/>
  <c r="BL123" i="3"/>
  <c r="AZ123" i="3" s="1"/>
  <c r="AZ137" i="3"/>
  <c r="G151" i="3"/>
  <c r="BL155" i="3"/>
  <c r="AZ155" i="3" s="1"/>
  <c r="BA54" i="3"/>
  <c r="AZ54" i="3" s="1"/>
  <c r="AZ76" i="3"/>
  <c r="BA332" i="3"/>
  <c r="AZ332" i="3" s="1"/>
  <c r="BA386" i="3"/>
  <c r="AZ386" i="3" s="1"/>
  <c r="BL227" i="3"/>
  <c r="AZ227" i="3" s="1"/>
  <c r="BA239" i="3"/>
  <c r="BL241" i="3"/>
  <c r="AZ241" i="3" s="1"/>
  <c r="BA259" i="3"/>
  <c r="BA261" i="3"/>
  <c r="BA160" i="3"/>
  <c r="AZ160" i="3" s="1"/>
  <c r="BA57" i="3"/>
  <c r="AZ57" i="3" s="1"/>
  <c r="G65" i="3"/>
  <c r="BA323" i="3"/>
  <c r="AZ323" i="3" s="1"/>
  <c r="BA374" i="3"/>
  <c r="AZ374" i="3" s="1"/>
  <c r="G252" i="3"/>
  <c r="G255" i="3"/>
  <c r="BA278" i="3"/>
  <c r="AZ278" i="3" s="1"/>
  <c r="BA283" i="3"/>
  <c r="AZ283" i="3" s="1"/>
  <c r="BA126" i="3"/>
  <c r="AZ126" i="3" s="1"/>
  <c r="BL181" i="3"/>
  <c r="AZ181" i="3" s="1"/>
  <c r="BA188" i="3"/>
  <c r="AZ188" i="3" s="1"/>
  <c r="G203" i="3"/>
  <c r="BA95" i="3"/>
  <c r="AZ95" i="3" s="1"/>
  <c r="BL421" i="3"/>
  <c r="BL467" i="3"/>
  <c r="AZ467" i="3" s="1"/>
  <c r="BL317" i="3"/>
  <c r="AZ317" i="3" s="1"/>
  <c r="BL368" i="3"/>
  <c r="AZ244" i="3"/>
  <c r="BA276" i="3"/>
  <c r="AZ276" i="3" s="1"/>
  <c r="AZ122" i="3"/>
  <c r="BA316" i="3"/>
  <c r="AZ316" i="3" s="1"/>
  <c r="BA368" i="3"/>
  <c r="BA210" i="3"/>
  <c r="AZ210" i="3" s="1"/>
  <c r="G289" i="3"/>
  <c r="BL117" i="3"/>
  <c r="AZ117" i="3" s="1"/>
  <c r="BA120" i="3"/>
  <c r="AZ120" i="3" s="1"/>
  <c r="BL146" i="3"/>
  <c r="BL154" i="3"/>
  <c r="AZ154" i="3" s="1"/>
  <c r="BL173" i="3"/>
  <c r="AZ173" i="3" s="1"/>
  <c r="BL174" i="3"/>
  <c r="AZ174" i="3" s="1"/>
  <c r="BA177" i="3"/>
  <c r="AZ177" i="3" s="1"/>
  <c r="BA180" i="3"/>
  <c r="AZ180" i="3" s="1"/>
  <c r="BL21" i="3"/>
  <c r="AZ21" i="3" s="1"/>
  <c r="AZ22" i="3"/>
  <c r="BA34" i="3"/>
  <c r="AZ34" i="3" s="1"/>
  <c r="BL42" i="3"/>
  <c r="AZ42" i="3" s="1"/>
  <c r="BA48" i="3"/>
  <c r="AZ48" i="3" s="1"/>
  <c r="G419" i="3"/>
  <c r="BA307" i="3"/>
  <c r="AZ307" i="3" s="1"/>
  <c r="BA367" i="3"/>
  <c r="AZ367" i="3" s="1"/>
  <c r="G214" i="3"/>
  <c r="BL252" i="3"/>
  <c r="AZ252" i="3" s="1"/>
  <c r="BL492" i="3"/>
  <c r="AZ492" i="3" s="1"/>
  <c r="G208" i="3"/>
  <c r="BA219" i="3"/>
  <c r="AZ219" i="3" s="1"/>
  <c r="BL249" i="3"/>
  <c r="G260" i="3"/>
  <c r="G284" i="3"/>
  <c r="BL295" i="3"/>
  <c r="AZ295" i="3" s="1"/>
  <c r="BL296" i="3"/>
  <c r="AZ296" i="3" s="1"/>
  <c r="BL113" i="3"/>
  <c r="AZ113" i="3" s="1"/>
  <c r="BL114" i="3"/>
  <c r="AZ114" i="3" s="1"/>
  <c r="BA116" i="3"/>
  <c r="AZ116" i="3" s="1"/>
  <c r="BL139" i="3"/>
  <c r="AZ139" i="3" s="1"/>
  <c r="BA176" i="3"/>
  <c r="AZ176" i="3" s="1"/>
  <c r="G186" i="3"/>
  <c r="BA205" i="3"/>
  <c r="AZ205" i="3" s="1"/>
  <c r="BA23" i="3"/>
  <c r="AZ23" i="3" s="1"/>
  <c r="AZ25" i="3"/>
  <c r="BA28" i="3"/>
  <c r="AZ28" i="3" s="1"/>
  <c r="AZ30" i="3"/>
  <c r="BA33" i="3"/>
  <c r="AZ33" i="3" s="1"/>
  <c r="BA39" i="3"/>
  <c r="AZ39" i="3" s="1"/>
  <c r="BA45" i="3"/>
  <c r="AZ45" i="3" s="1"/>
  <c r="BL62" i="3"/>
  <c r="AZ62" i="3" s="1"/>
  <c r="BL82" i="3"/>
  <c r="AZ82" i="3" s="1"/>
  <c r="BL83" i="3"/>
  <c r="BL438" i="3"/>
  <c r="BL222" i="3"/>
  <c r="AZ222" i="3" s="1"/>
  <c r="BA231" i="3"/>
  <c r="AZ231" i="3" s="1"/>
  <c r="BA248" i="3"/>
  <c r="AZ248" i="3" s="1"/>
  <c r="BA249" i="3"/>
  <c r="AZ249" i="3" s="1"/>
  <c r="BL294" i="3"/>
  <c r="AZ294" i="3" s="1"/>
  <c r="BL138" i="3"/>
  <c r="BA146" i="3"/>
  <c r="AZ201" i="3"/>
  <c r="BA18" i="3"/>
  <c r="AZ18" i="3" s="1"/>
  <c r="BL20" i="3"/>
  <c r="BA47" i="3"/>
  <c r="AZ47" i="3" s="1"/>
  <c r="BL67" i="3"/>
  <c r="AZ67" i="3" s="1"/>
  <c r="BL102" i="3"/>
  <c r="BA110" i="3"/>
  <c r="BA438" i="3"/>
  <c r="BA483" i="3"/>
  <c r="AZ483" i="3" s="1"/>
  <c r="BL354" i="3"/>
  <c r="AZ354" i="3" s="1"/>
  <c r="BL396" i="3"/>
  <c r="AZ396" i="3" s="1"/>
  <c r="BL234" i="3"/>
  <c r="BA251" i="3"/>
  <c r="AZ251" i="3" s="1"/>
  <c r="BL256" i="3"/>
  <c r="BL289" i="3"/>
  <c r="AZ289" i="3" s="1"/>
  <c r="BL291" i="3"/>
  <c r="BA298" i="3"/>
  <c r="AZ298" i="3" s="1"/>
  <c r="BA299" i="3"/>
  <c r="AZ299" i="3" s="1"/>
  <c r="BL300" i="3"/>
  <c r="AZ300" i="3" s="1"/>
  <c r="BA138" i="3"/>
  <c r="G160" i="3"/>
  <c r="BL165" i="3"/>
  <c r="AZ165" i="3" s="1"/>
  <c r="BA169" i="3"/>
  <c r="AZ169" i="3" s="1"/>
  <c r="BA172" i="3"/>
  <c r="AZ172" i="3" s="1"/>
  <c r="BL59" i="3"/>
  <c r="AZ59" i="3" s="1"/>
  <c r="BA106" i="3"/>
  <c r="AZ106" i="3" s="1"/>
  <c r="BL404" i="3"/>
  <c r="BA479" i="3"/>
  <c r="AZ479" i="3" s="1"/>
  <c r="BA353" i="3"/>
  <c r="AZ353" i="3" s="1"/>
  <c r="BA395" i="3"/>
  <c r="AZ395" i="3" s="1"/>
  <c r="BL224" i="3"/>
  <c r="BA233" i="3"/>
  <c r="AZ233" i="3" s="1"/>
  <c r="BA234" i="3"/>
  <c r="BL236" i="3"/>
  <c r="AZ236" i="3" s="1"/>
  <c r="BA254" i="3"/>
  <c r="AZ254" i="3" s="1"/>
  <c r="BA256" i="3"/>
  <c r="BL267" i="3"/>
  <c r="AZ267" i="3" s="1"/>
  <c r="BL272" i="3"/>
  <c r="AZ272" i="3" s="1"/>
  <c r="BA291" i="3"/>
  <c r="BL187" i="3"/>
  <c r="AZ187" i="3" s="1"/>
  <c r="BL190" i="3"/>
  <c r="BA198" i="3"/>
  <c r="BA202" i="3"/>
  <c r="AZ202" i="3" s="1"/>
  <c r="BA64" i="3"/>
  <c r="AZ64" i="3" s="1"/>
  <c r="BL77" i="3"/>
  <c r="AZ77" i="3" s="1"/>
  <c r="BA429" i="3"/>
  <c r="AZ429" i="3" s="1"/>
  <c r="BA475" i="3"/>
  <c r="AZ475" i="3" s="1"/>
  <c r="BA352" i="3"/>
  <c r="AZ352" i="3" s="1"/>
  <c r="BA214" i="3"/>
  <c r="AZ214" i="3" s="1"/>
  <c r="BL215" i="3"/>
  <c r="BL237" i="3"/>
  <c r="AZ237" i="3" s="1"/>
  <c r="BL259" i="3"/>
  <c r="BL262" i="3"/>
  <c r="BL281" i="3"/>
  <c r="AZ281" i="3" s="1"/>
  <c r="BL284" i="3"/>
  <c r="AZ284" i="3" s="1"/>
  <c r="BL286" i="3"/>
  <c r="AZ286" i="3" s="1"/>
  <c r="BA290" i="3"/>
  <c r="AZ290" i="3" s="1"/>
  <c r="BA302" i="3"/>
  <c r="AZ302" i="3" s="1"/>
  <c r="BL130" i="3"/>
  <c r="AZ130" i="3" s="1"/>
  <c r="BA142" i="3"/>
  <c r="AZ142" i="3" s="1"/>
  <c r="BA145" i="3"/>
  <c r="AZ145" i="3" s="1"/>
  <c r="BL161" i="3"/>
  <c r="AZ161" i="3" s="1"/>
  <c r="BL163" i="3"/>
  <c r="AZ163" i="3" s="1"/>
  <c r="BA164" i="3"/>
  <c r="AZ164" i="3" s="1"/>
  <c r="BA168" i="3"/>
  <c r="AZ168" i="3" s="1"/>
  <c r="BL183" i="3"/>
  <c r="AZ183" i="3" s="1"/>
  <c r="BA190" i="3"/>
  <c r="BL198" i="3"/>
  <c r="BA339" i="3"/>
  <c r="AZ339" i="3" s="1"/>
  <c r="BA397" i="3"/>
  <c r="AZ397" i="3" s="1"/>
  <c r="BA215" i="3"/>
  <c r="BL49" i="3"/>
  <c r="AZ49" i="3" s="1"/>
  <c r="BA60" i="3"/>
  <c r="BA61" i="3"/>
  <c r="AZ61" i="3" s="1"/>
  <c r="AB21" i="34"/>
  <c r="U21" i="34"/>
  <c r="D37" i="71"/>
  <c r="C38" i="71"/>
  <c r="D38" i="71" s="1"/>
  <c r="BA51" i="3"/>
  <c r="AZ51" i="3" s="1"/>
  <c r="BA70" i="3"/>
  <c r="AZ70" i="3" s="1"/>
  <c r="BA93" i="3"/>
  <c r="AZ93" i="3" s="1"/>
  <c r="BL107" i="3"/>
  <c r="BL108" i="3"/>
  <c r="AZ108" i="3" s="1"/>
  <c r="BL109" i="3"/>
  <c r="AZ109" i="3" s="1"/>
  <c r="I15" i="66"/>
  <c r="D1" i="66" s="1"/>
  <c r="E10" i="66" s="1"/>
  <c r="BL110" i="3"/>
  <c r="BL112" i="3"/>
  <c r="C26" i="71"/>
  <c r="D25" i="71"/>
  <c r="BL73" i="3"/>
  <c r="AZ73" i="3" s="1"/>
  <c r="BA96" i="3"/>
  <c r="AZ96" i="3" s="1"/>
  <c r="BL98" i="3"/>
  <c r="AZ98" i="3" s="1"/>
  <c r="BA107" i="3"/>
  <c r="BA46" i="3"/>
  <c r="AZ46" i="3" s="1"/>
  <c r="BA65" i="3"/>
  <c r="AZ65" i="3" s="1"/>
  <c r="BA111" i="3"/>
  <c r="AZ111" i="3" s="1"/>
  <c r="AZ112" i="3"/>
  <c r="AC21" i="33"/>
  <c r="W21" i="33"/>
  <c r="BL60" i="3"/>
  <c r="BA83" i="3"/>
  <c r="BA84" i="3"/>
  <c r="AZ84" i="3" s="1"/>
  <c r="BL87" i="3"/>
  <c r="AZ87" i="3" s="1"/>
  <c r="BL100" i="3"/>
  <c r="AZ100" i="3" s="1"/>
  <c r="C46" i="71"/>
  <c r="D45" i="71"/>
  <c r="BL61" i="3"/>
  <c r="BL75" i="3"/>
  <c r="AZ75" i="3" s="1"/>
  <c r="G78" i="3"/>
  <c r="BA85" i="3"/>
  <c r="AZ85" i="3" s="1"/>
  <c r="BA86" i="3"/>
  <c r="AZ86" i="3" s="1"/>
  <c r="BA99" i="3"/>
  <c r="AZ99" i="3" s="1"/>
  <c r="BL101" i="3"/>
  <c r="AZ101" i="3" s="1"/>
  <c r="C34" i="71"/>
  <c r="D33" i="71"/>
  <c r="BA41" i="3"/>
  <c r="AZ41" i="3" s="1"/>
  <c r="BL89" i="3"/>
  <c r="AZ89" i="3" s="1"/>
  <c r="BA36" i="3"/>
  <c r="AZ36" i="3" s="1"/>
  <c r="BA88" i="3"/>
  <c r="AZ88" i="3" s="1"/>
  <c r="F3" i="35"/>
  <c r="G34" i="3"/>
  <c r="G58" i="3"/>
  <c r="BL91" i="3"/>
  <c r="AZ91" i="3" s="1"/>
  <c r="BA102" i="3"/>
  <c r="G108" i="3"/>
  <c r="G109" i="3"/>
  <c r="C30" i="71"/>
  <c r="D29" i="71"/>
  <c r="C42" i="71"/>
  <c r="D41" i="71"/>
  <c r="BA55" i="3"/>
  <c r="AZ55" i="3" s="1"/>
  <c r="BL56" i="3"/>
  <c r="AZ56" i="3" s="1"/>
  <c r="BL78" i="3"/>
  <c r="AZ78" i="3" s="1"/>
  <c r="BA90" i="3"/>
  <c r="AZ90" i="3" s="1"/>
  <c r="BA103" i="3"/>
  <c r="AZ103" i="3" s="1"/>
  <c r="BL104" i="3"/>
  <c r="AZ104" i="3" s="1"/>
  <c r="T23" i="71"/>
  <c r="D23" i="71"/>
  <c r="C50" i="71"/>
  <c r="D49" i="71"/>
  <c r="C55" i="71"/>
  <c r="D54" i="71"/>
  <c r="N56" i="71"/>
  <c r="N57" i="71"/>
  <c r="B13" i="1"/>
  <c r="E13" i="1" s="1"/>
  <c r="C69" i="71"/>
  <c r="D69" i="71" s="1"/>
  <c r="AA3" i="71"/>
  <c r="C18" i="71"/>
  <c r="X26" i="71"/>
  <c r="AA21" i="71"/>
  <c r="AA28" i="71"/>
  <c r="B21" i="71"/>
  <c r="B22" i="71" s="1"/>
  <c r="B23" i="71" s="1"/>
  <c r="S23" i="71" s="1"/>
  <c r="U67" i="71"/>
  <c r="Z10" i="43"/>
  <c r="AA15" i="71"/>
  <c r="T19" i="71"/>
  <c r="X21" i="71"/>
  <c r="AB27" i="71"/>
  <c r="B66" i="71"/>
  <c r="B65" i="71" s="1"/>
  <c r="K56" i="9"/>
  <c r="X15" i="71"/>
  <c r="Y12" i="71"/>
  <c r="Z12" i="71" s="1"/>
  <c r="X6" i="71"/>
  <c r="B66" i="43"/>
  <c r="AA29" i="39"/>
  <c r="E57" i="71"/>
  <c r="B19" i="71"/>
  <c r="X25" i="71"/>
  <c r="AB20" i="71"/>
  <c r="F58" i="71"/>
  <c r="AG10" i="43"/>
  <c r="AD12" i="43"/>
  <c r="M56" i="9"/>
  <c r="Y13" i="71"/>
  <c r="Z13" i="71" s="1"/>
  <c r="AA8" i="71"/>
  <c r="U21" i="21"/>
  <c r="D58" i="71"/>
  <c r="E19" i="71"/>
  <c r="S63" i="71"/>
  <c r="AE10" i="43"/>
  <c r="Y15" i="71"/>
  <c r="Z15" i="71" s="1"/>
  <c r="AA6" i="71"/>
  <c r="D22" i="71"/>
  <c r="AB19" i="71"/>
  <c r="Y19" i="71"/>
  <c r="Z19" i="71" s="1"/>
  <c r="Y23" i="71"/>
  <c r="Z23" i="71" s="1"/>
  <c r="AB15" i="71"/>
  <c r="AB6" i="71"/>
  <c r="AB8" i="71"/>
  <c r="AA18" i="36"/>
  <c r="Y24" i="71"/>
  <c r="Z24" i="71" s="1"/>
  <c r="AB21" i="71"/>
  <c r="P74" i="67"/>
  <c r="AB17" i="71"/>
  <c r="D59" i="71"/>
  <c r="AA24" i="71"/>
  <c r="P59" i="71"/>
  <c r="AF12" i="43"/>
  <c r="P62" i="15"/>
  <c r="W21" i="34"/>
  <c r="W18" i="36"/>
  <c r="S21" i="34"/>
  <c r="Y28" i="71"/>
  <c r="Z28" i="71" s="1"/>
  <c r="AB5" i="71"/>
  <c r="C65" i="71"/>
  <c r="D65" i="71" s="1"/>
  <c r="AA19" i="71"/>
  <c r="D67" i="71"/>
  <c r="X19" i="71"/>
  <c r="Y17" i="71"/>
  <c r="Z17" i="71" s="1"/>
  <c r="AH10" i="43"/>
  <c r="AA5" i="71"/>
  <c r="W29" i="39"/>
  <c r="AA18" i="71"/>
  <c r="X5" i="71"/>
  <c r="B6" i="49"/>
  <c r="B10" i="49"/>
  <c r="E13" i="49"/>
  <c r="B8" i="49"/>
  <c r="E14" i="49"/>
  <c r="Y7" i="71"/>
  <c r="Z7" i="71" s="1"/>
  <c r="Y6" i="71"/>
  <c r="Z6" i="71" s="1"/>
  <c r="AA7" i="71"/>
  <c r="AB3" i="71"/>
  <c r="E22" i="49"/>
  <c r="E21" i="49"/>
  <c r="B14" i="49"/>
  <c r="B9" i="49"/>
  <c r="E11" i="49"/>
  <c r="B11" i="49"/>
  <c r="E4" i="49"/>
  <c r="B13" i="49"/>
  <c r="E7" i="49"/>
  <c r="B7" i="71"/>
  <c r="X7" i="71"/>
  <c r="AB7" i="71"/>
  <c r="Y3" i="71"/>
  <c r="F7" i="71"/>
  <c r="F6" i="71" s="1"/>
  <c r="F5" i="71" s="1"/>
  <c r="AF3" i="71"/>
  <c r="P22" i="43" s="1"/>
  <c r="C6" i="67"/>
  <c r="B10" i="70"/>
  <c r="Q72" i="15"/>
  <c r="J54" i="15"/>
  <c r="L57" i="15" s="1"/>
  <c r="J58" i="15"/>
  <c r="J56" i="15" s="1"/>
  <c r="J59" i="15" s="1"/>
  <c r="Q51" i="15" s="1"/>
  <c r="I55" i="15"/>
  <c r="K1" i="73"/>
  <c r="B20" i="31"/>
  <c r="B21" i="31" s="1"/>
  <c r="I1" i="73"/>
  <c r="B39" i="1" s="1"/>
  <c r="F51" i="67"/>
  <c r="F65" i="67"/>
  <c r="J20" i="67"/>
  <c r="B12" i="70"/>
  <c r="J53" i="67"/>
  <c r="J57" i="67"/>
  <c r="J55" i="67" s="1"/>
  <c r="J58" i="67" s="1"/>
  <c r="Q50" i="67" s="1"/>
  <c r="L56" i="67"/>
  <c r="I54" i="67"/>
  <c r="M7" i="15"/>
  <c r="J6" i="15" s="1"/>
  <c r="F51" i="15"/>
  <c r="F52" i="15"/>
  <c r="C6" i="15"/>
  <c r="F69" i="67"/>
  <c r="E20" i="43"/>
  <c r="F66" i="67"/>
  <c r="B11" i="70"/>
  <c r="L60" i="15"/>
  <c r="N60" i="15"/>
  <c r="L59" i="15"/>
  <c r="M60" i="15"/>
  <c r="B8" i="70"/>
  <c r="F67" i="15"/>
  <c r="Q71" i="67"/>
  <c r="F65" i="15"/>
  <c r="F70" i="67"/>
  <c r="C27" i="67"/>
  <c r="F71" i="67"/>
  <c r="C27" i="15"/>
  <c r="F66" i="15"/>
  <c r="B9" i="70"/>
  <c r="N59" i="67"/>
  <c r="L59" i="67"/>
  <c r="L58" i="67"/>
  <c r="M59" i="67"/>
  <c r="B13" i="70"/>
  <c r="M7" i="67"/>
  <c r="J6" i="67" s="1"/>
  <c r="F50" i="67"/>
  <c r="F63" i="67"/>
  <c r="C62" i="67" s="1"/>
  <c r="C34" i="67"/>
  <c r="F68" i="67"/>
  <c r="F64" i="67"/>
  <c r="F69" i="15"/>
  <c r="L49" i="85"/>
  <c r="F44" i="85"/>
  <c r="F42" i="79"/>
  <c r="M17" i="67"/>
  <c r="C36" i="78"/>
  <c r="C16" i="67"/>
  <c r="M6" i="85"/>
  <c r="M23" i="79"/>
  <c r="M6" i="79"/>
  <c r="J15" i="79"/>
  <c r="F26" i="85"/>
  <c r="L47" i="79"/>
  <c r="M26" i="79"/>
  <c r="F16" i="85"/>
  <c r="F6" i="79"/>
  <c r="F60" i="15"/>
  <c r="F43" i="79"/>
  <c r="M28" i="85"/>
  <c r="D9" i="68"/>
  <c r="M27" i="79"/>
  <c r="F44" i="15"/>
  <c r="M29" i="15"/>
  <c r="F9" i="79"/>
  <c r="F40" i="79"/>
  <c r="C77" i="85"/>
  <c r="F27" i="78"/>
  <c r="F8" i="79"/>
  <c r="F37" i="79"/>
  <c r="M29" i="85"/>
  <c r="F31" i="67"/>
  <c r="G1" i="73"/>
  <c r="M17" i="15"/>
  <c r="F7" i="79"/>
  <c r="F13" i="79"/>
  <c r="C76" i="79"/>
  <c r="F36" i="79"/>
  <c r="F26" i="79"/>
  <c r="M24" i="85"/>
  <c r="L48" i="85"/>
  <c r="F38" i="79"/>
  <c r="F16" i="79"/>
  <c r="M22" i="85"/>
  <c r="D9" i="78"/>
  <c r="M22" i="79"/>
  <c r="F37" i="85"/>
  <c r="L48" i="79"/>
  <c r="M29" i="79"/>
  <c r="M8" i="79"/>
  <c r="F13" i="85"/>
  <c r="M9" i="79"/>
  <c r="M24" i="79"/>
  <c r="M28" i="79"/>
  <c r="F31" i="79"/>
  <c r="F59" i="67"/>
  <c r="C17" i="67"/>
  <c r="C14" i="67"/>
  <c r="Q72" i="85" l="1"/>
  <c r="F66" i="85"/>
  <c r="C27" i="85"/>
  <c r="F7" i="85"/>
  <c r="L59" i="85"/>
  <c r="N60" i="85"/>
  <c r="M60" i="85"/>
  <c r="L60" i="85"/>
  <c r="J58" i="85"/>
  <c r="J56" i="85" s="1"/>
  <c r="J59" i="85" s="1"/>
  <c r="Q51" i="85" s="1"/>
  <c r="J54" i="85"/>
  <c r="I55" i="85"/>
  <c r="AZ408" i="3"/>
  <c r="AZ60" i="3"/>
  <c r="AZ368" i="3"/>
  <c r="AZ262" i="3"/>
  <c r="AZ146" i="3"/>
  <c r="H7" i="36"/>
  <c r="U7" i="36" s="1"/>
  <c r="AZ422" i="3"/>
  <c r="F7" i="37"/>
  <c r="J102" i="43"/>
  <c r="F72" i="85"/>
  <c r="C17" i="85"/>
  <c r="Q16" i="1"/>
  <c r="F27" i="11" s="1"/>
  <c r="M11" i="85"/>
  <c r="F11" i="85"/>
  <c r="I54" i="79"/>
  <c r="J57" i="79"/>
  <c r="J55" i="79" s="1"/>
  <c r="J58" i="79" s="1"/>
  <c r="Q50" i="79" s="1"/>
  <c r="J53" i="79"/>
  <c r="J59" i="79"/>
  <c r="J60" i="79"/>
  <c r="Q48" i="79" s="1"/>
  <c r="L56" i="79"/>
  <c r="C6" i="79"/>
  <c r="C32" i="79" s="1"/>
  <c r="F50" i="79"/>
  <c r="M7" i="79"/>
  <c r="J6" i="79" s="1"/>
  <c r="J18" i="79" s="1"/>
  <c r="C27" i="79"/>
  <c r="F64" i="79"/>
  <c r="C9" i="78"/>
  <c r="F68" i="79"/>
  <c r="C29" i="78"/>
  <c r="D27" i="78" s="1"/>
  <c r="C47" i="78"/>
  <c r="D45" i="78" s="1"/>
  <c r="F71" i="79"/>
  <c r="Q71" i="79"/>
  <c r="F51" i="79"/>
  <c r="F65" i="79"/>
  <c r="L58" i="79"/>
  <c r="N59" i="79"/>
  <c r="M59" i="79"/>
  <c r="L59" i="79"/>
  <c r="F66" i="79"/>
  <c r="Z3" i="71"/>
  <c r="O57" i="71"/>
  <c r="O56" i="71"/>
  <c r="AZ190" i="3"/>
  <c r="G16" i="1"/>
  <c r="J10" i="40" s="1"/>
  <c r="W10" i="40" s="1"/>
  <c r="L19" i="6"/>
  <c r="L27" i="6" s="1"/>
  <c r="AZ438" i="3"/>
  <c r="AZ291" i="3"/>
  <c r="AZ421" i="3"/>
  <c r="J7" i="37"/>
  <c r="AC7" i="37" s="1"/>
  <c r="V42" i="37" s="1"/>
  <c r="I42" i="37" s="1"/>
  <c r="F7" i="36"/>
  <c r="S7" i="36" s="1"/>
  <c r="J7" i="36"/>
  <c r="AC7" i="36" s="1"/>
  <c r="V36" i="36" s="1"/>
  <c r="I36" i="36" s="1"/>
  <c r="AZ215" i="3"/>
  <c r="AZ404" i="3"/>
  <c r="F104" i="43"/>
  <c r="H16" i="1"/>
  <c r="F72" i="15"/>
  <c r="M6" i="1"/>
  <c r="AP6" i="1"/>
  <c r="C36" i="69" s="1"/>
  <c r="H7" i="37"/>
  <c r="AB7" i="37" s="1"/>
  <c r="T42" i="37" s="1"/>
  <c r="G42" i="37" s="1"/>
  <c r="M11" i="79"/>
  <c r="F11" i="79"/>
  <c r="G17" i="43"/>
  <c r="C16" i="43" s="1"/>
  <c r="D5" i="43" s="1"/>
  <c r="C9" i="68"/>
  <c r="C105" i="43"/>
  <c r="J103" i="43"/>
  <c r="J104" i="43"/>
  <c r="J107" i="43"/>
  <c r="J105" i="43"/>
  <c r="J106" i="43"/>
  <c r="I102" i="43"/>
  <c r="D22" i="43"/>
  <c r="E57" i="40"/>
  <c r="E62" i="39"/>
  <c r="D116" i="43"/>
  <c r="E116" i="43" s="1"/>
  <c r="F116" i="43" s="1"/>
  <c r="G116" i="43" s="1"/>
  <c r="H116" i="43" s="1"/>
  <c r="AF13" i="43"/>
  <c r="I107" i="43"/>
  <c r="K103" i="43"/>
  <c r="K107" i="43"/>
  <c r="K102" i="43"/>
  <c r="K104" i="43"/>
  <c r="K106" i="43"/>
  <c r="K109" i="43"/>
  <c r="K105" i="43"/>
  <c r="F107" i="43"/>
  <c r="F105" i="43"/>
  <c r="F109" i="43"/>
  <c r="N104" i="43"/>
  <c r="N107" i="43"/>
  <c r="N109" i="43"/>
  <c r="N102" i="43"/>
  <c r="N103" i="43"/>
  <c r="N105" i="43"/>
  <c r="N106" i="43"/>
  <c r="I117" i="43"/>
  <c r="J117" i="43" s="1"/>
  <c r="K117" i="43" s="1"/>
  <c r="L117" i="43" s="1"/>
  <c r="M117" i="43" s="1"/>
  <c r="B117" i="43"/>
  <c r="C117" i="43" s="1"/>
  <c r="I115" i="43"/>
  <c r="J115" i="43" s="1"/>
  <c r="K115" i="43" s="1"/>
  <c r="L115" i="43" s="1"/>
  <c r="M115" i="43" s="1"/>
  <c r="I116" i="43"/>
  <c r="J116" i="43" s="1"/>
  <c r="K116" i="43" s="1"/>
  <c r="L116" i="43" s="1"/>
  <c r="M116" i="43" s="1"/>
  <c r="D115" i="43"/>
  <c r="E115" i="43" s="1"/>
  <c r="F115" i="43" s="1"/>
  <c r="G115" i="43" s="1"/>
  <c r="H115" i="43" s="1"/>
  <c r="D117" i="43"/>
  <c r="E117" i="43" s="1"/>
  <c r="F117" i="43" s="1"/>
  <c r="G117" i="43" s="1"/>
  <c r="H117" i="43" s="1"/>
  <c r="D118" i="43"/>
  <c r="E118" i="43" s="1"/>
  <c r="F118" i="43" s="1"/>
  <c r="B118" i="43"/>
  <c r="C118" i="43" s="1"/>
  <c r="AD13" i="43"/>
  <c r="B116" i="43"/>
  <c r="C116" i="43" s="1"/>
  <c r="D109" i="43"/>
  <c r="D107" i="43"/>
  <c r="D103" i="43"/>
  <c r="D104" i="43"/>
  <c r="D105" i="43"/>
  <c r="D106" i="43"/>
  <c r="D102" i="43"/>
  <c r="I106" i="43"/>
  <c r="I103" i="43"/>
  <c r="I104" i="43"/>
  <c r="I105" i="43"/>
  <c r="C104" i="43"/>
  <c r="C106" i="43"/>
  <c r="C107" i="43"/>
  <c r="C103" i="43"/>
  <c r="C102" i="43"/>
  <c r="F106" i="43"/>
  <c r="I118" i="43"/>
  <c r="J118" i="43" s="1"/>
  <c r="K118" i="43" s="1"/>
  <c r="L118" i="43" s="1"/>
  <c r="M118" i="43" s="1"/>
  <c r="F103" i="43"/>
  <c r="B115" i="43"/>
  <c r="D65" i="40"/>
  <c r="E63" i="40"/>
  <c r="AZ110" i="3"/>
  <c r="AZ261" i="3"/>
  <c r="AZ83" i="3"/>
  <c r="C17" i="71"/>
  <c r="D17" i="71" s="1"/>
  <c r="D18" i="71"/>
  <c r="AZ102" i="3"/>
  <c r="AZ256" i="3"/>
  <c r="AZ418" i="3"/>
  <c r="U12" i="35"/>
  <c r="AB12" i="35"/>
  <c r="D10" i="52"/>
  <c r="D125" i="9"/>
  <c r="D11" i="52" s="1"/>
  <c r="H14" i="74"/>
  <c r="B7" i="74" s="1"/>
  <c r="E53" i="33"/>
  <c r="F53" i="33" s="1"/>
  <c r="E52" i="33"/>
  <c r="F52" i="33" s="1"/>
  <c r="I53" i="33"/>
  <c r="J53" i="33" s="1"/>
  <c r="Q58" i="71"/>
  <c r="F57" i="71"/>
  <c r="AZ412" i="3"/>
  <c r="AC39" i="40"/>
  <c r="W39" i="40"/>
  <c r="BA5" i="3"/>
  <c r="E27" i="6" s="1"/>
  <c r="G52" i="33"/>
  <c r="H52" i="33" s="1"/>
  <c r="G53" i="33"/>
  <c r="H53" i="33" s="1"/>
  <c r="AA7" i="34"/>
  <c r="R49" i="34" s="1"/>
  <c r="S7" i="34"/>
  <c r="W9" i="34"/>
  <c r="AC9" i="34"/>
  <c r="E58" i="40"/>
  <c r="E63" i="39"/>
  <c r="W7" i="34"/>
  <c r="AC7" i="34"/>
  <c r="V49" i="34" s="1"/>
  <c r="I49" i="34" s="1"/>
  <c r="E61" i="39"/>
  <c r="E56" i="40"/>
  <c r="U7" i="34"/>
  <c r="AB7" i="34"/>
  <c r="T49" i="34" s="1"/>
  <c r="G49" i="34" s="1"/>
  <c r="AZ198" i="3"/>
  <c r="AZ138" i="3"/>
  <c r="W33" i="36"/>
  <c r="AC33" i="36"/>
  <c r="AC9" i="33"/>
  <c r="W9" i="33"/>
  <c r="F30" i="6"/>
  <c r="F31" i="6" s="1"/>
  <c r="E28" i="6"/>
  <c r="C9" i="71"/>
  <c r="D10" i="71"/>
  <c r="AZ234" i="3"/>
  <c r="AC23" i="35"/>
  <c r="W23" i="35"/>
  <c r="E16" i="6"/>
  <c r="C27" i="71"/>
  <c r="D26" i="71"/>
  <c r="G5" i="3"/>
  <c r="B3" i="3" s="1"/>
  <c r="E34" i="3" s="1"/>
  <c r="B18" i="71"/>
  <c r="B17" i="71" s="1"/>
  <c r="S19" i="71"/>
  <c r="T55" i="71"/>
  <c r="D55" i="71"/>
  <c r="C43" i="71"/>
  <c r="D42" i="71"/>
  <c r="C47" i="71"/>
  <c r="D46" i="71"/>
  <c r="AZ259" i="3"/>
  <c r="B38" i="72"/>
  <c r="D20" i="53"/>
  <c r="B40" i="72" s="1"/>
  <c r="S7" i="37"/>
  <c r="AA7" i="37"/>
  <c r="R42" i="37" s="1"/>
  <c r="F68" i="39"/>
  <c r="E70" i="39"/>
  <c r="AA9" i="34"/>
  <c r="S9" i="34"/>
  <c r="AZ107" i="3"/>
  <c r="W12" i="35"/>
  <c r="AC12" i="35"/>
  <c r="P57" i="71"/>
  <c r="P56" i="71"/>
  <c r="C51" i="71"/>
  <c r="D50" i="71"/>
  <c r="C31" i="71"/>
  <c r="D30" i="71"/>
  <c r="AZ239" i="3"/>
  <c r="AZ224" i="3"/>
  <c r="U12" i="33"/>
  <c r="AB12" i="33"/>
  <c r="H48" i="35"/>
  <c r="AB7" i="21"/>
  <c r="T48" i="21" s="1"/>
  <c r="G48" i="21" s="1"/>
  <c r="U7" i="21"/>
  <c r="AC7" i="21"/>
  <c r="V48" i="21" s="1"/>
  <c r="I48" i="21" s="1"/>
  <c r="W7" i="21"/>
  <c r="D34" i="71"/>
  <c r="C35" i="71"/>
  <c r="AB33" i="36"/>
  <c r="U33" i="36"/>
  <c r="E65" i="39"/>
  <c r="E60" i="40"/>
  <c r="P6" i="1"/>
  <c r="C13" i="12" s="1"/>
  <c r="AA7" i="21"/>
  <c r="R48" i="21" s="1"/>
  <c r="S7" i="21"/>
  <c r="E18" i="71"/>
  <c r="E17" i="71" s="1"/>
  <c r="V19" i="71"/>
  <c r="B6" i="71"/>
  <c r="B5" i="71" s="1"/>
  <c r="S7" i="71"/>
  <c r="AZ20" i="3"/>
  <c r="BL5" i="3"/>
  <c r="AZ407" i="3"/>
  <c r="U12" i="36"/>
  <c r="AB12" i="36"/>
  <c r="AC24" i="36"/>
  <c r="W24" i="36"/>
  <c r="C48" i="33"/>
  <c r="C49" i="33"/>
  <c r="E6" i="71"/>
  <c r="E5" i="71" s="1"/>
  <c r="V7" i="71"/>
  <c r="P24" i="43"/>
  <c r="B66" i="40" s="1"/>
  <c r="P21" i="43"/>
  <c r="C49" i="67"/>
  <c r="P25" i="43"/>
  <c r="P23" i="43"/>
  <c r="B71" i="39" s="1"/>
  <c r="C50" i="15"/>
  <c r="C15" i="67"/>
  <c r="C18" i="67"/>
  <c r="J18" i="15"/>
  <c r="C32" i="67"/>
  <c r="Q60" i="67"/>
  <c r="Q73" i="67"/>
  <c r="M28" i="43"/>
  <c r="N28" i="43"/>
  <c r="O28" i="43"/>
  <c r="G20" i="43" s="1"/>
  <c r="P28" i="43"/>
  <c r="M11" i="67"/>
  <c r="J10" i="67" s="1"/>
  <c r="J5" i="67" s="1"/>
  <c r="F11" i="15"/>
  <c r="M11" i="15"/>
  <c r="J10" i="15" s="1"/>
  <c r="J5" i="15" s="1"/>
  <c r="F11" i="67"/>
  <c r="F1" i="15"/>
  <c r="Q53" i="15"/>
  <c r="J18" i="67"/>
  <c r="C32" i="15"/>
  <c r="F1" i="67"/>
  <c r="Q52" i="67"/>
  <c r="Q61" i="15"/>
  <c r="Q74" i="15"/>
  <c r="Q61" i="67"/>
  <c r="Q74" i="67"/>
  <c r="Q75" i="15"/>
  <c r="Q62" i="15"/>
  <c r="C16" i="15"/>
  <c r="F59" i="79"/>
  <c r="AE6" i="1"/>
  <c r="C36" i="68"/>
  <c r="F27" i="84"/>
  <c r="C16" i="79"/>
  <c r="C16" i="85"/>
  <c r="M17" i="79"/>
  <c r="F28" i="12" l="1"/>
  <c r="C29" i="12" s="1"/>
  <c r="D28" i="12" s="1"/>
  <c r="F51" i="85"/>
  <c r="M7" i="85"/>
  <c r="C6" i="85"/>
  <c r="C32" i="85" s="1"/>
  <c r="C39" i="85"/>
  <c r="C38" i="85"/>
  <c r="L57" i="85"/>
  <c r="F1" i="85"/>
  <c r="Q53" i="85"/>
  <c r="W7" i="37"/>
  <c r="Q75" i="85"/>
  <c r="Q62" i="85"/>
  <c r="AB7" i="36"/>
  <c r="T36" i="36" s="1"/>
  <c r="G36" i="36" s="1"/>
  <c r="Q61" i="85"/>
  <c r="Q74" i="85"/>
  <c r="F27" i="69"/>
  <c r="C47" i="69" s="1"/>
  <c r="D45" i="69" s="1"/>
  <c r="F10" i="39"/>
  <c r="S10" i="39" s="1"/>
  <c r="H10" i="40"/>
  <c r="U10" i="40" s="1"/>
  <c r="J10" i="39"/>
  <c r="W10" i="39" s="1"/>
  <c r="H10" i="39"/>
  <c r="AB10" i="39" s="1"/>
  <c r="C29" i="84"/>
  <c r="D27" i="84" s="1"/>
  <c r="C47" i="84"/>
  <c r="D45" i="84" s="1"/>
  <c r="F10" i="40"/>
  <c r="AA10" i="40" s="1"/>
  <c r="F22" i="84"/>
  <c r="F24" i="85"/>
  <c r="C54" i="85"/>
  <c r="C10" i="85"/>
  <c r="C49" i="79"/>
  <c r="J10" i="79"/>
  <c r="J5" i="79" s="1"/>
  <c r="J24" i="79" s="1"/>
  <c r="W7" i="36"/>
  <c r="Q60" i="79"/>
  <c r="Q73" i="79"/>
  <c r="AZ5" i="3"/>
  <c r="AY6" i="3" s="1"/>
  <c r="AA7" i="36"/>
  <c r="R36" i="36" s="1"/>
  <c r="E36" i="36" s="1"/>
  <c r="U7" i="37"/>
  <c r="F1" i="79"/>
  <c r="Q52" i="79"/>
  <c r="Q74" i="79"/>
  <c r="Q61" i="79"/>
  <c r="L30" i="68"/>
  <c r="C36" i="11"/>
  <c r="C5" i="43"/>
  <c r="F22" i="78"/>
  <c r="C24" i="78" s="1"/>
  <c r="F24" i="79"/>
  <c r="C53" i="79"/>
  <c r="C10" i="79"/>
  <c r="C5" i="79" s="1"/>
  <c r="C38" i="79" s="1"/>
  <c r="E41" i="43"/>
  <c r="C41" i="43" s="1"/>
  <c r="C39" i="43" s="1"/>
  <c r="C20" i="43"/>
  <c r="AC10" i="40"/>
  <c r="E260" i="3"/>
  <c r="C29" i="68"/>
  <c r="D27" i="68" s="1"/>
  <c r="C47" i="68"/>
  <c r="D45" i="68" s="1"/>
  <c r="C47" i="11"/>
  <c r="D45" i="11" s="1"/>
  <c r="C29" i="11"/>
  <c r="D27" i="11" s="1"/>
  <c r="C115" i="43"/>
  <c r="D113" i="43" s="1"/>
  <c r="S5" i="43"/>
  <c r="S4" i="43"/>
  <c r="S7" i="43"/>
  <c r="S3" i="43"/>
  <c r="C23" i="43"/>
  <c r="C21" i="43" s="1"/>
  <c r="S6" i="43"/>
  <c r="S2" i="43"/>
  <c r="E65" i="40"/>
  <c r="F63" i="40"/>
  <c r="E570" i="3"/>
  <c r="G41" i="36"/>
  <c r="H41" i="36" s="1"/>
  <c r="G40" i="36"/>
  <c r="H40" i="36" s="1"/>
  <c r="E58" i="3"/>
  <c r="C8" i="71"/>
  <c r="D9" i="71"/>
  <c r="G46" i="37"/>
  <c r="H46" i="37" s="1"/>
  <c r="G47" i="37"/>
  <c r="H47" i="37" s="1"/>
  <c r="Q56" i="71"/>
  <c r="Q57" i="71"/>
  <c r="K14" i="1"/>
  <c r="K19" i="6"/>
  <c r="S6" i="1" s="1"/>
  <c r="K20" i="6"/>
  <c r="E30" i="6"/>
  <c r="E31" i="6" s="1"/>
  <c r="K21" i="6"/>
  <c r="M21" i="6" s="1"/>
  <c r="I21" i="6" s="1"/>
  <c r="S21" i="6" s="1"/>
  <c r="K25" i="6"/>
  <c r="M25" i="6" s="1"/>
  <c r="I25" i="6" s="1"/>
  <c r="S25" i="6" s="1"/>
  <c r="K24" i="6"/>
  <c r="M24" i="6" s="1"/>
  <c r="I24" i="6" s="1"/>
  <c r="S24" i="6" s="1"/>
  <c r="K26" i="6"/>
  <c r="M26" i="6" s="1"/>
  <c r="I26" i="6" s="1"/>
  <c r="S26" i="6" s="1"/>
  <c r="K23" i="6"/>
  <c r="M23" i="6" s="1"/>
  <c r="I23" i="6" s="1"/>
  <c r="S23" i="6" s="1"/>
  <c r="K22" i="6"/>
  <c r="M22" i="6" s="1"/>
  <c r="I22" i="6" s="1"/>
  <c r="S22" i="6" s="1"/>
  <c r="G53" i="34"/>
  <c r="H53" i="34" s="1"/>
  <c r="G54" i="34"/>
  <c r="H54" i="34" s="1"/>
  <c r="E108" i="3"/>
  <c r="G68" i="39"/>
  <c r="F70" i="39"/>
  <c r="E65" i="3"/>
  <c r="E42" i="37"/>
  <c r="I47" i="37" s="1"/>
  <c r="J47" i="37" s="1"/>
  <c r="R43" i="37"/>
  <c r="E404" i="3"/>
  <c r="R50" i="34"/>
  <c r="E49" i="34"/>
  <c r="I54" i="34" s="1"/>
  <c r="J54" i="34" s="1"/>
  <c r="E203" i="3"/>
  <c r="T43" i="71"/>
  <c r="D43" i="71"/>
  <c r="E78" i="3"/>
  <c r="E109" i="3"/>
  <c r="E419" i="3"/>
  <c r="E66" i="39"/>
  <c r="E208" i="3"/>
  <c r="E289" i="3"/>
  <c r="T35" i="71"/>
  <c r="D35" i="71"/>
  <c r="E48" i="21"/>
  <c r="I53" i="21" s="1"/>
  <c r="J53" i="21" s="1"/>
  <c r="R49" i="21"/>
  <c r="I52" i="21"/>
  <c r="J52" i="21" s="1"/>
  <c r="E284" i="3"/>
  <c r="I46" i="37"/>
  <c r="J46" i="37" s="1"/>
  <c r="E214" i="3"/>
  <c r="E436" i="3"/>
  <c r="E186" i="3"/>
  <c r="I53" i="34"/>
  <c r="J53" i="34" s="1"/>
  <c r="G52" i="21"/>
  <c r="H52" i="21" s="1"/>
  <c r="G53" i="21"/>
  <c r="H53" i="21" s="1"/>
  <c r="T31" i="71"/>
  <c r="D31" i="71"/>
  <c r="E278" i="3"/>
  <c r="E395" i="3"/>
  <c r="E445" i="3"/>
  <c r="E304" i="3"/>
  <c r="E183" i="3"/>
  <c r="E17" i="3"/>
  <c r="AA6" i="3"/>
  <c r="E336" i="3"/>
  <c r="E124" i="3"/>
  <c r="E311" i="3"/>
  <c r="E559" i="3"/>
  <c r="M6" i="3"/>
  <c r="E407" i="3"/>
  <c r="E335" i="3"/>
  <c r="E230" i="3"/>
  <c r="E134" i="3"/>
  <c r="E221" i="3"/>
  <c r="E212" i="3"/>
  <c r="E199" i="3"/>
  <c r="E369" i="3"/>
  <c r="E493" i="3"/>
  <c r="T6" i="3"/>
  <c r="E427" i="3"/>
  <c r="E469" i="3"/>
  <c r="E422" i="3"/>
  <c r="E451" i="3"/>
  <c r="E376" i="3"/>
  <c r="E497" i="3"/>
  <c r="E498" i="3"/>
  <c r="E452" i="3"/>
  <c r="E401" i="3"/>
  <c r="E26" i="3"/>
  <c r="E25" i="3"/>
  <c r="E115" i="3"/>
  <c r="E119" i="3"/>
  <c r="E225" i="3"/>
  <c r="E226" i="3"/>
  <c r="E332" i="3"/>
  <c r="E333" i="3"/>
  <c r="AL6" i="3"/>
  <c r="E60" i="3"/>
  <c r="E488" i="3"/>
  <c r="E412" i="3"/>
  <c r="E174" i="3"/>
  <c r="E415" i="3"/>
  <c r="E213" i="3"/>
  <c r="E535" i="3"/>
  <c r="E539" i="3"/>
  <c r="E410" i="3"/>
  <c r="E246" i="3"/>
  <c r="E270" i="3"/>
  <c r="E511" i="3"/>
  <c r="E586" i="3"/>
  <c r="E439" i="3"/>
  <c r="E296" i="3"/>
  <c r="E189" i="3"/>
  <c r="E188" i="3"/>
  <c r="E117" i="3"/>
  <c r="E116" i="3"/>
  <c r="E312" i="3"/>
  <c r="E532" i="3"/>
  <c r="E515" i="3"/>
  <c r="E456" i="3"/>
  <c r="E541" i="3"/>
  <c r="E424" i="3"/>
  <c r="E345" i="3"/>
  <c r="AH6" i="3"/>
  <c r="E582" i="3"/>
  <c r="E450" i="3"/>
  <c r="E546" i="3"/>
  <c r="E39" i="3"/>
  <c r="E54" i="3"/>
  <c r="E162" i="3"/>
  <c r="E139" i="3"/>
  <c r="E258" i="3"/>
  <c r="E274" i="3"/>
  <c r="E377" i="3"/>
  <c r="E372" i="3"/>
  <c r="E75" i="3"/>
  <c r="E425" i="3"/>
  <c r="E194" i="3"/>
  <c r="E299" i="3"/>
  <c r="E392" i="3"/>
  <c r="E36" i="3"/>
  <c r="E147" i="3"/>
  <c r="E364" i="3"/>
  <c r="E62" i="3"/>
  <c r="E265" i="3"/>
  <c r="E101" i="3"/>
  <c r="E217" i="3"/>
  <c r="E172" i="3"/>
  <c r="AJ6" i="3"/>
  <c r="E528" i="3"/>
  <c r="E305" i="3"/>
  <c r="E69" i="3"/>
  <c r="E526" i="3"/>
  <c r="E361" i="3"/>
  <c r="E347" i="3"/>
  <c r="E510" i="3"/>
  <c r="E229" i="3"/>
  <c r="E390" i="3"/>
  <c r="E538" i="3"/>
  <c r="E320" i="3"/>
  <c r="E298" i="3"/>
  <c r="E99" i="3"/>
  <c r="E122" i="3"/>
  <c r="E277" i="3"/>
  <c r="E173" i="3"/>
  <c r="E575" i="3"/>
  <c r="U6" i="3"/>
  <c r="E421" i="3"/>
  <c r="E485" i="3"/>
  <c r="E438" i="3"/>
  <c r="E490" i="3"/>
  <c r="E587" i="3"/>
  <c r="E13" i="3"/>
  <c r="E444" i="3"/>
  <c r="E433" i="3"/>
  <c r="E40" i="3"/>
  <c r="E73" i="3"/>
  <c r="E198" i="3"/>
  <c r="E241" i="3"/>
  <c r="E331" i="3"/>
  <c r="E375" i="3"/>
  <c r="E30" i="3"/>
  <c r="E59" i="3"/>
  <c r="E446" i="3"/>
  <c r="E103" i="3"/>
  <c r="E248" i="3"/>
  <c r="E339" i="3"/>
  <c r="E23" i="3"/>
  <c r="E49" i="3"/>
  <c r="E20" i="3"/>
  <c r="E264" i="3"/>
  <c r="E22" i="3"/>
  <c r="E53" i="3"/>
  <c r="E563" i="3"/>
  <c r="E322" i="3"/>
  <c r="E114" i="3"/>
  <c r="E553" i="3"/>
  <c r="E550" i="3"/>
  <c r="E565" i="3"/>
  <c r="E343" i="3"/>
  <c r="E268" i="3"/>
  <c r="E239" i="3"/>
  <c r="X6" i="3"/>
  <c r="E285" i="3"/>
  <c r="E358" i="3"/>
  <c r="E16" i="3"/>
  <c r="E418" i="3"/>
  <c r="E321" i="3"/>
  <c r="E169" i="3"/>
  <c r="E228" i="3"/>
  <c r="E85" i="3"/>
  <c r="E145" i="3"/>
  <c r="E379" i="3"/>
  <c r="Q6" i="3"/>
  <c r="E437" i="3"/>
  <c r="E481" i="3"/>
  <c r="E416" i="3"/>
  <c r="E374" i="3"/>
  <c r="E500" i="3"/>
  <c r="E494" i="3"/>
  <c r="E489" i="3"/>
  <c r="E475" i="3"/>
  <c r="E70" i="3"/>
  <c r="E168" i="3"/>
  <c r="E192" i="3"/>
  <c r="E257" i="3"/>
  <c r="E363" i="3"/>
  <c r="E389" i="3"/>
  <c r="E76" i="3"/>
  <c r="E428" i="3"/>
  <c r="E64" i="3"/>
  <c r="E137" i="3"/>
  <c r="E266" i="3"/>
  <c r="E522" i="3"/>
  <c r="E112" i="3"/>
  <c r="E251" i="3"/>
  <c r="E63" i="3"/>
  <c r="E222" i="3"/>
  <c r="E83" i="3"/>
  <c r="E153" i="3"/>
  <c r="E329" i="3"/>
  <c r="E569" i="3"/>
  <c r="E205" i="3"/>
  <c r="E385" i="3"/>
  <c r="E551" i="3"/>
  <c r="E434" i="3"/>
  <c r="E294" i="3"/>
  <c r="E136" i="3"/>
  <c r="E290" i="3"/>
  <c r="E77" i="3"/>
  <c r="E193" i="3"/>
  <c r="E393" i="3"/>
  <c r="E564" i="3"/>
  <c r="E411" i="3"/>
  <c r="E548" i="3"/>
  <c r="E432" i="3"/>
  <c r="E344" i="3"/>
  <c r="AE6" i="3"/>
  <c r="E413" i="3"/>
  <c r="E470" i="3"/>
  <c r="E28" i="3"/>
  <c r="E41" i="3"/>
  <c r="E182" i="3"/>
  <c r="E211" i="3"/>
  <c r="E273" i="3"/>
  <c r="E357" i="3"/>
  <c r="E14" i="3"/>
  <c r="E93" i="3"/>
  <c r="E462" i="3"/>
  <c r="E96" i="3"/>
  <c r="E142" i="3"/>
  <c r="E300" i="3"/>
  <c r="E584" i="3"/>
  <c r="E33" i="3"/>
  <c r="E340" i="3"/>
  <c r="E80" i="3"/>
  <c r="E283" i="3"/>
  <c r="E261" i="3"/>
  <c r="N6" i="3"/>
  <c r="E319" i="3"/>
  <c r="E508" i="3"/>
  <c r="E516" i="3"/>
  <c r="E396" i="3"/>
  <c r="E293" i="3"/>
  <c r="S6" i="3"/>
  <c r="AK6" i="3"/>
  <c r="E338" i="3"/>
  <c r="E301" i="3"/>
  <c r="E61" i="3"/>
  <c r="E157" i="3"/>
  <c r="E253" i="3"/>
  <c r="E105" i="3"/>
  <c r="K6" i="3"/>
  <c r="E560" i="3"/>
  <c r="E472" i="3"/>
  <c r="E398" i="3"/>
  <c r="E459" i="3"/>
  <c r="E556" i="3"/>
  <c r="E581" i="3"/>
  <c r="E460" i="3"/>
  <c r="E420" i="3"/>
  <c r="E88" i="3"/>
  <c r="E111" i="3"/>
  <c r="E150" i="3"/>
  <c r="E279" i="3"/>
  <c r="E292" i="3"/>
  <c r="E349" i="3"/>
  <c r="L6" i="3"/>
  <c r="E29" i="3"/>
  <c r="E15" i="3"/>
  <c r="E129" i="3"/>
  <c r="E267" i="3"/>
  <c r="E386" i="3"/>
  <c r="E84" i="3"/>
  <c r="E127" i="3"/>
  <c r="AF6" i="3"/>
  <c r="E176" i="3"/>
  <c r="E326" i="3"/>
  <c r="E366" i="3"/>
  <c r="E503" i="3"/>
  <c r="E530" i="3"/>
  <c r="E328" i="3"/>
  <c r="E501" i="3"/>
  <c r="E302" i="3"/>
  <c r="E237" i="3"/>
  <c r="E574" i="3"/>
  <c r="E165" i="3"/>
  <c r="E523" i="3"/>
  <c r="E387" i="3"/>
  <c r="E245" i="3"/>
  <c r="E91" i="3"/>
  <c r="E197" i="3"/>
  <c r="E519" i="3"/>
  <c r="E552" i="3"/>
  <c r="E466" i="3"/>
  <c r="E440" i="3"/>
  <c r="E558" i="3"/>
  <c r="E517" i="3"/>
  <c r="E520" i="3"/>
  <c r="E72" i="3"/>
  <c r="E146" i="3"/>
  <c r="E240" i="3"/>
  <c r="E276" i="3"/>
  <c r="E356" i="3"/>
  <c r="E521" i="3"/>
  <c r="E324" i="3"/>
  <c r="E52" i="3"/>
  <c r="E250" i="3"/>
  <c r="E19" i="3"/>
  <c r="E309" i="3"/>
  <c r="E125" i="3"/>
  <c r="E399" i="3"/>
  <c r="E97" i="3"/>
  <c r="E397" i="3"/>
  <c r="AI6" i="3"/>
  <c r="E350" i="3"/>
  <c r="E216" i="3"/>
  <c r="E269" i="3"/>
  <c r="E167" i="3"/>
  <c r="E576" i="3"/>
  <c r="E543" i="3"/>
  <c r="E474" i="3"/>
  <c r="E449" i="3"/>
  <c r="E566" i="3"/>
  <c r="E537" i="3"/>
  <c r="E496" i="3"/>
  <c r="E104" i="3"/>
  <c r="E178" i="3"/>
  <c r="E256" i="3"/>
  <c r="E351" i="3"/>
  <c r="E362" i="3"/>
  <c r="E94" i="3"/>
  <c r="E455" i="3"/>
  <c r="E190" i="3"/>
  <c r="E307" i="3"/>
  <c r="E86" i="3"/>
  <c r="E81" i="3"/>
  <c r="E373" i="3"/>
  <c r="E175" i="3"/>
  <c r="E431" i="3"/>
  <c r="E353" i="3"/>
  <c r="E561" i="3"/>
  <c r="E306" i="3"/>
  <c r="E196" i="3"/>
  <c r="E282" i="3"/>
  <c r="E461" i="3"/>
  <c r="E128" i="3"/>
  <c r="E314" i="3"/>
  <c r="E536" i="3"/>
  <c r="E382" i="3"/>
  <c r="E159" i="3"/>
  <c r="E161" i="3"/>
  <c r="E149" i="3"/>
  <c r="E164" i="3"/>
  <c r="AD6" i="3"/>
  <c r="E529" i="3"/>
  <c r="E507" i="3"/>
  <c r="E443" i="3"/>
  <c r="AP6" i="3"/>
  <c r="E429" i="3"/>
  <c r="E106" i="3"/>
  <c r="E187" i="3"/>
  <c r="E242" i="3"/>
  <c r="E348" i="3"/>
  <c r="E572" i="3"/>
  <c r="E32" i="3"/>
  <c r="E18" i="3"/>
  <c r="E163" i="3"/>
  <c r="E383" i="3"/>
  <c r="E67" i="3"/>
  <c r="E355" i="3"/>
  <c r="E154" i="3"/>
  <c r="E513" i="3"/>
  <c r="E388" i="3"/>
  <c r="E359" i="3"/>
  <c r="E533" i="3"/>
  <c r="E506" i="3"/>
  <c r="E380" i="3"/>
  <c r="E130" i="3"/>
  <c r="E180" i="3"/>
  <c r="E120" i="3"/>
  <c r="E141" i="3"/>
  <c r="E585" i="3"/>
  <c r="AO6" i="3"/>
  <c r="E527" i="3"/>
  <c r="E465" i="3"/>
  <c r="W6" i="3"/>
  <c r="E403" i="3"/>
  <c r="E27" i="3"/>
  <c r="E295" i="3"/>
  <c r="E315" i="3"/>
  <c r="E504" i="3"/>
  <c r="E43" i="3"/>
  <c r="E47" i="3"/>
  <c r="E200" i="3"/>
  <c r="E325" i="3"/>
  <c r="E370" i="3"/>
  <c r="E118" i="3"/>
  <c r="E82" i="3"/>
  <c r="E426" i="3"/>
  <c r="E509" i="3"/>
  <c r="E352" i="3"/>
  <c r="E568" i="3"/>
  <c r="V6" i="3"/>
  <c r="E368" i="3"/>
  <c r="E191" i="3"/>
  <c r="E89" i="3"/>
  <c r="E207" i="3"/>
  <c r="E133" i="3"/>
  <c r="E499" i="3"/>
  <c r="E405" i="3"/>
  <c r="P6" i="3"/>
  <c r="E477" i="3"/>
  <c r="E557" i="3"/>
  <c r="E454" i="3"/>
  <c r="E37" i="3"/>
  <c r="E126" i="3"/>
  <c r="E281" i="3"/>
  <c r="E346" i="3"/>
  <c r="E580" i="3"/>
  <c r="E480" i="3"/>
  <c r="E79" i="3"/>
  <c r="E220" i="3"/>
  <c r="E310" i="3"/>
  <c r="E48" i="3"/>
  <c r="E341" i="3"/>
  <c r="E158" i="3"/>
  <c r="E21" i="3"/>
  <c r="O6" i="3"/>
  <c r="E337" i="3"/>
  <c r="E514" i="3"/>
  <c r="E578" i="3"/>
  <c r="E303" i="3"/>
  <c r="E185" i="3"/>
  <c r="E45" i="3"/>
  <c r="E107" i="3"/>
  <c r="Z6" i="3"/>
  <c r="E442" i="3"/>
  <c r="E512" i="3"/>
  <c r="E547" i="3"/>
  <c r="E435" i="3"/>
  <c r="E447" i="3"/>
  <c r="E57" i="3"/>
  <c r="E132" i="3"/>
  <c r="E297" i="3"/>
  <c r="E391" i="3"/>
  <c r="AM6" i="3"/>
  <c r="E540" i="3"/>
  <c r="E98" i="3"/>
  <c r="E234" i="3"/>
  <c r="E342" i="3"/>
  <c r="E87" i="3"/>
  <c r="E381" i="3"/>
  <c r="E179" i="3"/>
  <c r="E583" i="3"/>
  <c r="E280" i="3"/>
  <c r="E495" i="3"/>
  <c r="E549" i="3"/>
  <c r="E263" i="3"/>
  <c r="E156" i="3"/>
  <c r="E223" i="3"/>
  <c r="E534" i="3"/>
  <c r="E458" i="3"/>
  <c r="E406" i="3"/>
  <c r="E288" i="3"/>
  <c r="J6" i="3"/>
  <c r="E468" i="3"/>
  <c r="E463" i="3"/>
  <c r="E92" i="3"/>
  <c r="E166" i="3"/>
  <c r="E378" i="3"/>
  <c r="E544" i="3"/>
  <c r="E409" i="3"/>
  <c r="E38" i="3"/>
  <c r="E275" i="3"/>
  <c r="E354" i="3"/>
  <c r="E123" i="3"/>
  <c r="Y6" i="3"/>
  <c r="E218" i="3"/>
  <c r="E545" i="3"/>
  <c r="E247" i="3"/>
  <c r="E518" i="3"/>
  <c r="AB6" i="3"/>
  <c r="E231" i="3"/>
  <c r="E236" i="3"/>
  <c r="E271" i="3"/>
  <c r="E286" i="3"/>
  <c r="E542" i="3"/>
  <c r="E448" i="3"/>
  <c r="E414" i="3"/>
  <c r="E360" i="3"/>
  <c r="E554" i="3"/>
  <c r="E476" i="3"/>
  <c r="E479" i="3"/>
  <c r="E155" i="3"/>
  <c r="E210" i="3"/>
  <c r="E394" i="3"/>
  <c r="E31" i="3"/>
  <c r="E441" i="3"/>
  <c r="E46" i="3"/>
  <c r="E209" i="3"/>
  <c r="E492" i="3"/>
  <c r="E144" i="3"/>
  <c r="E50" i="3"/>
  <c r="E287" i="3"/>
  <c r="E555" i="3"/>
  <c r="E227" i="3"/>
  <c r="AR6" i="3"/>
  <c r="E402" i="3"/>
  <c r="E244" i="3"/>
  <c r="E254" i="3"/>
  <c r="E238" i="3"/>
  <c r="E313" i="3"/>
  <c r="R6" i="3"/>
  <c r="E464" i="3"/>
  <c r="E430" i="3"/>
  <c r="E367" i="3"/>
  <c r="E571" i="3"/>
  <c r="E483" i="3"/>
  <c r="E55" i="3"/>
  <c r="E95" i="3"/>
  <c r="E171" i="3"/>
  <c r="E243" i="3"/>
  <c r="E317" i="3"/>
  <c r="E42" i="3"/>
  <c r="E473" i="3"/>
  <c r="E100" i="3"/>
  <c r="E219" i="3"/>
  <c r="AQ6" i="3"/>
  <c r="E206" i="3"/>
  <c r="E68" i="3"/>
  <c r="E308" i="3"/>
  <c r="E579" i="3"/>
  <c r="E143" i="3"/>
  <c r="I6" i="3"/>
  <c r="E423" i="3"/>
  <c r="E215" i="3"/>
  <c r="E135" i="3"/>
  <c r="E224" i="3"/>
  <c r="E327" i="3"/>
  <c r="E573" i="3"/>
  <c r="E478" i="3"/>
  <c r="E400" i="3"/>
  <c r="I3" i="6"/>
  <c r="E577" i="3"/>
  <c r="E491" i="3"/>
  <c r="E71" i="3"/>
  <c r="E121" i="3"/>
  <c r="E259" i="3"/>
  <c r="E318" i="3"/>
  <c r="E74" i="3"/>
  <c r="E484" i="3"/>
  <c r="E138" i="3"/>
  <c r="E249" i="3"/>
  <c r="E35" i="3"/>
  <c r="E184" i="3"/>
  <c r="E102" i="3"/>
  <c r="E323" i="3"/>
  <c r="E486" i="3"/>
  <c r="E131" i="3"/>
  <c r="E170" i="3"/>
  <c r="AN6" i="3"/>
  <c r="E487" i="3"/>
  <c r="E152" i="3"/>
  <c r="E195" i="3"/>
  <c r="E453" i="3"/>
  <c r="E408" i="3"/>
  <c r="E202" i="3"/>
  <c r="E235" i="3"/>
  <c r="E262" i="3"/>
  <c r="E457" i="3"/>
  <c r="E272" i="3"/>
  <c r="E371" i="3"/>
  <c r="E148" i="3"/>
  <c r="E562" i="3"/>
  <c r="E291" i="3"/>
  <c r="E66" i="3"/>
  <c r="E181" i="3"/>
  <c r="E140" i="3"/>
  <c r="E505" i="3"/>
  <c r="E316" i="3"/>
  <c r="E24" i="3"/>
  <c r="E204" i="3"/>
  <c r="AS6" i="3"/>
  <c r="E334" i="3"/>
  <c r="E232" i="3"/>
  <c r="E177" i="3"/>
  <c r="E531" i="3"/>
  <c r="E384" i="3"/>
  <c r="E233" i="3"/>
  <c r="E567" i="3"/>
  <c r="E330" i="3"/>
  <c r="E471" i="3"/>
  <c r="E44" i="3"/>
  <c r="E51" i="3"/>
  <c r="E201" i="3"/>
  <c r="E525" i="3"/>
  <c r="E417" i="3"/>
  <c r="E110" i="3"/>
  <c r="E113" i="3"/>
  <c r="AG6" i="3"/>
  <c r="E56" i="3"/>
  <c r="E482" i="3"/>
  <c r="E365" i="3"/>
  <c r="E502" i="3"/>
  <c r="E90" i="3"/>
  <c r="E467" i="3"/>
  <c r="E524" i="3"/>
  <c r="R37" i="36"/>
  <c r="E252" i="3"/>
  <c r="E255" i="3"/>
  <c r="T51" i="71"/>
  <c r="D51" i="71"/>
  <c r="T27" i="71"/>
  <c r="D27" i="71"/>
  <c r="E151" i="3"/>
  <c r="I48" i="35"/>
  <c r="T47" i="71"/>
  <c r="D47" i="71"/>
  <c r="I40" i="36"/>
  <c r="J40" i="36" s="1"/>
  <c r="E160" i="3"/>
  <c r="C19" i="67"/>
  <c r="C20" i="67" s="1"/>
  <c r="C26" i="67" s="1"/>
  <c r="J26" i="67"/>
  <c r="J29" i="67" s="1"/>
  <c r="J24" i="67"/>
  <c r="J24" i="15"/>
  <c r="J26" i="15"/>
  <c r="C53" i="67"/>
  <c r="C48" i="67" s="1"/>
  <c r="C10" i="67"/>
  <c r="C5" i="67" s="1"/>
  <c r="C54" i="15"/>
  <c r="C49" i="15" s="1"/>
  <c r="C10" i="15"/>
  <c r="C5" i="15" s="1"/>
  <c r="F25" i="12"/>
  <c r="F22" i="69"/>
  <c r="F24" i="67"/>
  <c r="C24" i="67" s="1"/>
  <c r="F22" i="11"/>
  <c r="F22" i="68"/>
  <c r="F24" i="15"/>
  <c r="C24" i="15" s="1"/>
  <c r="AE7" i="1"/>
  <c r="C36" i="84"/>
  <c r="M17" i="85"/>
  <c r="F60" i="85"/>
  <c r="F42" i="15"/>
  <c r="AC10" i="39" l="1"/>
  <c r="AA10" i="39"/>
  <c r="C5" i="85"/>
  <c r="J6" i="85"/>
  <c r="C50" i="85"/>
  <c r="C49" i="85" s="1"/>
  <c r="C29" i="69"/>
  <c r="D27" i="69" s="1"/>
  <c r="L30" i="84"/>
  <c r="C24" i="84"/>
  <c r="C26" i="84"/>
  <c r="D22" i="84" s="1"/>
  <c r="S10" i="40"/>
  <c r="U10" i="39"/>
  <c r="E3" i="6"/>
  <c r="D19" i="11" s="1"/>
  <c r="C19" i="11" s="1"/>
  <c r="AB10" i="40"/>
  <c r="C44" i="84"/>
  <c r="D41" i="84" s="1"/>
  <c r="C18" i="85"/>
  <c r="C15" i="85"/>
  <c r="C24" i="85"/>
  <c r="T8" i="43"/>
  <c r="V8" i="43" s="1"/>
  <c r="J26" i="79"/>
  <c r="C48" i="79"/>
  <c r="C66" i="79" s="1"/>
  <c r="H6" i="3"/>
  <c r="F70" i="15"/>
  <c r="J29" i="15"/>
  <c r="AC6" i="3"/>
  <c r="AQ6" i="1"/>
  <c r="T6" i="1"/>
  <c r="AR6" i="1"/>
  <c r="E6" i="70"/>
  <c r="M20" i="6"/>
  <c r="I20" i="6" s="1"/>
  <c r="S20" i="6" s="1"/>
  <c r="S7" i="1"/>
  <c r="S16" i="1" s="1"/>
  <c r="C26" i="78"/>
  <c r="D22" i="78" s="1"/>
  <c r="T14" i="43"/>
  <c r="V14" i="43" s="1"/>
  <c r="C44" i="78"/>
  <c r="D41" i="78" s="1"/>
  <c r="T11" i="43"/>
  <c r="V11" i="43" s="1"/>
  <c r="C36" i="43"/>
  <c r="E36" i="43" s="1"/>
  <c r="C24" i="79"/>
  <c r="T12" i="43"/>
  <c r="V12" i="43" s="1"/>
  <c r="C37" i="43"/>
  <c r="E37" i="43" s="1"/>
  <c r="T7" i="43"/>
  <c r="V7" i="43" s="1"/>
  <c r="T4" i="43"/>
  <c r="V4" i="43" s="1"/>
  <c r="C35" i="43"/>
  <c r="E35" i="43" s="1"/>
  <c r="C29" i="43"/>
  <c r="C30" i="43" s="1"/>
  <c r="E30" i="43" s="1"/>
  <c r="C33" i="43"/>
  <c r="G33" i="43" s="1"/>
  <c r="I33" i="43" s="1"/>
  <c r="C38" i="43"/>
  <c r="E38" i="43" s="1"/>
  <c r="T2" i="43"/>
  <c r="V2" i="43" s="1"/>
  <c r="T6" i="43"/>
  <c r="V6" i="43" s="1"/>
  <c r="T3" i="43"/>
  <c r="V3" i="43" s="1"/>
  <c r="T9" i="43"/>
  <c r="V9" i="43" s="1"/>
  <c r="T10" i="43"/>
  <c r="V10" i="43" s="1"/>
  <c r="T13" i="43"/>
  <c r="V13" i="43" s="1"/>
  <c r="T5" i="43"/>
  <c r="V5" i="43" s="1"/>
  <c r="C34" i="43"/>
  <c r="T16" i="43"/>
  <c r="V16" i="43" s="1"/>
  <c r="T15" i="43"/>
  <c r="V15" i="43" s="1"/>
  <c r="E39" i="43"/>
  <c r="G39" i="43"/>
  <c r="I39" i="43" s="1"/>
  <c r="F65" i="40"/>
  <c r="G63" i="40"/>
  <c r="E53" i="34"/>
  <c r="F53" i="34" s="1"/>
  <c r="E54" i="34"/>
  <c r="F54" i="34" s="1"/>
  <c r="C50" i="34"/>
  <c r="C49" i="34"/>
  <c r="C36" i="36"/>
  <c r="C37" i="36"/>
  <c r="B2" i="36" s="1"/>
  <c r="B3" i="36" s="1"/>
  <c r="C42" i="37"/>
  <c r="C43" i="37"/>
  <c r="J48" i="35"/>
  <c r="E40" i="36"/>
  <c r="F40" i="36" s="1"/>
  <c r="E41" i="36"/>
  <c r="F41" i="36" s="1"/>
  <c r="E47" i="37"/>
  <c r="F47" i="37" s="1"/>
  <c r="E46" i="37"/>
  <c r="F46" i="37" s="1"/>
  <c r="C7" i="71"/>
  <c r="D8" i="71"/>
  <c r="I41" i="36"/>
  <c r="J41" i="36" s="1"/>
  <c r="C49" i="21"/>
  <c r="C48" i="21"/>
  <c r="G70" i="39"/>
  <c r="H68" i="39"/>
  <c r="M19" i="6"/>
  <c r="K27" i="6"/>
  <c r="M18" i="9"/>
  <c r="B118" i="9" s="1"/>
  <c r="B14" i="74" s="1"/>
  <c r="B1" i="74" s="1"/>
  <c r="E52" i="21"/>
  <c r="F52" i="21" s="1"/>
  <c r="E53" i="21"/>
  <c r="F53" i="21" s="1"/>
  <c r="M14" i="1"/>
  <c r="M16" i="1" s="1"/>
  <c r="C34" i="69"/>
  <c r="K16" i="1"/>
  <c r="AY87" i="3"/>
  <c r="AY207" i="3"/>
  <c r="AY95" i="3"/>
  <c r="AY281" i="3"/>
  <c r="AY253" i="3"/>
  <c r="AY366" i="3"/>
  <c r="AY460" i="3"/>
  <c r="AY26" i="3"/>
  <c r="AY217" i="3"/>
  <c r="AY34" i="3"/>
  <c r="AY132" i="3"/>
  <c r="AY131" i="3"/>
  <c r="AY284" i="3"/>
  <c r="AY350" i="3"/>
  <c r="AY428" i="3"/>
  <c r="AY116" i="3"/>
  <c r="AY372" i="3"/>
  <c r="AY463" i="3"/>
  <c r="AY549" i="3"/>
  <c r="BE6" i="3"/>
  <c r="AY61" i="3"/>
  <c r="AY33" i="3"/>
  <c r="AY154" i="3"/>
  <c r="AY125" i="3"/>
  <c r="AY247" i="3"/>
  <c r="AY219" i="3"/>
  <c r="AY360" i="3"/>
  <c r="AY73" i="3"/>
  <c r="AY166" i="3"/>
  <c r="AY259" i="3"/>
  <c r="AY353" i="3"/>
  <c r="AY316" i="3"/>
  <c r="AY462" i="3"/>
  <c r="AY411" i="3"/>
  <c r="AY534" i="3"/>
  <c r="BG6" i="3"/>
  <c r="AY582" i="3"/>
  <c r="AY48" i="3"/>
  <c r="AY82" i="3"/>
  <c r="AY139" i="3"/>
  <c r="AY163" i="3"/>
  <c r="AY237" i="3"/>
  <c r="AY319" i="3"/>
  <c r="AY425" i="3"/>
  <c r="AY229" i="3"/>
  <c r="AY311" i="3"/>
  <c r="AY433" i="3"/>
  <c r="AY540" i="3"/>
  <c r="AY92" i="3"/>
  <c r="AY36" i="3"/>
  <c r="AY170" i="3"/>
  <c r="AY134" i="3"/>
  <c r="AY239" i="3"/>
  <c r="AY392" i="3"/>
  <c r="AY507" i="3"/>
  <c r="AY56" i="3"/>
  <c r="AY130" i="3"/>
  <c r="AY210" i="3"/>
  <c r="AY309" i="3"/>
  <c r="AY472" i="3"/>
  <c r="AY435" i="3"/>
  <c r="AY561" i="3"/>
  <c r="AY552" i="3"/>
  <c r="AY577" i="3"/>
  <c r="AY37" i="3"/>
  <c r="AY129" i="3"/>
  <c r="AY223" i="3"/>
  <c r="AY313" i="3"/>
  <c r="AY484" i="3"/>
  <c r="AY410" i="3"/>
  <c r="AY499" i="3"/>
  <c r="AY509" i="3"/>
  <c r="BA6" i="3"/>
  <c r="AY23" i="3"/>
  <c r="AY59" i="3"/>
  <c r="AY75" i="3"/>
  <c r="AY382" i="3"/>
  <c r="AY455" i="3"/>
  <c r="AY300" i="3"/>
  <c r="AY343" i="3"/>
  <c r="AY404" i="3"/>
  <c r="AY533" i="3"/>
  <c r="AY77" i="3"/>
  <c r="AY25" i="3"/>
  <c r="AY173" i="3"/>
  <c r="AY302" i="3"/>
  <c r="AY238" i="3"/>
  <c r="AY365" i="3"/>
  <c r="AY88" i="3"/>
  <c r="AY177" i="3"/>
  <c r="AY242" i="3"/>
  <c r="AY317" i="3"/>
  <c r="AY464" i="3"/>
  <c r="AY419" i="3"/>
  <c r="BF6" i="3"/>
  <c r="AY501" i="3"/>
  <c r="AY96" i="3"/>
  <c r="AY158" i="3"/>
  <c r="AY235" i="3"/>
  <c r="AY345" i="3"/>
  <c r="AY479" i="3"/>
  <c r="AY426" i="3"/>
  <c r="AY17" i="3"/>
  <c r="AY551" i="3"/>
  <c r="AY99" i="3"/>
  <c r="AY192" i="3"/>
  <c r="AY285" i="3"/>
  <c r="AY378" i="3"/>
  <c r="AY469" i="3"/>
  <c r="AY558" i="3"/>
  <c r="AY91" i="3"/>
  <c r="AY184" i="3"/>
  <c r="AY277" i="3"/>
  <c r="AY391" i="3"/>
  <c r="AY490" i="3"/>
  <c r="BD6" i="3"/>
  <c r="AY196" i="3"/>
  <c r="AY74" i="3"/>
  <c r="AY58" i="3"/>
  <c r="AY387" i="3"/>
  <c r="AY444" i="3"/>
  <c r="AY269" i="3"/>
  <c r="AY327" i="3"/>
  <c r="AY417" i="3"/>
  <c r="BO6" i="3"/>
  <c r="AY69" i="3"/>
  <c r="AY206" i="3"/>
  <c r="AY165" i="3"/>
  <c r="AY294" i="3"/>
  <c r="AY230" i="3"/>
  <c r="AY357" i="3"/>
  <c r="AY57" i="3"/>
  <c r="AY161" i="3"/>
  <c r="AY226" i="3"/>
  <c r="AY348" i="3"/>
  <c r="AY457" i="3"/>
  <c r="AY403" i="3"/>
  <c r="AY536" i="3"/>
  <c r="AY508" i="3"/>
  <c r="AY81" i="3"/>
  <c r="AY142" i="3"/>
  <c r="AY266" i="3"/>
  <c r="AY337" i="3"/>
  <c r="AY471" i="3"/>
  <c r="AY418" i="3"/>
  <c r="AY538" i="3"/>
  <c r="AY542" i="3"/>
  <c r="AY110" i="3"/>
  <c r="AY203" i="3"/>
  <c r="AY296" i="3"/>
  <c r="AY383" i="3"/>
  <c r="AY482" i="3"/>
  <c r="AY13" i="3"/>
  <c r="AY102" i="3"/>
  <c r="AY195" i="3"/>
  <c r="AY288" i="3"/>
  <c r="AY375" i="3"/>
  <c r="AY474" i="3"/>
  <c r="AY15" i="3"/>
  <c r="AY176" i="3"/>
  <c r="AY31" i="3"/>
  <c r="AY168" i="3"/>
  <c r="AY363" i="3"/>
  <c r="AY441" i="3"/>
  <c r="AY260" i="3"/>
  <c r="AY326" i="3"/>
  <c r="AY535" i="3"/>
  <c r="AY539" i="3"/>
  <c r="AY45" i="3"/>
  <c r="AY190" i="3"/>
  <c r="AY149" i="3"/>
  <c r="AY278" i="3"/>
  <c r="AY214" i="3"/>
  <c r="BS6" i="3"/>
  <c r="AY72" i="3"/>
  <c r="AY114" i="3"/>
  <c r="AY388" i="3"/>
  <c r="AY332" i="3"/>
  <c r="AY454" i="3"/>
  <c r="AY503" i="3"/>
  <c r="AY527" i="3"/>
  <c r="AY532" i="3"/>
  <c r="AY49" i="3"/>
  <c r="AY153" i="3"/>
  <c r="AY234" i="3"/>
  <c r="AY321" i="3"/>
  <c r="AY476" i="3"/>
  <c r="AY439" i="3"/>
  <c r="AY564" i="3"/>
  <c r="BR6" i="3"/>
  <c r="AY79" i="3"/>
  <c r="AY172" i="3"/>
  <c r="AY265" i="3"/>
  <c r="AY359" i="3"/>
  <c r="AY451" i="3"/>
  <c r="AY547" i="3"/>
  <c r="AY71" i="3"/>
  <c r="AY164" i="3"/>
  <c r="AY257" i="3"/>
  <c r="AY351" i="3"/>
  <c r="AY443" i="3"/>
  <c r="AY566" i="3"/>
  <c r="AY83" i="3"/>
  <c r="AY171" i="3"/>
  <c r="AY152" i="3"/>
  <c r="AY268" i="3"/>
  <c r="AY334" i="3"/>
  <c r="AY529" i="3"/>
  <c r="AY212" i="3"/>
  <c r="AY465" i="3"/>
  <c r="AY562" i="3"/>
  <c r="AY105" i="3"/>
  <c r="AY68" i="3"/>
  <c r="AY193" i="3"/>
  <c r="AY126" i="3"/>
  <c r="AY255" i="3"/>
  <c r="AY384" i="3"/>
  <c r="BI6" i="3"/>
  <c r="AY29" i="3"/>
  <c r="AY279" i="3"/>
  <c r="AY370" i="3"/>
  <c r="AY491" i="3"/>
  <c r="AY430" i="3"/>
  <c r="BM6" i="3"/>
  <c r="AY495" i="3"/>
  <c r="AY514" i="3"/>
  <c r="AY32" i="3"/>
  <c r="AY113" i="3"/>
  <c r="AY380" i="3"/>
  <c r="AY336" i="3"/>
  <c r="AY453" i="3"/>
  <c r="AY415" i="3"/>
  <c r="AY524" i="3"/>
  <c r="AY548" i="3"/>
  <c r="AY78" i="3"/>
  <c r="AY167" i="3"/>
  <c r="AY264" i="3"/>
  <c r="AY331" i="3"/>
  <c r="AY424" i="3"/>
  <c r="AY512" i="3"/>
  <c r="AY70" i="3"/>
  <c r="AY159" i="3"/>
  <c r="AY256" i="3"/>
  <c r="AY323" i="3"/>
  <c r="AY416" i="3"/>
  <c r="AY504" i="3"/>
  <c r="AY67" i="3"/>
  <c r="AY155" i="3"/>
  <c r="AY123" i="3"/>
  <c r="AY252" i="3"/>
  <c r="AY318" i="3"/>
  <c r="AY526" i="3"/>
  <c r="AY390" i="3"/>
  <c r="AY478" i="3"/>
  <c r="BK6" i="3"/>
  <c r="AY97" i="3"/>
  <c r="AY60" i="3"/>
  <c r="AY185" i="3"/>
  <c r="AY118" i="3"/>
  <c r="AY231" i="3"/>
  <c r="AY397" i="3"/>
  <c r="BJ6" i="3"/>
  <c r="AY202" i="3"/>
  <c r="AY290" i="3"/>
  <c r="AY356" i="3"/>
  <c r="AY483" i="3"/>
  <c r="AY422" i="3"/>
  <c r="AY580" i="3"/>
  <c r="AY518" i="3"/>
  <c r="AY496" i="3"/>
  <c r="AY21" i="3"/>
  <c r="AY287" i="3"/>
  <c r="AY385" i="3"/>
  <c r="AY328" i="3"/>
  <c r="AY445" i="3"/>
  <c r="AY407" i="3"/>
  <c r="AY575" i="3"/>
  <c r="AY531" i="3"/>
  <c r="AY62" i="3"/>
  <c r="AY151" i="3"/>
  <c r="AY248" i="3"/>
  <c r="AY315" i="3"/>
  <c r="AY408" i="3"/>
  <c r="AY568" i="3"/>
  <c r="AY54" i="3"/>
  <c r="AY143" i="3"/>
  <c r="AY240" i="3"/>
  <c r="AY307" i="3"/>
  <c r="AY400" i="3"/>
  <c r="BT6" i="3"/>
  <c r="AY51" i="3"/>
  <c r="AY124" i="3"/>
  <c r="AY292" i="3"/>
  <c r="AY236" i="3"/>
  <c r="AY489" i="3"/>
  <c r="AY106" i="3"/>
  <c r="AY395" i="3"/>
  <c r="AY447" i="3"/>
  <c r="AY573" i="3"/>
  <c r="AY89" i="3"/>
  <c r="AY52" i="3"/>
  <c r="AY178" i="3"/>
  <c r="AY117" i="3"/>
  <c r="AY270" i="3"/>
  <c r="AY389" i="3"/>
  <c r="BB6" i="3"/>
  <c r="AY186" i="3"/>
  <c r="AY275" i="3"/>
  <c r="AY349" i="3"/>
  <c r="AY475" i="3"/>
  <c r="AY414" i="3"/>
  <c r="AY585" i="3"/>
  <c r="AY510" i="3"/>
  <c r="AY519" i="3"/>
  <c r="AY194" i="3"/>
  <c r="AY298" i="3"/>
  <c r="AY369" i="3"/>
  <c r="AY320" i="3"/>
  <c r="AY458" i="3"/>
  <c r="AY399" i="3"/>
  <c r="AY502" i="3"/>
  <c r="BP6" i="3"/>
  <c r="AY46" i="3"/>
  <c r="AY135" i="3"/>
  <c r="AY232" i="3"/>
  <c r="AY346" i="3"/>
  <c r="AY437" i="3"/>
  <c r="BL6" i="3"/>
  <c r="AY38" i="3"/>
  <c r="AY128" i="3"/>
  <c r="AY224" i="3"/>
  <c r="AY338" i="3"/>
  <c r="AY429" i="3"/>
  <c r="AY586" i="3"/>
  <c r="AY66" i="3"/>
  <c r="AY115" i="3"/>
  <c r="AY276" i="3"/>
  <c r="AY220" i="3"/>
  <c r="AY473" i="3"/>
  <c r="AY43" i="3"/>
  <c r="AY379" i="3"/>
  <c r="AY452" i="3"/>
  <c r="AY544" i="3"/>
  <c r="AY108" i="3"/>
  <c r="AY44" i="3"/>
  <c r="AY162" i="3"/>
  <c r="AY299" i="3"/>
  <c r="AY262" i="3"/>
  <c r="AY381" i="3"/>
  <c r="AY109" i="3"/>
  <c r="AY197" i="3"/>
  <c r="AY243" i="3"/>
  <c r="AY341" i="3"/>
  <c r="AY467" i="3"/>
  <c r="AY406" i="3"/>
  <c r="AY516" i="3"/>
  <c r="AY559" i="3"/>
  <c r="AY523" i="3"/>
  <c r="AY205" i="3"/>
  <c r="AY282" i="3"/>
  <c r="AY361" i="3"/>
  <c r="AY312" i="3"/>
  <c r="AY450" i="3"/>
  <c r="AY579" i="3"/>
  <c r="AY515" i="3"/>
  <c r="AY578" i="3"/>
  <c r="AY30" i="3"/>
  <c r="AY120" i="3"/>
  <c r="AY216" i="3"/>
  <c r="AY330" i="3"/>
  <c r="AY421" i="3"/>
  <c r="AY576" i="3"/>
  <c r="AY22" i="3"/>
  <c r="AY136" i="3"/>
  <c r="AY208" i="3"/>
  <c r="AY322" i="3"/>
  <c r="AY413" i="3"/>
  <c r="AY567" i="3"/>
  <c r="AY50" i="3"/>
  <c r="AY289" i="3"/>
  <c r="AY261" i="3"/>
  <c r="AY225" i="3"/>
  <c r="AY486" i="3"/>
  <c r="AY199" i="3"/>
  <c r="AY355" i="3"/>
  <c r="AY436" i="3"/>
  <c r="AY574" i="3"/>
  <c r="AY100" i="3"/>
  <c r="AY28" i="3"/>
  <c r="AY146" i="3"/>
  <c r="AY291" i="3"/>
  <c r="AY254" i="3"/>
  <c r="AY373" i="3"/>
  <c r="AY93" i="3"/>
  <c r="AY181" i="3"/>
  <c r="AY274" i="3"/>
  <c r="AY333" i="3"/>
  <c r="AY488" i="3"/>
  <c r="AY398" i="3"/>
  <c r="AY572" i="3"/>
  <c r="AY16" i="3"/>
  <c r="AY101" i="3"/>
  <c r="AY189" i="3"/>
  <c r="AY267" i="3"/>
  <c r="AY364" i="3"/>
  <c r="AY304" i="3"/>
  <c r="AY442" i="3"/>
  <c r="AY505" i="3"/>
  <c r="AY565" i="3"/>
  <c r="AY563" i="3"/>
  <c r="AY35" i="3"/>
  <c r="AY127" i="3"/>
  <c r="AY221" i="3"/>
  <c r="AY314" i="3"/>
  <c r="AY405" i="3"/>
  <c r="AY587" i="3"/>
  <c r="AY27" i="3"/>
  <c r="AY119" i="3"/>
  <c r="AY213" i="3"/>
  <c r="AY306" i="3"/>
  <c r="AY550" i="3"/>
  <c r="AY498" i="3"/>
  <c r="AY191" i="3"/>
  <c r="AY371" i="3"/>
  <c r="AY342" i="3"/>
  <c r="AY53" i="3"/>
  <c r="AY286" i="3"/>
  <c r="AY41" i="3"/>
  <c r="AY340" i="3"/>
  <c r="AY571" i="3"/>
  <c r="AY169" i="3"/>
  <c r="AY492" i="3"/>
  <c r="AY530" i="3"/>
  <c r="AY280" i="3"/>
  <c r="AY517" i="3"/>
  <c r="AY273" i="3"/>
  <c r="BC6" i="3"/>
  <c r="AY160" i="3"/>
  <c r="AY335" i="3"/>
  <c r="AY310" i="3"/>
  <c r="AY84" i="3"/>
  <c r="AY271" i="3"/>
  <c r="AY40" i="3"/>
  <c r="AY324" i="3"/>
  <c r="AY546" i="3"/>
  <c r="AY137" i="3"/>
  <c r="AY468" i="3"/>
  <c r="AY545" i="3"/>
  <c r="AY249" i="3"/>
  <c r="AY560" i="3"/>
  <c r="AY241" i="3"/>
  <c r="AY511" i="3"/>
  <c r="AY144" i="3"/>
  <c r="AY303" i="3"/>
  <c r="AY481" i="3"/>
  <c r="AY76" i="3"/>
  <c r="AY263" i="3"/>
  <c r="AY24" i="3"/>
  <c r="AY308" i="3"/>
  <c r="AY520" i="3"/>
  <c r="AY122" i="3"/>
  <c r="AY461" i="3"/>
  <c r="AY570" i="3"/>
  <c r="AY233" i="3"/>
  <c r="AY528" i="3"/>
  <c r="AY272" i="3"/>
  <c r="AY583" i="3"/>
  <c r="AY90" i="3"/>
  <c r="AY470" i="3"/>
  <c r="AY420" i="3"/>
  <c r="AY20" i="3"/>
  <c r="AY246" i="3"/>
  <c r="AY150" i="3"/>
  <c r="AY480" i="3"/>
  <c r="AY543" i="3"/>
  <c r="AY251" i="3"/>
  <c r="AY434" i="3"/>
  <c r="AY493" i="3"/>
  <c r="AY394" i="3"/>
  <c r="AY107" i="3"/>
  <c r="AY386" i="3"/>
  <c r="AY42" i="3"/>
  <c r="AY412" i="3"/>
  <c r="AY401" i="3"/>
  <c r="AY198" i="3"/>
  <c r="AY222" i="3"/>
  <c r="AY145" i="3"/>
  <c r="AY449" i="3"/>
  <c r="AY584" i="3"/>
  <c r="AY250" i="3"/>
  <c r="AY402" i="3"/>
  <c r="AY94" i="3"/>
  <c r="AY376" i="3"/>
  <c r="AY86" i="3"/>
  <c r="AY367" i="3"/>
  <c r="AY188" i="3"/>
  <c r="AY409" i="3"/>
  <c r="AY513" i="3"/>
  <c r="AY182" i="3"/>
  <c r="AY227" i="3"/>
  <c r="AY121" i="3"/>
  <c r="AY446" i="3"/>
  <c r="AY494" i="3"/>
  <c r="AY218" i="3"/>
  <c r="AY431" i="3"/>
  <c r="AY63" i="3"/>
  <c r="AY362" i="3"/>
  <c r="AY55" i="3"/>
  <c r="AY354" i="3"/>
  <c r="AY183" i="3"/>
  <c r="AY497" i="3"/>
  <c r="AY557" i="3"/>
  <c r="AY201" i="3"/>
  <c r="AY211" i="3"/>
  <c r="AY295" i="3"/>
  <c r="AY438" i="3"/>
  <c r="AY556" i="3"/>
  <c r="AY396" i="3"/>
  <c r="AY423" i="3"/>
  <c r="AY47" i="3"/>
  <c r="AY347" i="3"/>
  <c r="AY39" i="3"/>
  <c r="AY339" i="3"/>
  <c r="AY111" i="3"/>
  <c r="AY180" i="3"/>
  <c r="AY569" i="3"/>
  <c r="AY138" i="3"/>
  <c r="AY374" i="3"/>
  <c r="AY258" i="3"/>
  <c r="AY427" i="3"/>
  <c r="AY112" i="3"/>
  <c r="AY352" i="3"/>
  <c r="AY506" i="3"/>
  <c r="AY19" i="3"/>
  <c r="AY485" i="3"/>
  <c r="AY200" i="3"/>
  <c r="AY477" i="3"/>
  <c r="AY204" i="3"/>
  <c r="AY245" i="3"/>
  <c r="AY541" i="3"/>
  <c r="AY157" i="3"/>
  <c r="AY368" i="3"/>
  <c r="AY215" i="3"/>
  <c r="AY581" i="3"/>
  <c r="AY65" i="3"/>
  <c r="AY329" i="3"/>
  <c r="AY14" i="3"/>
  <c r="AY187" i="3"/>
  <c r="AY466" i="3"/>
  <c r="AY179" i="3"/>
  <c r="AY459" i="3"/>
  <c r="AY103" i="3"/>
  <c r="AY147" i="3"/>
  <c r="AY244" i="3"/>
  <c r="AY555" i="3"/>
  <c r="AY141" i="3"/>
  <c r="AY554" i="3"/>
  <c r="AY393" i="3"/>
  <c r="BQ6" i="3"/>
  <c r="AY80" i="3"/>
  <c r="AY305" i="3"/>
  <c r="D3" i="6"/>
  <c r="AY156" i="3"/>
  <c r="AY456" i="3"/>
  <c r="AY148" i="3"/>
  <c r="AY448" i="3"/>
  <c r="AY98" i="3"/>
  <c r="AY297" i="3"/>
  <c r="AY228" i="3"/>
  <c r="AY553" i="3"/>
  <c r="AY133" i="3"/>
  <c r="BH6" i="3"/>
  <c r="AY377" i="3"/>
  <c r="AY525" i="3"/>
  <c r="AY64" i="3"/>
  <c r="AY344" i="3"/>
  <c r="AY522" i="3"/>
  <c r="AY140" i="3"/>
  <c r="AY440" i="3"/>
  <c r="AY175" i="3"/>
  <c r="AY432" i="3"/>
  <c r="AY18" i="3"/>
  <c r="AY209" i="3"/>
  <c r="AY358" i="3"/>
  <c r="AY85" i="3"/>
  <c r="AY283" i="3"/>
  <c r="AY104" i="3"/>
  <c r="AY325" i="3"/>
  <c r="BN6" i="3"/>
  <c r="AY174" i="3"/>
  <c r="AY487" i="3"/>
  <c r="AY537" i="3"/>
  <c r="AY301" i="3"/>
  <c r="AY500" i="3"/>
  <c r="AY293" i="3"/>
  <c r="AY521" i="3"/>
  <c r="C61" i="15"/>
  <c r="C67" i="15"/>
  <c r="C26" i="69"/>
  <c r="D22" i="69" s="1"/>
  <c r="C44" i="69"/>
  <c r="D41" i="69" s="1"/>
  <c r="C44" i="68"/>
  <c r="D41" i="68" s="1"/>
  <c r="C26" i="68"/>
  <c r="D22" i="68" s="1"/>
  <c r="C26" i="12"/>
  <c r="D25" i="12" s="1"/>
  <c r="C44" i="11"/>
  <c r="D41" i="11" s="1"/>
  <c r="C23" i="11"/>
  <c r="C26" i="11"/>
  <c r="D22" i="11" s="1"/>
  <c r="C38" i="67"/>
  <c r="C66" i="67"/>
  <c r="C60" i="67"/>
  <c r="C23" i="67"/>
  <c r="C29" i="67" s="1"/>
  <c r="F41" i="79"/>
  <c r="D10" i="78"/>
  <c r="D10" i="84"/>
  <c r="F42" i="85"/>
  <c r="C17" i="79"/>
  <c r="D3" i="21" l="1"/>
  <c r="B2" i="21" s="1"/>
  <c r="B3" i="21" s="1"/>
  <c r="C17" i="4"/>
  <c r="B4" i="52" s="1"/>
  <c r="B43" i="72" s="1"/>
  <c r="D3" i="37"/>
  <c r="D14" i="12"/>
  <c r="C14" i="12" s="1"/>
  <c r="C67" i="85"/>
  <c r="C61" i="85"/>
  <c r="J18" i="85"/>
  <c r="J10" i="85"/>
  <c r="J5" i="85" s="1"/>
  <c r="D37" i="11"/>
  <c r="C37" i="11" s="1"/>
  <c r="D3" i="34"/>
  <c r="B2" i="34" s="1"/>
  <c r="B3" i="34" s="1"/>
  <c r="E6" i="6"/>
  <c r="D6" i="6" s="1"/>
  <c r="D3" i="33"/>
  <c r="B2" i="33" s="1"/>
  <c r="B3" i="33" s="1"/>
  <c r="C19" i="85"/>
  <c r="C20" i="85" s="1"/>
  <c r="C26" i="85" s="1"/>
  <c r="F70" i="85"/>
  <c r="E6" i="3"/>
  <c r="C10" i="84"/>
  <c r="C8" i="84" s="1"/>
  <c r="C5" i="84" s="1"/>
  <c r="D19" i="84"/>
  <c r="C37" i="84" s="1"/>
  <c r="C60" i="79"/>
  <c r="F69" i="79"/>
  <c r="J29" i="79"/>
  <c r="C15" i="15"/>
  <c r="C18" i="15"/>
  <c r="C10" i="78"/>
  <c r="C8" i="78" s="1"/>
  <c r="D19" i="78"/>
  <c r="D37" i="78" s="1"/>
  <c r="C37" i="78" s="1"/>
  <c r="AR7" i="1"/>
  <c r="E7" i="70"/>
  <c r="E2" i="70" s="1"/>
  <c r="T7" i="1"/>
  <c r="T16" i="1" s="1"/>
  <c r="AQ7" i="1"/>
  <c r="E33" i="43"/>
  <c r="G36" i="43"/>
  <c r="I36" i="43" s="1"/>
  <c r="G37" i="43"/>
  <c r="I37" i="43" s="1"/>
  <c r="G35" i="43"/>
  <c r="I35" i="43" s="1"/>
  <c r="E29" i="43"/>
  <c r="G38" i="43"/>
  <c r="I38" i="43" s="1"/>
  <c r="C6" i="78" s="1"/>
  <c r="G34" i="43"/>
  <c r="I34" i="43" s="1"/>
  <c r="E34" i="43"/>
  <c r="G65" i="40"/>
  <c r="H63" i="40"/>
  <c r="C35" i="69"/>
  <c r="C38" i="69"/>
  <c r="D26" i="6"/>
  <c r="D5" i="6"/>
  <c r="H20" i="6"/>
  <c r="D15" i="6"/>
  <c r="H22" i="6"/>
  <c r="D22" i="6"/>
  <c r="D9" i="6"/>
  <c r="H21" i="6"/>
  <c r="D23" i="6"/>
  <c r="D13" i="6"/>
  <c r="D24" i="6"/>
  <c r="D14" i="6"/>
  <c r="D28" i="6"/>
  <c r="D20" i="6"/>
  <c r="D29" i="6"/>
  <c r="D19" i="6"/>
  <c r="E61" i="40"/>
  <c r="H23" i="6"/>
  <c r="H26" i="6"/>
  <c r="H24" i="6"/>
  <c r="D25" i="6"/>
  <c r="C18" i="4"/>
  <c r="D8" i="6"/>
  <c r="D21" i="6"/>
  <c r="D12" i="6"/>
  <c r="D11" i="6"/>
  <c r="D10" i="6"/>
  <c r="H25" i="6"/>
  <c r="O14" i="1"/>
  <c r="O16" i="1" s="1"/>
  <c r="C34" i="68"/>
  <c r="B2" i="37"/>
  <c r="B3" i="37" s="1"/>
  <c r="D17" i="12"/>
  <c r="C17" i="12" s="1"/>
  <c r="C6" i="71"/>
  <c r="T7" i="71"/>
  <c r="D7" i="71"/>
  <c r="U7" i="71" s="1"/>
  <c r="C8" i="74"/>
  <c r="C7" i="74"/>
  <c r="C20" i="11"/>
  <c r="C25" i="11" s="1"/>
  <c r="I19" i="6"/>
  <c r="M27" i="6"/>
  <c r="I68" i="39"/>
  <c r="H70" i="39"/>
  <c r="C24" i="11"/>
  <c r="K48" i="35"/>
  <c r="J60" i="15"/>
  <c r="J61" i="15" s="1"/>
  <c r="C36" i="67"/>
  <c r="C33" i="67"/>
  <c r="C31" i="67" s="1"/>
  <c r="J14" i="67"/>
  <c r="C13" i="67"/>
  <c r="J19" i="67"/>
  <c r="J17" i="67" s="1"/>
  <c r="C57" i="67"/>
  <c r="Q49" i="67"/>
  <c r="J59" i="67"/>
  <c r="J60" i="67" s="1"/>
  <c r="C34" i="78"/>
  <c r="C14" i="79"/>
  <c r="D20" i="12" l="1"/>
  <c r="C20" i="12" s="1"/>
  <c r="C18" i="12" s="1"/>
  <c r="D10" i="69"/>
  <c r="C10" i="69" s="1"/>
  <c r="C8" i="69" s="1"/>
  <c r="C5" i="69" s="1"/>
  <c r="D10" i="11"/>
  <c r="C10" i="11" s="1"/>
  <c r="J24" i="85"/>
  <c r="J26" i="85"/>
  <c r="J29" i="85" s="1"/>
  <c r="L18" i="9"/>
  <c r="D10" i="68"/>
  <c r="D19" i="68" s="1"/>
  <c r="L29" i="84"/>
  <c r="C20" i="84"/>
  <c r="C25" i="84" s="1"/>
  <c r="C23" i="84"/>
  <c r="C23" i="85"/>
  <c r="C29" i="85" s="1"/>
  <c r="C19" i="15"/>
  <c r="C20" i="15" s="1"/>
  <c r="C26" i="15" s="1"/>
  <c r="R21" i="6"/>
  <c r="H34" i="84"/>
  <c r="C38" i="84"/>
  <c r="C35" i="84"/>
  <c r="L28" i="84"/>
  <c r="C15" i="79"/>
  <c r="C18" i="79"/>
  <c r="C38" i="78"/>
  <c r="C35" i="78"/>
  <c r="M19" i="9"/>
  <c r="C118" i="9" s="1"/>
  <c r="C14" i="74" s="1"/>
  <c r="B2" i="74" s="1"/>
  <c r="D7" i="74" s="1"/>
  <c r="R26" i="6"/>
  <c r="C26" i="43"/>
  <c r="B2" i="43" s="1"/>
  <c r="C7" i="78"/>
  <c r="C5" i="78" s="1"/>
  <c r="C27" i="43"/>
  <c r="C22" i="11"/>
  <c r="D30" i="6"/>
  <c r="D16" i="6"/>
  <c r="P14" i="1"/>
  <c r="P16" i="1" s="1"/>
  <c r="C11" i="12" s="1"/>
  <c r="C15" i="12" s="1"/>
  <c r="R23" i="6"/>
  <c r="R24" i="6"/>
  <c r="R20" i="6"/>
  <c r="R7" i="1" s="1"/>
  <c r="H65" i="40"/>
  <c r="I63" i="40"/>
  <c r="J68" i="39"/>
  <c r="I70" i="39"/>
  <c r="D27" i="6"/>
  <c r="R22" i="6"/>
  <c r="S19" i="6"/>
  <c r="S27" i="6" s="1"/>
  <c r="I27" i="6"/>
  <c r="C28" i="11"/>
  <c r="C27" i="11" s="1"/>
  <c r="C10" i="68"/>
  <c r="C8" i="68" s="1"/>
  <c r="H19" i="6"/>
  <c r="H27" i="6" s="1"/>
  <c r="L48" i="35"/>
  <c r="C4" i="52"/>
  <c r="B45" i="72" s="1"/>
  <c r="A7" i="51"/>
  <c r="B7" i="72" s="1"/>
  <c r="A10" i="51"/>
  <c r="B9" i="72" s="1"/>
  <c r="R25" i="6"/>
  <c r="N16" i="1"/>
  <c r="L16" i="1"/>
  <c r="C34" i="11"/>
  <c r="C5" i="71"/>
  <c r="D6" i="71"/>
  <c r="Q49" i="15"/>
  <c r="L47" i="15"/>
  <c r="J13" i="67"/>
  <c r="J23" i="67" s="1"/>
  <c r="J22" i="67"/>
  <c r="C61" i="67"/>
  <c r="C59" i="67" s="1"/>
  <c r="C64" i="67"/>
  <c r="Q48" i="67"/>
  <c r="L46" i="67"/>
  <c r="C56" i="67"/>
  <c r="C65" i="67" s="1"/>
  <c r="C75" i="67"/>
  <c r="Q70" i="67"/>
  <c r="C37" i="67"/>
  <c r="C30" i="67" s="1"/>
  <c r="C39" i="67" s="1"/>
  <c r="E6" i="76"/>
  <c r="B6" i="76"/>
  <c r="L51" i="67"/>
  <c r="D19" i="69" l="1"/>
  <c r="D37" i="69" s="1"/>
  <c r="C37" i="69" s="1"/>
  <c r="C33" i="69" s="1"/>
  <c r="C22" i="84"/>
  <c r="C28" i="84"/>
  <c r="C27" i="84" s="1"/>
  <c r="J14" i="85"/>
  <c r="J13" i="85" s="1"/>
  <c r="J23" i="85" s="1"/>
  <c r="J60" i="85"/>
  <c r="J61" i="85" s="1"/>
  <c r="Q49" i="85" s="1"/>
  <c r="C36" i="85"/>
  <c r="C33" i="85"/>
  <c r="J19" i="85"/>
  <c r="C13" i="85"/>
  <c r="Q71" i="85" s="1"/>
  <c r="Q50" i="85"/>
  <c r="C58" i="85"/>
  <c r="C65" i="85" s="1"/>
  <c r="H34" i="68"/>
  <c r="C33" i="84"/>
  <c r="H33" i="84" s="1"/>
  <c r="F50" i="78"/>
  <c r="F50" i="84"/>
  <c r="L27" i="84"/>
  <c r="H35" i="84"/>
  <c r="D8" i="74"/>
  <c r="C19" i="79"/>
  <c r="C20" i="79" s="1"/>
  <c r="C26" i="79" s="1"/>
  <c r="C33" i="78"/>
  <c r="C39" i="78" s="1"/>
  <c r="C43" i="78" s="1"/>
  <c r="C5" i="68"/>
  <c r="C23" i="68" s="1"/>
  <c r="L28" i="68"/>
  <c r="L19" i="9"/>
  <c r="C23" i="15"/>
  <c r="C29" i="15" s="1"/>
  <c r="B2" i="76"/>
  <c r="B3" i="43"/>
  <c r="C20" i="78"/>
  <c r="C25" i="78" s="1"/>
  <c r="C23" i="78"/>
  <c r="E2" i="76"/>
  <c r="C31" i="11"/>
  <c r="D31" i="6"/>
  <c r="I6" i="6" s="1"/>
  <c r="C12" i="12"/>
  <c r="C16" i="12" s="1"/>
  <c r="C21" i="12" s="1"/>
  <c r="C22" i="12" s="1"/>
  <c r="C30" i="12" s="1"/>
  <c r="C28" i="12" s="1"/>
  <c r="J63" i="40"/>
  <c r="I65" i="40"/>
  <c r="F50" i="68"/>
  <c r="F50" i="11"/>
  <c r="F50" i="69"/>
  <c r="C19" i="68"/>
  <c r="M48" i="35"/>
  <c r="C35" i="68"/>
  <c r="H35" i="68" s="1"/>
  <c r="C38" i="68"/>
  <c r="D5" i="71"/>
  <c r="M20" i="43" s="1"/>
  <c r="R19" i="6"/>
  <c r="C38" i="11"/>
  <c r="C35" i="11"/>
  <c r="C23" i="69"/>
  <c r="K68" i="39"/>
  <c r="J70" i="39"/>
  <c r="J16" i="67"/>
  <c r="J25" i="67" s="1"/>
  <c r="C80" i="67"/>
  <c r="C79" i="67" s="1"/>
  <c r="C58" i="67"/>
  <c r="C67" i="67" s="1"/>
  <c r="C68" i="67" s="1"/>
  <c r="Q69" i="67"/>
  <c r="Q68" i="67" s="1"/>
  <c r="C40" i="67"/>
  <c r="C19" i="69" l="1"/>
  <c r="C24" i="69" s="1"/>
  <c r="J22" i="85"/>
  <c r="C31" i="84"/>
  <c r="C57" i="85"/>
  <c r="C66" i="85" s="1"/>
  <c r="C62" i="85"/>
  <c r="C37" i="85"/>
  <c r="C76" i="85"/>
  <c r="C42" i="84"/>
  <c r="C39" i="84"/>
  <c r="C46" i="84" s="1"/>
  <c r="C45" i="84" s="1"/>
  <c r="L29" i="68"/>
  <c r="L27" i="68"/>
  <c r="C42" i="78"/>
  <c r="C41" i="78" s="1"/>
  <c r="C46" i="78"/>
  <c r="C45" i="78" s="1"/>
  <c r="C23" i="79"/>
  <c r="C29" i="79" s="1"/>
  <c r="C58" i="15"/>
  <c r="C33" i="15"/>
  <c r="Q50" i="15"/>
  <c r="J14" i="15"/>
  <c r="C36" i="15"/>
  <c r="C13" i="15"/>
  <c r="J19" i="15"/>
  <c r="B3" i="76"/>
  <c r="C22" i="78"/>
  <c r="C28" i="78"/>
  <c r="C27" i="78" s="1"/>
  <c r="R27" i="6"/>
  <c r="R6" i="1"/>
  <c r="I5" i="6"/>
  <c r="C33" i="11"/>
  <c r="C39" i="11" s="1"/>
  <c r="K63" i="40"/>
  <c r="J65" i="40"/>
  <c r="C33" i="68"/>
  <c r="H33" i="68" s="1"/>
  <c r="C27" i="12"/>
  <c r="C25" i="12" s="1"/>
  <c r="C32" i="12" s="1"/>
  <c r="B2" i="12" s="1"/>
  <c r="B3" i="12" s="1"/>
  <c r="C20" i="69"/>
  <c r="C28" i="69" s="1"/>
  <c r="C27" i="69" s="1"/>
  <c r="C20" i="68"/>
  <c r="C25" i="68" s="1"/>
  <c r="C24" i="68"/>
  <c r="L68" i="39"/>
  <c r="K70" i="39"/>
  <c r="C39" i="69"/>
  <c r="C43" i="69" s="1"/>
  <c r="C42" i="69"/>
  <c r="N48" i="35"/>
  <c r="O48" i="35" s="1"/>
  <c r="H7" i="35" s="1"/>
  <c r="J7" i="35"/>
  <c r="Q67" i="67"/>
  <c r="L57" i="67"/>
  <c r="L60" i="67" s="1"/>
  <c r="C45" i="67"/>
  <c r="C46" i="67" s="1"/>
  <c r="C71" i="67"/>
  <c r="C43" i="67"/>
  <c r="D2" i="67"/>
  <c r="Q47" i="67"/>
  <c r="Q53" i="67" s="1"/>
  <c r="Q56" i="67"/>
  <c r="Q65" i="67"/>
  <c r="C83" i="67"/>
  <c r="C82" i="67" s="1"/>
  <c r="M21" i="15"/>
  <c r="F35" i="85"/>
  <c r="F35" i="15"/>
  <c r="F35" i="79"/>
  <c r="M21" i="79"/>
  <c r="M21" i="85"/>
  <c r="F7" i="35" l="1"/>
  <c r="C43" i="84"/>
  <c r="C41" i="84" s="1"/>
  <c r="H41" i="84" s="1"/>
  <c r="J20" i="85"/>
  <c r="J17" i="85" s="1"/>
  <c r="J16" i="85" s="1"/>
  <c r="J25" i="85" s="1"/>
  <c r="C34" i="85"/>
  <c r="C31" i="85" s="1"/>
  <c r="C30" i="85" s="1"/>
  <c r="C40" i="85" s="1"/>
  <c r="F64" i="85"/>
  <c r="C63" i="85" s="1"/>
  <c r="C60" i="85" s="1"/>
  <c r="C59" i="85" s="1"/>
  <c r="C68" i="85" s="1"/>
  <c r="C69" i="85" s="1"/>
  <c r="C39" i="68"/>
  <c r="C43" i="68" s="1"/>
  <c r="C49" i="78"/>
  <c r="C51" i="78" s="1"/>
  <c r="C62" i="15"/>
  <c r="C65" i="15"/>
  <c r="Q71" i="15"/>
  <c r="C76" i="15"/>
  <c r="C57" i="15"/>
  <c r="C66" i="15" s="1"/>
  <c r="C37" i="15"/>
  <c r="J13" i="15"/>
  <c r="J23" i="15" s="1"/>
  <c r="J22" i="15"/>
  <c r="J14" i="79"/>
  <c r="C33" i="79"/>
  <c r="C36" i="79"/>
  <c r="J19" i="79"/>
  <c r="C57" i="79"/>
  <c r="C13" i="79"/>
  <c r="Q49" i="79"/>
  <c r="F63" i="79"/>
  <c r="C62" i="79" s="1"/>
  <c r="C34" i="79"/>
  <c r="J20" i="79"/>
  <c r="C31" i="78"/>
  <c r="F64" i="15"/>
  <c r="C63" i="15" s="1"/>
  <c r="C34" i="15"/>
  <c r="C31" i="15" s="1"/>
  <c r="J20" i="15"/>
  <c r="J17" i="15" s="1"/>
  <c r="R16" i="1"/>
  <c r="C42" i="11"/>
  <c r="C43" i="11"/>
  <c r="C46" i="11"/>
  <c r="C45" i="11" s="1"/>
  <c r="C42" i="68"/>
  <c r="C46" i="69"/>
  <c r="C45" i="69" s="1"/>
  <c r="C28" i="68"/>
  <c r="C27" i="68" s="1"/>
  <c r="C25" i="69"/>
  <c r="C22" i="69" s="1"/>
  <c r="C31" i="69" s="1"/>
  <c r="L63" i="40"/>
  <c r="K65" i="40"/>
  <c r="W7" i="35"/>
  <c r="AC7" i="35"/>
  <c r="V38" i="35" s="1"/>
  <c r="I38" i="35" s="1"/>
  <c r="M68" i="39"/>
  <c r="L70" i="39"/>
  <c r="C22" i="68"/>
  <c r="AB7" i="35"/>
  <c r="T38" i="35" s="1"/>
  <c r="G38" i="35" s="1"/>
  <c r="U7" i="35"/>
  <c r="S7" i="35"/>
  <c r="AA7" i="35"/>
  <c r="R38" i="35" s="1"/>
  <c r="C41" i="69"/>
  <c r="Q66" i="67"/>
  <c r="Q75" i="67" s="1"/>
  <c r="Q57" i="67"/>
  <c r="Q62" i="67" s="1"/>
  <c r="B2" i="67"/>
  <c r="B3" i="67"/>
  <c r="C49" i="84" l="1"/>
  <c r="C51" i="84" s="1"/>
  <c r="C52" i="84" s="1"/>
  <c r="C72" i="85"/>
  <c r="Q70" i="85"/>
  <c r="Q69" i="85" s="1"/>
  <c r="C41" i="85"/>
  <c r="C81" i="85"/>
  <c r="C80" i="85" s="1"/>
  <c r="C46" i="68"/>
  <c r="C45" i="68" s="1"/>
  <c r="J17" i="79"/>
  <c r="C52" i="78"/>
  <c r="C57" i="78" s="1"/>
  <c r="C56" i="78" s="1"/>
  <c r="J16" i="15"/>
  <c r="J25" i="15" s="1"/>
  <c r="C60" i="15"/>
  <c r="C59" i="15" s="1"/>
  <c r="C68" i="15" s="1"/>
  <c r="C69" i="15" s="1"/>
  <c r="C72" i="15" s="1"/>
  <c r="C31" i="79"/>
  <c r="C37" i="79"/>
  <c r="Q70" i="79"/>
  <c r="C75" i="79"/>
  <c r="C56" i="79"/>
  <c r="C65" i="79" s="1"/>
  <c r="C61" i="79"/>
  <c r="C59" i="79" s="1"/>
  <c r="C64" i="79"/>
  <c r="J22" i="79"/>
  <c r="J13" i="79"/>
  <c r="J23" i="79" s="1"/>
  <c r="C30" i="15"/>
  <c r="C40" i="15" s="1"/>
  <c r="C41" i="11"/>
  <c r="C49" i="11" s="1"/>
  <c r="C51" i="11" s="1"/>
  <c r="C52" i="11" s="1"/>
  <c r="B2" i="11" s="1"/>
  <c r="B3" i="11" s="1"/>
  <c r="C41" i="68"/>
  <c r="C49" i="69"/>
  <c r="C51" i="69" s="1"/>
  <c r="C52" i="69" s="1"/>
  <c r="B2" i="69" s="1"/>
  <c r="B3" i="69" s="1"/>
  <c r="C31" i="68"/>
  <c r="L65" i="40"/>
  <c r="M63" i="40"/>
  <c r="N68" i="39"/>
  <c r="M70" i="39"/>
  <c r="I42" i="35"/>
  <c r="J42" i="35" s="1"/>
  <c r="E38" i="35"/>
  <c r="R39" i="35"/>
  <c r="G42" i="35"/>
  <c r="H42" i="35" s="1"/>
  <c r="G43" i="35"/>
  <c r="H43" i="35" s="1"/>
  <c r="L52" i="15"/>
  <c r="L52" i="85"/>
  <c r="C57" i="84" l="1"/>
  <c r="C56" i="84" s="1"/>
  <c r="H52" i="84"/>
  <c r="B2" i="84"/>
  <c r="L32" i="84"/>
  <c r="L33" i="84" s="1"/>
  <c r="Q68" i="85"/>
  <c r="L58" i="85"/>
  <c r="L61" i="85" s="1"/>
  <c r="Q66" i="85"/>
  <c r="C44" i="85"/>
  <c r="Q57" i="85"/>
  <c r="Q48" i="85"/>
  <c r="Q54" i="85" s="1"/>
  <c r="C84" i="85"/>
  <c r="C83" i="85" s="1"/>
  <c r="C47" i="85"/>
  <c r="C49" i="68"/>
  <c r="C51" i="68" s="1"/>
  <c r="C52" i="68" s="1"/>
  <c r="H41" i="68"/>
  <c r="B2" i="78"/>
  <c r="C30" i="79"/>
  <c r="C39" i="79" s="1"/>
  <c r="Q69" i="79" s="1"/>
  <c r="Q68" i="79" s="1"/>
  <c r="J16" i="79"/>
  <c r="J25" i="79" s="1"/>
  <c r="C58" i="79"/>
  <c r="C67" i="79" s="1"/>
  <c r="C68" i="79" s="1"/>
  <c r="C71" i="79" s="1"/>
  <c r="L57" i="79"/>
  <c r="L60" i="79" s="1"/>
  <c r="Q68" i="15"/>
  <c r="L58" i="15"/>
  <c r="L61" i="15" s="1"/>
  <c r="Q58" i="15" s="1"/>
  <c r="C41" i="15"/>
  <c r="Q66" i="15" s="1"/>
  <c r="C81" i="15"/>
  <c r="C80" i="15" s="1"/>
  <c r="Q70" i="15"/>
  <c r="Q69" i="15" s="1"/>
  <c r="C56" i="11"/>
  <c r="C57" i="11" s="1"/>
  <c r="M65" i="40"/>
  <c r="N63" i="40"/>
  <c r="C57" i="69"/>
  <c r="C56" i="69" s="1"/>
  <c r="N70" i="39"/>
  <c r="O68" i="39"/>
  <c r="O70" i="39" s="1"/>
  <c r="C38" i="35"/>
  <c r="C39" i="35"/>
  <c r="B2" i="35" s="1"/>
  <c r="B3" i="35" s="1"/>
  <c r="E43" i="35"/>
  <c r="F43" i="35" s="1"/>
  <c r="E42" i="35"/>
  <c r="F42" i="35" s="1"/>
  <c r="I43" i="35"/>
  <c r="J43" i="35" s="1"/>
  <c r="B3" i="78"/>
  <c r="B3" i="84"/>
  <c r="D4" i="82" l="1"/>
  <c r="H52" i="68"/>
  <c r="L47" i="85"/>
  <c r="B2" i="85" s="1"/>
  <c r="B3" i="85" s="1"/>
  <c r="D3" i="82" s="1"/>
  <c r="Q58" i="85"/>
  <c r="Q63" i="85" s="1"/>
  <c r="Q67" i="85"/>
  <c r="Q76" i="85" s="1"/>
  <c r="C80" i="79"/>
  <c r="C79" i="79" s="1"/>
  <c r="C40" i="79"/>
  <c r="C46" i="79" s="1"/>
  <c r="B2" i="68"/>
  <c r="L32" i="68"/>
  <c r="L33" i="68" s="1"/>
  <c r="L46" i="79"/>
  <c r="Q57" i="79"/>
  <c r="Q66" i="79"/>
  <c r="C47" i="15"/>
  <c r="Q67" i="15"/>
  <c r="Q76" i="15" s="1"/>
  <c r="C44" i="15"/>
  <c r="Q57" i="15"/>
  <c r="Q63" i="15" s="1"/>
  <c r="C84" i="15"/>
  <c r="C83" i="15" s="1"/>
  <c r="Q48" i="15"/>
  <c r="Q54" i="15" s="1"/>
  <c r="B2" i="15"/>
  <c r="C57" i="68"/>
  <c r="C56" i="68" s="1"/>
  <c r="O63" i="40"/>
  <c r="O65" i="40" s="1"/>
  <c r="N65" i="40"/>
  <c r="H7" i="40" s="1"/>
  <c r="J7" i="40"/>
  <c r="F7" i="39"/>
  <c r="J7" i="39"/>
  <c r="H7" i="39"/>
  <c r="C19" i="9"/>
  <c r="D19" i="9"/>
  <c r="B3" i="68"/>
  <c r="L51" i="79"/>
  <c r="C4" i="82" l="1"/>
  <c r="F7" i="40"/>
  <c r="D5" i="82"/>
  <c r="D6" i="82" s="1"/>
  <c r="Q67" i="79"/>
  <c r="B2" i="79"/>
  <c r="Q65" i="79"/>
  <c r="Q75" i="79" s="1"/>
  <c r="Q47" i="79"/>
  <c r="Q53" i="79" s="1"/>
  <c r="C83" i="79"/>
  <c r="C82" i="79" s="1"/>
  <c r="C43" i="79"/>
  <c r="Q56" i="79"/>
  <c r="Q62" i="79" s="1"/>
  <c r="C20" i="9"/>
  <c r="K25" i="9" s="1"/>
  <c r="D102" i="9"/>
  <c r="D21" i="9"/>
  <c r="B3" i="15"/>
  <c r="G19" i="9"/>
  <c r="I20" i="9" s="1"/>
  <c r="C21" i="9"/>
  <c r="D22" i="9"/>
  <c r="C102" i="9"/>
  <c r="AC7" i="40"/>
  <c r="V42" i="40" s="1"/>
  <c r="I42" i="40" s="1"/>
  <c r="I46" i="40" s="1"/>
  <c r="J46" i="40" s="1"/>
  <c r="W7" i="40"/>
  <c r="U7" i="40"/>
  <c r="AB7" i="40"/>
  <c r="T42" i="40" s="1"/>
  <c r="G42" i="40" s="1"/>
  <c r="S7" i="40"/>
  <c r="AA7" i="40"/>
  <c r="R42" i="40" s="1"/>
  <c r="S7" i="39"/>
  <c r="AA7" i="39"/>
  <c r="R47" i="39" s="1"/>
  <c r="U7" i="39"/>
  <c r="AB7" i="39"/>
  <c r="T47" i="39" s="1"/>
  <c r="G47" i="39" s="1"/>
  <c r="W7" i="39"/>
  <c r="AC7" i="39"/>
  <c r="V47" i="39" s="1"/>
  <c r="I47" i="39" s="1"/>
  <c r="AO7" i="1"/>
  <c r="D20" i="9"/>
  <c r="C103" i="9" l="1"/>
  <c r="B7" i="70"/>
  <c r="B3" i="79"/>
  <c r="K26" i="9"/>
  <c r="G21" i="9"/>
  <c r="C32" i="9"/>
  <c r="C35" i="9" s="1"/>
  <c r="F118" i="9" s="1"/>
  <c r="D103" i="9"/>
  <c r="G20" i="9"/>
  <c r="K27" i="9" s="1"/>
  <c r="C3" i="82"/>
  <c r="C14" i="82" s="1"/>
  <c r="G47" i="40"/>
  <c r="H47" i="40" s="1"/>
  <c r="G46" i="40"/>
  <c r="H46" i="40" s="1"/>
  <c r="R43" i="40"/>
  <c r="E42" i="40"/>
  <c r="G52" i="39"/>
  <c r="H52" i="39" s="1"/>
  <c r="G51" i="39"/>
  <c r="H51" i="39" s="1"/>
  <c r="I51" i="39"/>
  <c r="J51" i="39" s="1"/>
  <c r="R48" i="39"/>
  <c r="E47" i="39"/>
  <c r="I52" i="39" s="1"/>
  <c r="J52" i="39" s="1"/>
  <c r="C5" i="82" l="1"/>
  <c r="C6" i="82" s="1"/>
  <c r="H118" i="9"/>
  <c r="H4" i="52" s="1"/>
  <c r="C34" i="9"/>
  <c r="D118" i="9" s="1"/>
  <c r="F4" i="52"/>
  <c r="B51" i="72" s="1"/>
  <c r="F119" i="9"/>
  <c r="F5" i="52" s="1"/>
  <c r="B53" i="72" s="1"/>
  <c r="G118" i="9"/>
  <c r="G4" i="52" s="1"/>
  <c r="B52" i="72" s="1"/>
  <c r="C42" i="40"/>
  <c r="C43" i="40"/>
  <c r="I47" i="40"/>
  <c r="J47" i="40" s="1"/>
  <c r="E46" i="40"/>
  <c r="F46" i="40" s="1"/>
  <c r="E47" i="40"/>
  <c r="F47" i="40" s="1"/>
  <c r="C48" i="39"/>
  <c r="C47" i="39"/>
  <c r="E52" i="39"/>
  <c r="F52" i="39" s="1"/>
  <c r="E51" i="39"/>
  <c r="F51" i="39" s="1"/>
  <c r="C7" i="82" l="1"/>
  <c r="C8" i="82" s="1"/>
  <c r="I118" i="9"/>
  <c r="C105" i="9" s="1"/>
  <c r="D14" i="74"/>
  <c r="B5" i="74" s="1"/>
  <c r="H119" i="9"/>
  <c r="H5" i="52" s="1"/>
  <c r="C104" i="9"/>
  <c r="H101" i="9"/>
  <c r="H107" i="9" s="1"/>
  <c r="D4" i="52"/>
  <c r="B47" i="72" s="1"/>
  <c r="D119" i="9"/>
  <c r="D5" i="52" s="1"/>
  <c r="B49" i="72" s="1"/>
  <c r="B57" i="40"/>
  <c r="F57" i="40" s="1"/>
  <c r="B53" i="40"/>
  <c r="F53" i="40" s="1"/>
  <c r="B51" i="40"/>
  <c r="F51" i="40" s="1"/>
  <c r="B59" i="40"/>
  <c r="F59" i="40" s="1"/>
  <c r="B55" i="40"/>
  <c r="F55" i="40" s="1"/>
  <c r="F61" i="40"/>
  <c r="B2" i="40" s="1"/>
  <c r="B3" i="40" s="1"/>
  <c r="B52" i="40"/>
  <c r="F52" i="40" s="1"/>
  <c r="B56" i="40"/>
  <c r="F56" i="40" s="1"/>
  <c r="B54" i="40"/>
  <c r="F54" i="40" s="1"/>
  <c r="B60" i="40"/>
  <c r="F60" i="40" s="1"/>
  <c r="B58" i="40"/>
  <c r="F58" i="40" s="1"/>
  <c r="B65" i="39"/>
  <c r="F65" i="39" s="1"/>
  <c r="B62" i="39"/>
  <c r="F62" i="39" s="1"/>
  <c r="B64" i="39"/>
  <c r="F64" i="39" s="1"/>
  <c r="B56" i="39"/>
  <c r="F56" i="39" s="1"/>
  <c r="F66" i="39" s="1"/>
  <c r="B2" i="39" s="1"/>
  <c r="B3" i="39" s="1"/>
  <c r="B59" i="39"/>
  <c r="F59" i="39" s="1"/>
  <c r="B63" i="39"/>
  <c r="F63" i="39" s="1"/>
  <c r="B58" i="39"/>
  <c r="F58" i="39" s="1"/>
  <c r="B57" i="39"/>
  <c r="F57" i="39" s="1"/>
  <c r="B60" i="39"/>
  <c r="F60" i="39" s="1"/>
  <c r="B61" i="39"/>
  <c r="F61" i="39" s="1"/>
  <c r="F14" i="74" l="1"/>
  <c r="E14" i="74"/>
  <c r="E118" i="9"/>
  <c r="E4" i="52" s="1"/>
  <c r="B48" i="72" s="1"/>
  <c r="H102" i="9"/>
  <c r="D7" i="53" s="1"/>
  <c r="B21" i="72" s="1"/>
  <c r="I4" i="52"/>
  <c r="D5" i="53"/>
  <c r="D6" i="53" s="1"/>
  <c r="B22" i="72" s="1"/>
  <c r="M48" i="9"/>
  <c r="D45" i="9"/>
  <c r="D52" i="9" s="1"/>
  <c r="C5" i="74"/>
  <c r="D5" i="74"/>
  <c r="H108" i="9"/>
  <c r="D15" i="53" s="1"/>
  <c r="B31" i="72" s="1"/>
  <c r="D13" i="53"/>
  <c r="D122" i="9"/>
  <c r="B20" i="72" l="1"/>
  <c r="C85" i="9"/>
  <c r="C64" i="9"/>
  <c r="C63" i="9" s="1"/>
  <c r="C67" i="9" s="1"/>
  <c r="C68" i="9" s="1"/>
  <c r="D54" i="9" s="1"/>
  <c r="D53" i="9"/>
  <c r="C78" i="9"/>
  <c r="C73" i="9" s="1"/>
  <c r="C72" i="9"/>
  <c r="D55" i="9"/>
  <c r="M53" i="9" s="1"/>
  <c r="C93" i="9"/>
  <c r="C86" i="9" s="1"/>
  <c r="B30" i="72"/>
  <c r="D14" i="53"/>
  <c r="B32" i="72" s="1"/>
  <c r="G14" i="74"/>
  <c r="B6" i="74" s="1"/>
  <c r="D123" i="9"/>
  <c r="D9" i="52" s="1"/>
  <c r="D8" i="52"/>
  <c r="C79" i="9" l="1"/>
  <c r="C80" i="9" s="1"/>
  <c r="E80" i="9" s="1"/>
  <c r="E81" i="9" s="1"/>
  <c r="C95" i="9"/>
  <c r="C96" i="9" s="1"/>
  <c r="E96" i="9" s="1"/>
  <c r="E97" i="9" s="1"/>
  <c r="D6" i="74"/>
  <c r="C6" i="74"/>
  <c r="C81" i="9" l="1"/>
  <c r="C97" i="9"/>
  <c r="D58" i="9" s="1"/>
  <c r="D56" i="9" s="1"/>
  <c r="M54" i="9" s="1"/>
  <c r="N57" i="9" s="1"/>
  <c r="N59" i="9" s="1"/>
  <c r="N58" i="9" l="1"/>
  <c r="P57" i="9"/>
  <c r="N61" i="9"/>
  <c r="N60" i="9"/>
  <c r="AO6" i="1"/>
  <c r="B6" i="70" l="1"/>
  <c r="B2" i="70" s="1"/>
  <c r="B3" i="70" s="1"/>
  <c r="L25" i="9" l="1"/>
  <c r="L26" i="9" l="1"/>
  <c r="L2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rgb="FF000000"/>
            <rFont val="宋体"/>
            <family val="3"/>
            <charset val="134"/>
          </rPr>
          <t>个人房产计综合税率：个人住宅</t>
        </r>
        <r>
          <rPr>
            <b/>
            <sz val="9"/>
            <color rgb="FF000000"/>
            <rFont val="宋体"/>
            <family val="3"/>
            <charset val="134"/>
          </rPr>
          <t>4.5%</t>
        </r>
        <r>
          <rPr>
            <b/>
            <sz val="9"/>
            <color rgb="FF000000"/>
            <rFont val="宋体"/>
            <family val="3"/>
            <charset val="134"/>
          </rPr>
          <t>；个人非住宅，月租</t>
        </r>
        <r>
          <rPr>
            <b/>
            <sz val="9"/>
            <color rgb="FF000000"/>
            <rFont val="宋体"/>
            <family val="3"/>
            <charset val="134"/>
          </rPr>
          <t>2</t>
        </r>
        <r>
          <rPr>
            <b/>
            <sz val="9"/>
            <color rgb="FF000000"/>
            <rFont val="宋体"/>
            <family val="3"/>
            <charset val="134"/>
          </rPr>
          <t>万（含）以下的</t>
        </r>
        <r>
          <rPr>
            <b/>
            <sz val="9"/>
            <color rgb="FF000000"/>
            <rFont val="宋体"/>
            <family val="3"/>
            <charset val="134"/>
          </rPr>
          <t>6%</t>
        </r>
        <r>
          <rPr>
            <b/>
            <sz val="9"/>
            <color rgb="FF000000"/>
            <rFont val="宋体"/>
            <family val="3"/>
            <charset val="134"/>
          </rPr>
          <t>，</t>
        </r>
        <r>
          <rPr>
            <b/>
            <sz val="9"/>
            <color rgb="FF000000"/>
            <rFont val="宋体"/>
            <family val="3"/>
            <charset val="134"/>
          </rPr>
          <t>2</t>
        </r>
        <r>
          <rPr>
            <b/>
            <sz val="9"/>
            <color rgb="FF000000"/>
            <rFont val="宋体"/>
            <family val="3"/>
            <charset val="134"/>
          </rPr>
          <t>万以上的</t>
        </r>
        <r>
          <rPr>
            <b/>
            <sz val="9"/>
            <color rgb="FF000000"/>
            <rFont val="宋体"/>
            <family val="3"/>
            <charset val="134"/>
          </rPr>
          <t>11%</t>
        </r>
        <r>
          <rPr>
            <sz val="9"/>
            <color rgb="FF000000"/>
            <rFont val="宋体"/>
            <family val="3"/>
            <charset val="134"/>
          </rPr>
          <t xml:space="preserve">
</t>
        </r>
      </text>
    </comment>
    <comment ref="I53" authorId="1" shapeId="0" xr:uid="{00000000-0006-0000-19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3" authorId="1" shapeId="0" xr:uid="{00000000-0006-0000-1900-00000300000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6" authorId="1" shapeId="0" xr:uid="{00000000-0006-0000-1900-000004000000}">
      <text>
        <r>
          <rPr>
            <sz val="11"/>
            <color rgb="FF000000"/>
            <rFont val="宋体"/>
            <family val="3"/>
            <charset val="134"/>
          </rPr>
          <t>采用租约时，尽量不选用收益还原法</t>
        </r>
        <r>
          <rPr>
            <sz val="9"/>
            <color rgb="FF000000"/>
            <rFont val="宋体"/>
            <family val="3"/>
            <charset val="134"/>
          </rPr>
          <t xml:space="preserve">
</t>
        </r>
      </text>
    </comment>
    <comment ref="I57" authorId="1" shapeId="0" xr:uid="{00000000-0006-0000-1900-000005000000}">
      <text>
        <r>
          <rPr>
            <sz val="11"/>
            <color rgb="FF000000"/>
            <rFont val="宋体"/>
            <family val="3"/>
            <charset val="134"/>
          </rPr>
          <t>在建项目均选择“是”</t>
        </r>
      </text>
    </comment>
    <comment ref="F60"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0" authorId="1" shapeId="0" xr:uid="{00000000-0006-0000-1900-000007000000}">
      <text>
        <r>
          <rPr>
            <sz val="10"/>
            <color rgb="FF000000"/>
            <rFont val="宋体"/>
            <family val="3"/>
            <charset val="134"/>
          </rPr>
          <t>在建</t>
        </r>
        <r>
          <rPr>
            <sz val="10"/>
            <color rgb="FF000000"/>
            <rFont val="宋体"/>
            <family val="3"/>
            <charset val="134"/>
          </rPr>
          <t xml:space="preserve">
</t>
        </r>
      </text>
    </comment>
    <comment ref="N60" authorId="1" shapeId="0" xr:uid="{00000000-0006-0000-1900-000008000000}">
      <text>
        <r>
          <rPr>
            <sz val="10"/>
            <color rgb="FF000000"/>
            <rFont val="宋体"/>
            <family val="3"/>
            <charset val="134"/>
          </rPr>
          <t>土地</t>
        </r>
        <r>
          <rPr>
            <sz val="10"/>
            <color rgb="FF000000"/>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1" shapeId="0" xr:uid="{00000000-0006-0000-1A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3" authorId="1" shapeId="0" xr:uid="{00000000-0006-0000-1A00-00000300000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6" authorId="1" shapeId="0" xr:uid="{00000000-0006-0000-1A00-000004000000}">
      <text>
        <r>
          <rPr>
            <sz val="11"/>
            <color rgb="FF000000"/>
            <rFont val="宋体"/>
            <family val="3"/>
            <charset val="134"/>
          </rPr>
          <t>采用租约时，尽量不选用收益还原法</t>
        </r>
        <r>
          <rPr>
            <sz val="9"/>
            <color rgb="FF000000"/>
            <rFont val="宋体"/>
            <family val="3"/>
            <charset val="134"/>
          </rPr>
          <t xml:space="preserve">
</t>
        </r>
      </text>
    </comment>
    <comment ref="I57" authorId="1" shapeId="0" xr:uid="{00000000-0006-0000-1A00-000005000000}">
      <text>
        <r>
          <rPr>
            <sz val="11"/>
            <color rgb="FF000000"/>
            <rFont val="宋体"/>
            <family val="3"/>
            <charset val="134"/>
          </rPr>
          <t>在建项目均选择“是”</t>
        </r>
      </text>
    </comment>
    <comment ref="F60" authorId="0"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0" authorId="1" shapeId="0" xr:uid="{00000000-0006-0000-1A00-000007000000}">
      <text>
        <r>
          <rPr>
            <sz val="10"/>
            <color rgb="FF000000"/>
            <rFont val="宋体"/>
            <family val="3"/>
            <charset val="134"/>
          </rPr>
          <t>在建</t>
        </r>
        <r>
          <rPr>
            <sz val="10"/>
            <color rgb="FF000000"/>
            <rFont val="宋体"/>
            <family val="3"/>
            <charset val="134"/>
          </rPr>
          <t xml:space="preserve">
</t>
        </r>
      </text>
    </comment>
    <comment ref="N60" authorId="1" shapeId="0" xr:uid="{00000000-0006-0000-1A00-000008000000}">
      <text>
        <r>
          <rPr>
            <sz val="10"/>
            <color rgb="FF000000"/>
            <rFont val="宋体"/>
            <family val="3"/>
            <charset val="134"/>
          </rPr>
          <t>土地</t>
        </r>
        <r>
          <rPr>
            <sz val="10"/>
            <color rgb="FF000000"/>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xr:uid="{00000000-0006-0000-1C00-00000300000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shapeId="0" xr:uid="{00000000-0006-0000-1C00-000004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xr:uid="{00000000-0006-0000-1C00-000005000000}">
      <text>
        <r>
          <rPr>
            <sz val="11"/>
            <color rgb="FF000000"/>
            <rFont val="宋体"/>
            <family val="3"/>
            <charset val="134"/>
          </rPr>
          <t>在建项目均选择“是”</t>
        </r>
      </text>
    </comment>
    <comment ref="F59"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C00-000007000000}">
      <text>
        <r>
          <rPr>
            <sz val="10"/>
            <color rgb="FF000000"/>
            <rFont val="宋体"/>
            <family val="3"/>
            <charset val="134"/>
          </rPr>
          <t>在建</t>
        </r>
        <r>
          <rPr>
            <sz val="10"/>
            <color rgb="FF000000"/>
            <rFont val="宋体"/>
            <family val="3"/>
            <charset val="134"/>
          </rPr>
          <t xml:space="preserve">
</t>
        </r>
      </text>
    </comment>
    <comment ref="N59" authorId="1" shapeId="0" xr:uid="{00000000-0006-0000-1C00-000008000000}">
      <text>
        <r>
          <rPr>
            <sz val="10"/>
            <color rgb="FF000000"/>
            <rFont val="宋体"/>
            <family val="3"/>
            <charset val="134"/>
          </rPr>
          <t>土地</t>
        </r>
        <r>
          <rPr>
            <sz val="10"/>
            <color rgb="FF000000"/>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E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F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0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0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xr:uid="{00000000-0006-0000-2000-000003000000}">
      <text>
        <r>
          <rPr>
            <sz val="10"/>
            <color rgb="FF000000"/>
            <rFont val="宋体"/>
            <family val="3"/>
            <charset val="134"/>
          </rPr>
          <t>需注意，采用基准地价系数修正法中土地结果计算时，土地报酬率应采用该方法中报酬率（还原率）。</t>
        </r>
        <r>
          <rPr>
            <sz val="10"/>
            <color rgb="FF000000"/>
            <rFont val="宋体"/>
            <family val="3"/>
            <charset val="134"/>
          </rPr>
          <t xml:space="preserve">
</t>
        </r>
      </text>
    </comment>
    <comment ref="L55" authorId="1" shapeId="0" xr:uid="{00000000-0006-0000-2000-000004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xr:uid="{00000000-0006-0000-2000-000005000000}">
      <text>
        <r>
          <rPr>
            <sz val="11"/>
            <color rgb="FF000000"/>
            <rFont val="宋体"/>
            <family val="3"/>
            <charset val="134"/>
          </rPr>
          <t>在建项目均选择“是”</t>
        </r>
        <r>
          <rPr>
            <sz val="11"/>
            <color rgb="FF000000"/>
            <rFont val="宋体"/>
            <family val="3"/>
            <charset val="134"/>
          </rPr>
          <t xml:space="preserve">
</t>
        </r>
      </text>
    </comment>
    <comment ref="F59" authorId="0" shapeId="0" xr:uid="{00000000-0006-0000-2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rgb="FF000000"/>
            <rFont val="宋体"/>
            <family val="3"/>
            <charset val="134"/>
          </rPr>
          <t>其它城市请在右侧录入</t>
        </r>
        <r>
          <rPr>
            <sz val="14"/>
            <color rgb="FF000000"/>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rgb="FF000000"/>
            <rFont val="宋体"/>
            <family val="3"/>
            <charset val="134"/>
          </rPr>
          <t>有相同面积依据时，仅在土地面积依据处录入。</t>
        </r>
        <r>
          <rPr>
            <sz val="12"/>
            <color rgb="FF000000"/>
            <rFont val="宋体"/>
            <family val="3"/>
            <charset val="134"/>
          </rPr>
          <t xml:space="preserve">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3000000}">
      <text>
        <r>
          <rPr>
            <b/>
            <sz val="12"/>
            <color indexed="81"/>
            <rFont val="宋体"/>
            <family val="3"/>
            <charset val="134"/>
          </rPr>
          <t>所属项目品质或
物业管理</t>
        </r>
      </text>
    </comment>
    <comment ref="B90" authorId="0" shapeId="0" xr:uid="{00000000-0006-0000-27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3000000}">
      <text>
        <r>
          <rPr>
            <b/>
            <sz val="12"/>
            <color indexed="81"/>
            <rFont val="宋体"/>
            <family val="3"/>
            <charset val="134"/>
          </rPr>
          <t>所属项目品质或
物业管理</t>
        </r>
      </text>
    </comment>
    <comment ref="B86" authorId="0" shapeId="0" xr:uid="{00000000-0006-0000-2800-000004000000}">
      <text>
        <r>
          <rPr>
            <b/>
            <sz val="12"/>
            <color indexed="81"/>
            <rFont val="宋体"/>
            <family val="3"/>
            <charset val="134"/>
          </rPr>
          <t>所属项目品质</t>
        </r>
      </text>
    </comment>
    <comment ref="B89"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9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900-000002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A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A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B00-000002000000}">
      <text>
        <r>
          <rPr>
            <sz val="11"/>
            <color indexed="81"/>
            <rFont val="宋体"/>
            <family val="3"/>
            <charset val="134"/>
          </rPr>
          <t xml:space="preserve">录入层数，将对应的结果录入至左侧相应层的楼层修正系数单元格中
</t>
        </r>
      </text>
    </comment>
    <comment ref="D17" authorId="2" shapeId="0" xr:uid="{00000000-0006-0000-2B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B00-000004000000}">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shapeId="0" xr:uid="{00000000-0006-0000-2B00-000005000000}">
      <text>
        <r>
          <rPr>
            <b/>
            <sz val="9"/>
            <color rgb="FF000000"/>
            <rFont val="宋体"/>
            <family val="3"/>
            <charset val="134"/>
          </rPr>
          <t>需在此处填写剩余土地年限</t>
        </r>
        <r>
          <rPr>
            <sz val="9"/>
            <color rgb="FF000000"/>
            <rFont val="宋体"/>
            <family val="3"/>
            <charset val="134"/>
          </rPr>
          <t xml:space="preserve">
</t>
        </r>
      </text>
    </comment>
    <comment ref="C99" authorId="0" shapeId="0" xr:uid="{00000000-0006-0000-2B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B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B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B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B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B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B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B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B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B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B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B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B00-000012000000}">
      <text>
        <r>
          <rPr>
            <b/>
            <sz val="9"/>
            <color indexed="81"/>
            <rFont val="宋体"/>
            <family val="3"/>
            <charset val="134"/>
          </rPr>
          <t xml:space="preserve">容积率
</t>
        </r>
      </text>
    </comment>
    <comment ref="D101" authorId="0" shapeId="0" xr:uid="{00000000-0006-0000-2B00-000013000000}">
      <text>
        <r>
          <rPr>
            <b/>
            <sz val="9"/>
            <color indexed="81"/>
            <rFont val="宋体"/>
            <family val="3"/>
            <charset val="134"/>
          </rPr>
          <t xml:space="preserve">容积率
</t>
        </r>
      </text>
    </comment>
    <comment ref="E101" authorId="0" shapeId="0" xr:uid="{00000000-0006-0000-2B00-000014000000}">
      <text>
        <r>
          <rPr>
            <b/>
            <sz val="9"/>
            <color indexed="81"/>
            <rFont val="宋体"/>
            <family val="3"/>
            <charset val="134"/>
          </rPr>
          <t xml:space="preserve">容积率
</t>
        </r>
      </text>
    </comment>
    <comment ref="F101" authorId="0" shapeId="0" xr:uid="{00000000-0006-0000-2B00-000015000000}">
      <text>
        <r>
          <rPr>
            <b/>
            <sz val="9"/>
            <color indexed="81"/>
            <rFont val="宋体"/>
            <family val="3"/>
            <charset val="134"/>
          </rPr>
          <t xml:space="preserve">容积率
</t>
        </r>
      </text>
    </comment>
    <comment ref="G101" authorId="0" shapeId="0" xr:uid="{00000000-0006-0000-2B00-000016000000}">
      <text>
        <r>
          <rPr>
            <b/>
            <sz val="9"/>
            <color indexed="81"/>
            <rFont val="宋体"/>
            <family val="3"/>
            <charset val="134"/>
          </rPr>
          <t xml:space="preserve">容积率
</t>
        </r>
      </text>
    </comment>
    <comment ref="H101" authorId="0" shapeId="0" xr:uid="{00000000-0006-0000-2B00-000017000000}">
      <text>
        <r>
          <rPr>
            <b/>
            <sz val="9"/>
            <color indexed="81"/>
            <rFont val="宋体"/>
            <family val="3"/>
            <charset val="134"/>
          </rPr>
          <t xml:space="preserve">容积率
</t>
        </r>
      </text>
    </comment>
    <comment ref="I101" authorId="0" shapeId="0" xr:uid="{00000000-0006-0000-2B00-000018000000}">
      <text>
        <r>
          <rPr>
            <b/>
            <sz val="9"/>
            <color indexed="81"/>
            <rFont val="宋体"/>
            <family val="3"/>
            <charset val="134"/>
          </rPr>
          <t xml:space="preserve">容积率
</t>
        </r>
      </text>
    </comment>
    <comment ref="J101" authorId="0" shapeId="0" xr:uid="{00000000-0006-0000-2B00-000019000000}">
      <text>
        <r>
          <rPr>
            <b/>
            <sz val="9"/>
            <color indexed="81"/>
            <rFont val="宋体"/>
            <family val="3"/>
            <charset val="134"/>
          </rPr>
          <t xml:space="preserve">容积率
</t>
        </r>
      </text>
    </comment>
    <comment ref="K101" authorId="0" shapeId="0" xr:uid="{00000000-0006-0000-2B00-00001A000000}">
      <text>
        <r>
          <rPr>
            <b/>
            <sz val="9"/>
            <color indexed="81"/>
            <rFont val="宋体"/>
            <family val="3"/>
            <charset val="134"/>
          </rPr>
          <t xml:space="preserve">容积率
</t>
        </r>
      </text>
    </comment>
    <comment ref="L101" authorId="0" shapeId="0" xr:uid="{00000000-0006-0000-2B00-00001B000000}">
      <text>
        <r>
          <rPr>
            <b/>
            <sz val="9"/>
            <color indexed="81"/>
            <rFont val="宋体"/>
            <family val="3"/>
            <charset val="134"/>
          </rPr>
          <t xml:space="preserve">容积率
</t>
        </r>
      </text>
    </comment>
    <comment ref="M101" authorId="0" shapeId="0" xr:uid="{00000000-0006-0000-2B00-00001C000000}">
      <text>
        <r>
          <rPr>
            <b/>
            <sz val="9"/>
            <color indexed="81"/>
            <rFont val="宋体"/>
            <family val="3"/>
            <charset val="134"/>
          </rPr>
          <t xml:space="preserve">容积率
</t>
        </r>
      </text>
    </comment>
    <comment ref="N101" authorId="0" shapeId="0" xr:uid="{00000000-0006-0000-2B00-00001D000000}">
      <text>
        <r>
          <rPr>
            <b/>
            <sz val="9"/>
            <color indexed="81"/>
            <rFont val="宋体"/>
            <family val="3"/>
            <charset val="134"/>
          </rPr>
          <t xml:space="preserve">容积率
</t>
        </r>
      </text>
    </comment>
    <comment ref="C108" authorId="0" shapeId="0" xr:uid="{00000000-0006-0000-2B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B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B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B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B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B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B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B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B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B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B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B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B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rgb="FF000000"/>
            <rFont val="宋体"/>
            <family val="3"/>
            <charset val="134"/>
          </rPr>
          <t>项不固定，随情况自定，但需包含有有主用途，如：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0E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E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shapeId="0" xr:uid="{00000000-0006-0000-0E00-000007000000}">
      <text>
        <r>
          <rPr>
            <b/>
            <sz val="8"/>
            <color rgb="FF000000"/>
            <rFont val="宋体"/>
            <family val="3"/>
            <charset val="134"/>
          </rPr>
          <t xml:space="preserve">moqikay:
</t>
        </r>
        <r>
          <rPr>
            <b/>
            <sz val="8"/>
            <color rgb="FF000000"/>
            <rFont val="宋体"/>
            <family val="3"/>
            <charset val="134"/>
          </rPr>
          <t>东城区、西城区、北京经济技术开发区范围内，以及在朝阳、海淀、丰台、石景山、门头沟、燕山六个区所属的街道办事处管辖范围内的，税率为</t>
        </r>
        <r>
          <rPr>
            <b/>
            <sz val="8"/>
            <color rgb="FF000000"/>
            <rFont val="宋体"/>
            <family val="3"/>
            <charset val="134"/>
          </rPr>
          <t>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rgb="FF000000"/>
            <rFont val="宋体"/>
            <family val="3"/>
            <charset val="134"/>
          </rPr>
          <t>不分项目类型时为空即可</t>
        </r>
        <r>
          <rPr>
            <sz val="9"/>
            <color rgb="FF000000"/>
            <rFont val="宋体"/>
            <family val="3"/>
            <charset val="134"/>
          </rPr>
          <t xml:space="preserve">
</t>
        </r>
      </text>
    </comment>
    <comment ref="L18" authorId="0" shapeId="0" xr:uid="{00000000-0006-0000-1500-00000200000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8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sharedStrings.xml><?xml version="1.0" encoding="utf-8"?>
<sst xmlns="http://schemas.openxmlformats.org/spreadsheetml/2006/main" count="8814" uniqueCount="3306">
  <si>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</si>
  <si>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</si>
  <si>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</si>
  <si>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</si>
  <si>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</si>
  <si>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</si>
  <si>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</si>
  <si>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</si>
  <si>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</si>
  <si>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</si>
  <si>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</si>
  <si>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</si>
  <si>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</si>
  <si>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</si>
  <si>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</si>
  <si>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</si>
  <si>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</si>
  <si>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</si>
  <si>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</si>
  <si>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</si>
  <si>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</si>
  <si>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</si>
  <si>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</si>
  <si>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</si>
  <si>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</si>
  <si>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</si>
  <si>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</si>
  <si>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</si>
  <si>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</si>
  <si>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</si>
  <si>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</si>
  <si>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</si>
  <si>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</si>
  <si>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</si>
  <si>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</si>
  <si>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</si>
  <si>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</si>
  <si>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</si>
  <si>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</si>
  <si>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</si>
  <si>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</si>
  <si>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</si>
  <si>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</si>
  <si>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</si>
  <si>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</si>
  <si>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</si>
  <si>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</si>
  <si>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</si>
  <si>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</si>
  <si>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</si>
  <si>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</si>
  <si>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</si>
  <si>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</si>
  <si>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</si>
  <si>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</si>
  <si>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</si>
  <si>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</si>
  <si>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</si>
  <si>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</si>
  <si>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</si>
  <si>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</si>
  <si>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</si>
  <si>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</si>
  <si>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</si>
  <si>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</si>
  <si>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</si>
  <si>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</si>
  <si>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</si>
  <si>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</si>
  <si>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</si>
  <si>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</si>
  <si>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</si>
  <si>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</si>
  <si>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</si>
  <si>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</si>
  <si>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</si>
  <si>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</si>
  <si>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</si>
  <si>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</si>
  <si>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</si>
  <si>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</si>
  <si>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</si>
  <si>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</si>
  <si>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</si>
  <si>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</si>
  <si>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</si>
  <si>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</si>
  <si>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</si>
  <si>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</si>
  <si>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</si>
  <si>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</si>
  <si>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</si>
  <si>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</si>
  <si>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</si>
  <si>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</si>
  <si>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</si>
  <si>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</si>
  <si>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</si>
  <si>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</si>
  <si>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</si>
  <si>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</si>
  <si>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</si>
  <si>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</si>
  <si>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</si>
  <si>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</si>
  <si>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</si>
  <si>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</si>
  <si>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</si>
  <si>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</si>
  <si>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</si>
  <si>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</si>
  <si>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</si>
  <si>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</si>
  <si>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</si>
  <si>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</si>
  <si>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</si>
  <si>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</si>
  <si>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</si>
  <si>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</si>
  <si>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</si>
  <si>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</si>
  <si>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</si>
  <si>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</si>
  <si>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</si>
  <si>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</si>
  <si>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</si>
  <si>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</si>
  <si>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</si>
  <si>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</si>
  <si>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</si>
  <si>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</si>
  <si>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</si>
  <si>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</si>
  <si>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</si>
  <si>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</si>
  <si>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</si>
  <si>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</si>
  <si>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</si>
  <si>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</si>
  <si>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</si>
  <si>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</si>
  <si>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</si>
  <si>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</si>
  <si>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</si>
  <si>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</si>
  <si>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</si>
  <si>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</si>
  <si>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</si>
  <si>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</si>
  <si>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</si>
  <si>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</si>
  <si>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</si>
  <si>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</si>
  <si>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</si>
  <si>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</si>
  <si>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</si>
  <si>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</si>
  <si>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</si>
  <si>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</si>
  <si>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</si>
  <si>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</si>
  <si>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</si>
  <si>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</si>
  <si>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</si>
  <si>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</si>
  <si>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</si>
  <si>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</si>
  <si>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</si>
  <si>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</si>
  <si>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</si>
  <si>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</si>
  <si>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</si>
  <si>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</si>
  <si>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</si>
  <si>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</si>
  <si>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</si>
  <si>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</si>
  <si>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</si>
  <si>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</si>
  <si>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</si>
  <si>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</si>
  <si>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</si>
  <si>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</si>
  <si>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</si>
  <si>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</si>
  <si>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</si>
  <si>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</si>
  <si>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</si>
  <si>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</si>
  <si>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</si>
  <si>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</si>
  <si>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</si>
  <si>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</si>
  <si>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</si>
  <si>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</si>
  <si>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</si>
  <si>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</si>
  <si>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</si>
  <si>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</si>
  <si>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</si>
  <si>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</si>
  <si>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</si>
  <si>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</si>
  <si>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</si>
  <si>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</si>
  <si>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</si>
  <si>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</si>
  <si>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</si>
  <si>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</si>
  <si>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</si>
  <si>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</si>
  <si>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</si>
  <si>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</si>
  <si>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</si>
  <si>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</si>
  <si>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</si>
  <si>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</si>
  <si>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</si>
  <si>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</si>
  <si>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</si>
  <si>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</si>
  <si>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</si>
  <si>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</si>
  <si>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</si>
  <si>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</si>
  <si>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</si>
  <si>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</si>
  <si>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</si>
  <si>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</si>
  <si>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</si>
  <si>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</si>
  <si>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</si>
  <si>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</si>
  <si>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</si>
  <si>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</si>
  <si>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</si>
  <si>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</si>
  <si>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</si>
  <si>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</si>
  <si>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</si>
  <si>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</si>
  <si>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</si>
  <si>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</si>
  <si>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</si>
  <si>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</si>
  <si>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</si>
  <si>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</si>
  <si>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</si>
  <si>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</si>
  <si>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</si>
  <si>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</si>
  <si>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</si>
  <si>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</si>
  <si>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</si>
  <si>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</si>
  <si>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</si>
  <si>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</si>
  <si>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</si>
  <si>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</si>
  <si>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</si>
  <si>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</si>
  <si>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</si>
  <si>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</si>
  <si>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</si>
  <si>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</si>
  <si>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</si>
  <si>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</si>
  <si>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</si>
  <si>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</si>
  <si>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</si>
  <si>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</si>
  <si>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</si>
  <si>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</si>
  <si>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</si>
  <si>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</si>
  <si>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</si>
  <si>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</si>
  <si>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</si>
  <si>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</si>
  <si>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</si>
  <si>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</si>
  <si>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</si>
  <si>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</si>
  <si>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</si>
  <si>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</si>
  <si>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</si>
  <si>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</si>
  <si>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</si>
  <si>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</si>
  <si>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</si>
  <si>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</si>
  <si>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</si>
  <si>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</si>
  <si>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</si>
  <si>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</si>
  <si>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</si>
  <si>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</si>
  <si>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</si>
  <si>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</si>
  <si>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</si>
  <si>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</si>
  <si>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</si>
  <si>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</si>
  <si>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</si>
  <si>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</si>
  <si>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</si>
  <si>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</si>
  <si>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</si>
  <si>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</si>
  <si>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</si>
  <si>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</si>
  <si>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</si>
  <si>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</si>
  <si>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</si>
  <si>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</si>
  <si>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</si>
  <si>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</si>
  <si>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</si>
  <si>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</si>
  <si>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</si>
  <si>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</si>
  <si>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</si>
  <si>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</si>
  <si>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</si>
  <si>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</si>
  <si>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</si>
  <si>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</si>
  <si>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</si>
  <si>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</si>
  <si>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</si>
  <si>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</si>
  <si>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</si>
  <si>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</si>
  <si>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</si>
  <si>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</si>
  <si>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</si>
  <si>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</si>
  <si>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</si>
  <si>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</si>
  <si>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</si>
  <si>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</si>
  <si>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</si>
  <si>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</si>
  <si>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</si>
  <si>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</si>
  <si>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</si>
  <si>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</si>
  <si>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</si>
  <si>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</si>
  <si>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</si>
  <si>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</si>
  <si>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</si>
  <si>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</si>
  <si>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</si>
  <si>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</si>
  <si>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</si>
  <si>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</si>
  <si>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</si>
  <si>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</si>
  <si>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</si>
  <si>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</si>
  <si>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</si>
  <si>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</si>
  <si>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</si>
  <si>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</si>
  <si>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</si>
  <si>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</si>
  <si>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</si>
  <si>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</si>
  <si>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</si>
  <si>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</si>
  <si>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</si>
  <si>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</si>
  <si>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</si>
  <si>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</si>
  <si>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</si>
  <si>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</si>
  <si>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</si>
  <si>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</si>
  <si>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</si>
  <si>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</si>
  <si>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</si>
  <si>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</si>
  <si>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</si>
  <si>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</si>
  <si>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</si>
  <si>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</si>
  <si>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</si>
  <si>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</si>
  <si>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</si>
  <si>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</si>
  <si>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</si>
  <si>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</si>
  <si>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</si>
  <si>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</si>
  <si>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</si>
  <si>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</si>
  <si>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</si>
  <si>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</si>
  <si>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</si>
  <si>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</si>
  <si>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</si>
  <si>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</si>
  <si>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</si>
  <si>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</si>
  <si>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</si>
  <si>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</si>
  <si>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</si>
  <si>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</si>
  <si>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</si>
  <si>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</si>
  <si>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</si>
  <si>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</si>
  <si>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</si>
  <si>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</si>
  <si>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</si>
  <si>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</si>
  <si>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</si>
  <si>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</si>
  <si>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</si>
  <si>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</si>
  <si>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</si>
  <si>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</si>
  <si>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</si>
  <si>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</si>
  <si>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</si>
  <si>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</si>
  <si>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</si>
  <si>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</si>
  <si>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</si>
  <si>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</si>
  <si>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</si>
  <si>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</si>
  <si>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</si>
  <si>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</si>
  <si>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</si>
  <si>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</si>
  <si>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</si>
  <si>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</si>
  <si>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</si>
  <si>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</si>
  <si>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</si>
  <si>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</si>
  <si>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</si>
  <si>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</si>
  <si>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</si>
  <si>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</si>
  <si>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</si>
  <si>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</si>
  <si>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</si>
  <si>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</si>
  <si>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</si>
  <si>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</si>
  <si>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</si>
  <si>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</si>
  <si>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</si>
  <si>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</si>
  <si>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</si>
  <si>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</si>
  <si>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</si>
  <si>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</si>
  <si>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</si>
  <si>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</si>
  <si>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</si>
  <si>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</si>
  <si>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</si>
  <si>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</si>
  <si>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</si>
  <si>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</si>
  <si>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</si>
  <si>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</si>
  <si>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</si>
  <si>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</si>
  <si>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</si>
  <si>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</si>
  <si>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</si>
  <si>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</si>
  <si>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</si>
  <si>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</si>
  <si>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</si>
  <si>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</si>
  <si>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</si>
  <si>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</si>
  <si>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</si>
  <si>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</si>
  <si>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</si>
  <si>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</si>
  <si>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</si>
  <si>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</si>
  <si>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</si>
  <si>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</si>
  <si>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</si>
  <si>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</si>
  <si>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</si>
  <si>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</si>
  <si>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</si>
  <si>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</si>
  <si>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</si>
  <si>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</si>
  <si>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</si>
  <si>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</si>
  <si>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</si>
  <si>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</si>
  <si>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</si>
  <si>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</si>
  <si>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</si>
  <si>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</si>
  <si>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</si>
  <si>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</si>
  <si>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</si>
  <si>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</si>
  <si>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</si>
  <si>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</si>
  <si>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</si>
  <si>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</si>
  <si>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</si>
  <si>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</si>
  <si>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</si>
  <si>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</si>
  <si>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</si>
  <si>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</si>
  <si>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</si>
  <si>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</si>
  <si>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</si>
  <si>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</si>
  <si>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</si>
  <si>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</si>
  <si>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</si>
  <si>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</si>
  <si>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</si>
  <si>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</si>
  <si>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</si>
  <si>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</si>
  <si>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</si>
  <si>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</si>
  <si>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</si>
  <si>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</si>
  <si>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</si>
  <si>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</si>
  <si>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</si>
  <si>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</si>
  <si>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</si>
  <si>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</si>
  <si>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</si>
  <si>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</si>
  <si>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</si>
  <si>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</si>
  <si>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</si>
  <si>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</si>
  <si>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</si>
  <si>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</si>
  <si>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</si>
  <si>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</si>
  <si>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</si>
  <si>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</si>
  <si>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</si>
  <si>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</si>
  <si>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</si>
  <si>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</si>
  <si>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</si>
  <si>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</si>
  <si>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</si>
  <si>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</si>
  <si>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</si>
  <si>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</si>
  <si>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</si>
  <si>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</si>
  <si>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</si>
  <si>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</si>
  <si>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</si>
  <si>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</si>
  <si>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</si>
  <si>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</si>
  <si>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</si>
  <si>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</si>
  <si>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</si>
  <si>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</si>
  <si>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</si>
  <si>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</si>
  <si>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</si>
  <si>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</si>
  <si>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</si>
  <si>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</si>
  <si>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</si>
  <si>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</si>
  <si>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</si>
  <si>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</si>
  <si>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</si>
  <si>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</si>
  <si>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</si>
  <si>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</si>
  <si>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</si>
  <si>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</si>
  <si>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</si>
  <si>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</si>
  <si>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</si>
  <si>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</si>
  <si>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</si>
  <si>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</si>
  <si>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</si>
  <si>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</si>
  <si>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</si>
  <si>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</si>
  <si>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</si>
  <si>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</si>
  <si>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</si>
  <si>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</si>
  <si>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</si>
  <si>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</si>
  <si>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</si>
  <si>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</si>
  <si>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</si>
  <si>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</si>
  <si>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</si>
  <si>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</si>
  <si>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</si>
  <si>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</si>
  <si>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</si>
  <si>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</si>
  <si>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</si>
  <si>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</si>
  <si>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</si>
  <si>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</si>
  <si>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</si>
  <si>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</si>
  <si>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</si>
  <si>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</si>
  <si>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</si>
  <si>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</si>
  <si>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</si>
  <si>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</si>
  <si>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</si>
  <si>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</si>
  <si>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</si>
  <si>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</si>
  <si>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</si>
  <si>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</si>
  <si>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</si>
  <si>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</si>
  <si>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</si>
  <si>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</si>
  <si>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</si>
  <si>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</si>
  <si>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</si>
  <si>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</si>
  <si>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</si>
  <si>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</si>
  <si>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</si>
  <si>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</si>
  <si>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</si>
  <si>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</si>
  <si>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</si>
  <si>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</si>
  <si>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</si>
  <si>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</si>
  <si>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</si>
  <si>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</si>
  <si>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</si>
  <si>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</si>
  <si>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</si>
  <si>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</si>
  <si>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</si>
  <si>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</si>
  <si>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</si>
  <si>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</si>
  <si>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</si>
  <si>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</si>
  <si>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</si>
  <si>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</si>
  <si>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</si>
  <si>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</si>
  <si>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</si>
  <si>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</si>
  <si>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</si>
  <si>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</si>
  <si>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</si>
  <si>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</si>
  <si>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</si>
  <si>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</si>
  <si>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</si>
  <si>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</si>
  <si>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</si>
  <si>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</si>
  <si>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</si>
  <si>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</si>
  <si>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</si>
  <si>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</si>
  <si>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</si>
  <si>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</si>
  <si>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</si>
  <si>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</si>
  <si>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</si>
  <si>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</si>
  <si>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</si>
  <si>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</si>
  <si>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</si>
  <si>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</si>
  <si>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</si>
  <si>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</si>
  <si>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</si>
  <si>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</si>
  <si>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</si>
  <si>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</si>
  <si>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</si>
  <si>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</si>
  <si>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</si>
  <si>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</si>
  <si>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</si>
  <si>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</si>
  <si>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</si>
  <si>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</si>
  <si>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</si>
  <si>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</si>
  <si>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</si>
  <si>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</si>
  <si>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</si>
  <si>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</si>
  <si>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</si>
  <si>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</si>
  <si>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</si>
  <si>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</si>
  <si>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</si>
  <si>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</si>
  <si>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</si>
  <si>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</si>
  <si>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</si>
  <si>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</si>
  <si>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</si>
  <si>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</si>
  <si>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</si>
  <si>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</si>
  <si>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</si>
  <si>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</si>
  <si>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</si>
  <si>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</si>
  <si>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</si>
  <si>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</si>
  <si>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</si>
  <si>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</si>
  <si>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</si>
  <si>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</si>
  <si>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</si>
  <si>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</si>
  <si>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</si>
  <si>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</si>
  <si>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</si>
  <si>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</si>
  <si>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</si>
  <si>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</si>
  <si>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</si>
  <si>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</si>
  <si>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</si>
  <si>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</si>
  <si>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5"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</si>
  <si>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</si>
  <si>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</si>
  <si>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</si>
  <si>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</si>
  <si>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</si>
  <si>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</si>
  <si>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</si>
  <si>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</si>
  <si>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</si>
  <si>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</si>
  <si>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</si>
  <si>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</si>
  <si>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</si>
  <si>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</si>
  <si>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</si>
  <si>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</si>
  <si>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</si>
  <si>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</si>
  <si>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</si>
  <si>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</si>
  <si>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</si>
  <si>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</si>
  <si>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</si>
  <si>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</si>
  <si>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</si>
  <si>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</si>
  <si>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</si>
  <si>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</si>
  <si>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</si>
  <si>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</si>
  <si>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</si>
  <si>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</si>
  <si>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</si>
  <si>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</si>
  <si>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</si>
  <si>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</si>
  <si>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</si>
  <si>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</si>
  <si>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</si>
  <si>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</si>
  <si>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</si>
  <si>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</si>
  <si>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</si>
  <si>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</si>
  <si>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</si>
  <si>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</si>
  <si>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</si>
  <si>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</si>
  <si>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</si>
  <si>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</si>
  <si>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</si>
  <si>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</si>
  <si>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</si>
  <si>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</si>
  <si>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</si>
  <si>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</si>
  <si>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</si>
  <si>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</si>
  <si>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</si>
  <si>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</si>
  <si>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</si>
  <si>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</si>
  <si>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</si>
  <si>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</si>
  <si>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</si>
  <si>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</si>
  <si>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</si>
  <si>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</si>
  <si>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</si>
  <si>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</si>
  <si>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</si>
  <si>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</si>
  <si>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</si>
  <si>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</si>
  <si>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</si>
  <si>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</si>
  <si>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</si>
  <si>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</si>
  <si>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</si>
  <si>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</si>
  <si>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</si>
  <si>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</si>
  <si>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</si>
  <si>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</si>
  <si>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</si>
  <si>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</si>
  <si>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</si>
  <si>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</si>
  <si>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</si>
  <si>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</si>
  <si>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</si>
  <si>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</si>
  <si>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</si>
  <si>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</si>
  <si>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</si>
  <si>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</si>
  <si>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</si>
  <si>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</si>
  <si>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</si>
  <si>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</si>
  <si>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</si>
  <si>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</si>
  <si>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</si>
  <si>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</si>
  <si>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</si>
  <si>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</si>
  <si>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</si>
  <si>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</si>
  <si>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</si>
  <si>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</si>
  <si>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</si>
  <si>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</si>
  <si>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</si>
  <si>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</si>
  <si>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</si>
  <si>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</si>
  <si>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</si>
  <si>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</si>
  <si>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</si>
  <si>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</si>
  <si>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</si>
  <si>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</si>
  <si>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</si>
  <si>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</si>
  <si>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</si>
  <si>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</si>
  <si>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</si>
  <si>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</si>
  <si>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</si>
  <si>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</si>
  <si>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</si>
  <si>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</si>
  <si>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</si>
  <si>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</si>
  <si>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</si>
  <si>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</si>
  <si>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</si>
  <si>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</si>
  <si>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</si>
  <si>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</si>
  <si>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</si>
  <si>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</si>
  <si>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</si>
  <si>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</si>
  <si>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</si>
  <si>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</si>
  <si>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</si>
  <si>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</si>
  <si>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</si>
  <si>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</si>
  <si>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</si>
  <si>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</si>
  <si>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</si>
  <si>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</si>
  <si>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</si>
  <si>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</si>
  <si>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</si>
  <si>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</si>
  <si>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</si>
  <si>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</si>
  <si>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</si>
  <si>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</si>
  <si>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</si>
  <si>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</si>
  <si>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</si>
  <si>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</si>
  <si>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</si>
  <si>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</si>
  <si>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</si>
  <si>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</si>
  <si>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</si>
  <si>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</si>
  <si>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</si>
  <si>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</si>
  <si>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</si>
  <si>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</si>
  <si>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</si>
  <si>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</si>
  <si>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</si>
  <si>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</si>
  <si>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</si>
  <si>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</si>
  <si>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</si>
  <si>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</si>
  <si>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</si>
  <si>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</si>
  <si>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</si>
  <si>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</si>
  <si>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</si>
  <si>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</si>
  <si>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</si>
  <si>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</si>
  <si>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</si>
  <si>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</si>
  <si>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</si>
  <si>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</si>
  <si>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</si>
  <si>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</si>
  <si>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</si>
  <si>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</si>
  <si>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</si>
  <si>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</si>
  <si>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</si>
  <si>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</si>
  <si>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</si>
  <si>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</si>
  <si>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</si>
  <si>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</si>
  <si>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</si>
  <si>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</si>
  <si>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</si>
  <si>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</si>
  <si>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</si>
  <si>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</si>
  <si>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</si>
  <si>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</si>
  <si>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</si>
  <si>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</si>
  <si>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</si>
  <si>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</si>
  <si>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</si>
  <si>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</si>
  <si>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</si>
  <si>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</si>
  <si>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</si>
  <si>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</si>
  <si>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</si>
  <si>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</si>
  <si>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</si>
  <si>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</si>
  <si>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</si>
  <si>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</si>
  <si>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</si>
  <si>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</si>
  <si>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</si>
  <si>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</si>
  <si>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</si>
  <si>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</si>
  <si>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</si>
  <si>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</si>
  <si>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</si>
  <si>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</si>
  <si>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</si>
  <si>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</si>
  <si>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</si>
  <si>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</si>
  <si>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</si>
  <si>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</si>
  <si>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</si>
  <si>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</si>
  <si>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</si>
  <si>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</si>
  <si>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</si>
  <si>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</si>
  <si>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</si>
  <si>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</si>
  <si>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</si>
  <si>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</si>
  <si>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</si>
  <si>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</si>
  <si>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</si>
  <si>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</si>
  <si>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</si>
  <si>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</si>
  <si>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</si>
  <si>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</si>
  <si>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</si>
  <si>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</si>
  <si>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</si>
  <si>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</si>
  <si>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</si>
  <si>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</si>
  <si>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</si>
  <si>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</si>
  <si>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</si>
  <si>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</si>
  <si>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</si>
  <si>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</si>
  <si>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</si>
  <si>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</si>
  <si>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</si>
  <si>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</si>
  <si>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</si>
  <si>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</si>
  <si>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</si>
  <si>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</si>
  <si>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</si>
  <si>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</si>
  <si>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</si>
  <si>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</si>
  <si>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</si>
  <si>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</si>
  <si>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</si>
  <si>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</si>
  <si>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</si>
  <si>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</si>
  <si>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</si>
  <si>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</si>
  <si>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</si>
  <si>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</si>
  <si>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</si>
  <si>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</si>
  <si>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</si>
  <si>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</si>
  <si>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</si>
  <si>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</si>
  <si>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</si>
  <si>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</si>
  <si>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</si>
  <si>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</si>
  <si>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</si>
  <si>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</si>
  <si>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</si>
  <si>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</si>
  <si>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</si>
  <si>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</si>
  <si>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</si>
  <si>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</si>
  <si>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</si>
  <si>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</si>
  <si>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</si>
  <si>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</si>
  <si>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</si>
  <si>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</si>
  <si>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</si>
  <si>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</si>
  <si>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</si>
  <si>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</si>
  <si>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</si>
  <si>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</si>
  <si>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</si>
  <si>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</si>
  <si>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</si>
  <si>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</si>
  <si>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</si>
  <si>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</si>
  <si>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</si>
  <si>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</si>
  <si>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</si>
  <si>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</si>
  <si>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</si>
  <si>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</si>
  <si>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</si>
  <si>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</si>
  <si>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</si>
  <si>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</si>
  <si>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</si>
  <si>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</si>
  <si>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</si>
  <si>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</si>
  <si>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</si>
  <si>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</si>
  <si>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</si>
  <si>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</si>
  <si>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</si>
  <si>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</si>
  <si>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</si>
  <si>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</si>
  <si>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</si>
  <si>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</si>
  <si>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</si>
  <si>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</si>
  <si>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</si>
  <si>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</si>
  <si>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</si>
  <si>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</si>
  <si>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</si>
  <si>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</si>
  <si>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</si>
  <si>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</si>
  <si>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</si>
  <si>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</si>
  <si>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</si>
  <si>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</si>
  <si>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</si>
  <si>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</si>
  <si>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</si>
  <si>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</si>
  <si>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</si>
  <si>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</si>
  <si>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</si>
  <si>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</si>
  <si>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</si>
  <si>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</si>
  <si>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</si>
  <si>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</si>
  <si>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</si>
  <si>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</si>
  <si>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</si>
  <si>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</si>
  <si>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</si>
  <si>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</si>
  <si>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</si>
  <si>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</si>
  <si>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</si>
  <si>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</si>
  <si>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</si>
  <si>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</si>
  <si>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</si>
  <si>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</si>
  <si>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</si>
  <si>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</si>
  <si>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</si>
  <si>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</si>
  <si>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</si>
  <si>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</si>
  <si>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</si>
  <si>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</si>
  <si>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</si>
  <si>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</si>
  <si>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</si>
  <si>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</si>
  <si>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</si>
  <si>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</si>
  <si>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</si>
  <si>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</si>
  <si>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</si>
  <si>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</si>
  <si>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</si>
  <si>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</si>
  <si>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</si>
  <si>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</si>
  <si>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</si>
  <si>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</si>
  <si>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</si>
  <si>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</si>
  <si>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</si>
  <si>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</si>
  <si>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</si>
  <si>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</si>
  <si>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</si>
  <si>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</si>
  <si>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</si>
  <si>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</si>
  <si>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</si>
  <si>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</si>
  <si>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</si>
  <si>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</si>
  <si>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</si>
  <si>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</si>
  <si>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</si>
  <si>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</si>
  <si>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</si>
  <si>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</si>
  <si>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</si>
  <si>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</si>
  <si>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</si>
  <si>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</si>
  <si>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</si>
  <si>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</si>
  <si>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</si>
  <si>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</si>
  <si>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</si>
  <si>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</si>
  <si>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</si>
  <si>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</si>
  <si>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</si>
  <si>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</si>
  <si>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</si>
  <si>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</si>
  <si>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</si>
  <si>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</si>
  <si>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</si>
  <si>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</si>
  <si>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</si>
  <si>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</si>
  <si>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</si>
  <si>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</si>
  <si>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</si>
  <si>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</si>
  <si>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</si>
  <si>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</si>
  <si>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</si>
  <si>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</si>
  <si>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</si>
  <si>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</si>
  <si>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</si>
  <si>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</si>
  <si>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</si>
  <si>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</si>
  <si>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</si>
  <si>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</si>
  <si>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</si>
  <si>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</si>
  <si>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</si>
  <si>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</si>
  <si>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</si>
  <si>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</si>
  <si>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</si>
  <si>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</si>
  <si>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</si>
  <si>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</si>
  <si>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</si>
  <si>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</si>
  <si>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</si>
  <si>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</si>
  <si>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</si>
  <si>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</si>
  <si>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</si>
  <si>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</si>
  <si>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</si>
  <si>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</si>
  <si>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</si>
  <si>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</si>
  <si>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</si>
  <si>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</si>
  <si>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</si>
  <si>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</si>
  <si>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</si>
  <si>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</si>
  <si>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</si>
  <si>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</si>
  <si>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</si>
  <si>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</si>
  <si>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</si>
  <si>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</si>
  <si>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</si>
  <si>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</si>
  <si>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</si>
  <si>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</si>
  <si>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</si>
  <si>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</si>
  <si>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</si>
  <si>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</si>
  <si>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</si>
  <si>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</si>
  <si>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</si>
  <si>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</si>
  <si>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</si>
  <si>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</si>
  <si>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</si>
  <si>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</si>
  <si>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</si>
  <si>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</si>
  <si>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</si>
  <si>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</si>
  <si>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</si>
  <si>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</si>
  <si>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</si>
  <si>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</si>
  <si>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</si>
  <si>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4" type="noConversion"/>
  </si>
  <si>
    <t>开发期</t>
    <phoneticPr fontId="143" type="noConversion"/>
  </si>
  <si>
    <t>贷款利率</t>
    <phoneticPr fontId="4" type="noConversion"/>
  </si>
  <si>
    <t>贷款利率</t>
    <phoneticPr fontId="143" type="noConversion"/>
  </si>
  <si>
    <t>存款利率</t>
    <phoneticPr fontId="143"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</si>
  <si>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</si>
  <si>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</si>
  <si>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</si>
  <si>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</si>
  <si>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</si>
  <si>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</si>
  <si>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</si>
  <si>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</si>
  <si>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</si>
  <si>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</si>
  <si>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</si>
  <si>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</si>
  <si>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</si>
  <si>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</si>
  <si>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</si>
  <si>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</si>
  <si>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</si>
  <si>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</si>
  <si>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</si>
  <si>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</si>
  <si>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</si>
  <si>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</si>
  <si>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</si>
  <si>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</si>
  <si>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</si>
  <si>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</si>
  <si>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</si>
  <si>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</si>
  <si>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6"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</si>
  <si>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</si>
  <si>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</si>
  <si>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</si>
  <si>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</si>
  <si>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</si>
  <si>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</si>
  <si>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</si>
  <si>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</si>
  <si>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</si>
  <si>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</si>
  <si>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</si>
  <si>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</si>
  <si>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</si>
  <si>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</si>
  <si>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</si>
  <si>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</si>
  <si>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</si>
  <si>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</si>
  <si>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</si>
  <si>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</si>
  <si>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</si>
  <si>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</si>
  <si>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</si>
  <si>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</si>
  <si>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</si>
  <si>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</si>
  <si>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</si>
  <si>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</si>
  <si>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</si>
  <si>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</si>
  <si>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</si>
  <si>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</si>
  <si>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</si>
  <si>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</si>
  <si>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</si>
  <si>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</si>
  <si>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</si>
  <si>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</si>
  <si>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</si>
  <si>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</si>
  <si>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</si>
  <si>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</si>
  <si>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</si>
  <si>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</si>
  <si>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</si>
  <si>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</si>
  <si>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</si>
  <si>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</si>
  <si>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</si>
  <si>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</si>
  <si>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</si>
  <si>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</si>
  <si>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</si>
  <si>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</si>
  <si>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</si>
  <si>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</si>
  <si>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</si>
  <si>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</si>
  <si>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</si>
  <si>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</si>
  <si>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</si>
  <si>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</si>
  <si>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</si>
  <si>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</si>
  <si>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</si>
  <si>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</si>
  <si>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</si>
  <si>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</si>
  <si>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</si>
  <si>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</si>
  <si>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</si>
  <si>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</si>
  <si>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</si>
  <si>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</si>
  <si>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</si>
  <si>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</si>
  <si>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</si>
  <si>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</si>
  <si>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</si>
  <si>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</si>
  <si>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</si>
  <si>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</si>
  <si>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</si>
  <si>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</si>
  <si>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</si>
  <si>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</si>
  <si>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</si>
  <si>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</si>
  <si>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</si>
  <si>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</si>
  <si>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</si>
  <si>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</si>
  <si>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</si>
  <si>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</si>
  <si>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</si>
  <si>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</si>
  <si>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</si>
  <si>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</si>
  <si>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</si>
  <si>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</si>
  <si>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</si>
  <si>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</si>
  <si>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</si>
  <si>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</si>
  <si>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</si>
  <si>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</si>
  <si>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</si>
  <si>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</si>
  <si>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</si>
  <si>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</si>
  <si>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</si>
  <si>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</si>
  <si>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</si>
  <si>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</si>
  <si>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</si>
  <si>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</si>
  <si>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</si>
  <si>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</si>
  <si>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</si>
  <si>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</si>
  <si>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</si>
  <si>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</si>
  <si>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</si>
  <si>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</si>
  <si>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</si>
  <si>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</si>
  <si>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</si>
  <si>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</si>
  <si>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</si>
  <si>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</si>
  <si>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</si>
  <si>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</si>
  <si>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</si>
  <si>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</si>
  <si>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</si>
  <si>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</si>
  <si>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</si>
  <si>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</si>
  <si>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</si>
  <si>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</si>
  <si>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</si>
  <si>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</si>
  <si>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</si>
  <si>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</si>
  <si>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</si>
  <si>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</si>
  <si>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</si>
  <si>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</si>
  <si>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</si>
  <si>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</si>
  <si>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</si>
  <si>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</si>
  <si>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</si>
  <si>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</si>
  <si>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</si>
  <si>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</si>
  <si>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</si>
  <si>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</si>
  <si>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</si>
  <si>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</si>
  <si>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</si>
  <si>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</si>
  <si>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</si>
  <si>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</si>
  <si>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</si>
  <si>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</si>
  <si>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</si>
  <si>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</si>
  <si>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</si>
  <si>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</si>
  <si>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</si>
  <si>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</si>
  <si>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</si>
  <si>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</si>
  <si>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</si>
  <si>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</si>
  <si>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</si>
  <si>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</si>
  <si>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</si>
  <si>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</si>
  <si>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</si>
  <si>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</si>
  <si>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</si>
  <si>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</si>
  <si>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</si>
  <si>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</si>
  <si>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</si>
  <si>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</si>
  <si>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</si>
  <si>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</si>
  <si>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</si>
  <si>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</si>
  <si>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</si>
  <si>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</si>
  <si>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</si>
  <si>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</si>
  <si>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</si>
  <si>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</si>
  <si>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</si>
  <si>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</si>
  <si>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</si>
  <si>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</si>
  <si>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</si>
  <si>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</si>
  <si>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</si>
  <si>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</si>
  <si>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</si>
  <si>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</si>
  <si>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</si>
  <si>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</si>
  <si>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</si>
  <si>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</si>
  <si>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</si>
  <si>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</si>
  <si>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</si>
  <si>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</si>
  <si>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</si>
  <si>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</si>
  <si>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</si>
  <si>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</si>
  <si>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</si>
  <si>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</si>
  <si>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</si>
  <si>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</si>
  <si>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</si>
  <si>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</si>
  <si>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</si>
  <si>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</si>
  <si>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</si>
  <si>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</si>
  <si>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</si>
  <si>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</si>
  <si>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</si>
  <si>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</si>
  <si>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</si>
  <si>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</si>
  <si>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</si>
  <si>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</si>
  <si>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</si>
  <si>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</si>
  <si>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</si>
  <si>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</si>
  <si>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</si>
  <si>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</si>
  <si>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</si>
  <si>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</si>
  <si>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</si>
  <si>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</si>
  <si>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</si>
  <si>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</si>
  <si>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</si>
  <si>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</si>
  <si>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</si>
  <si>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</si>
  <si>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</si>
  <si>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</si>
  <si>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</si>
  <si>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6"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</si>
  <si>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</si>
  <si>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</si>
  <si>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</si>
  <si>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</si>
  <si>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</si>
  <si>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</si>
  <si>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</si>
  <si>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</si>
  <si>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</si>
  <si>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</si>
  <si>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</si>
  <si>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</si>
  <si>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</si>
  <si>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</si>
  <si>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</si>
  <si>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</si>
  <si>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</si>
  <si>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</si>
  <si>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</si>
  <si>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</si>
  <si>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</si>
  <si>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</si>
  <si>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</si>
  <si>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</si>
  <si>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</si>
  <si>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</si>
  <si>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</si>
  <si>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</si>
  <si>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</si>
  <si>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</si>
  <si>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</si>
  <si>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</si>
  <si>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</si>
  <si>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</si>
  <si>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</si>
  <si>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</si>
  <si>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</si>
  <si>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</si>
  <si>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</si>
  <si>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</si>
  <si>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</si>
  <si>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</si>
  <si>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</si>
  <si>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</si>
  <si>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</si>
  <si>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</si>
  <si>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</si>
  <si>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</si>
  <si>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</si>
  <si>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</si>
  <si>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</si>
  <si>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</si>
  <si>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</si>
  <si>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</si>
  <si>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</si>
  <si>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</si>
  <si>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</si>
  <si>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</si>
  <si>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</si>
  <si>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</si>
  <si>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</si>
  <si>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</si>
  <si>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</si>
  <si>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</si>
  <si>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</si>
  <si>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</si>
  <si>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</si>
  <si>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</si>
  <si>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</si>
  <si>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</si>
  <si>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</si>
  <si>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</si>
  <si>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</si>
  <si>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</si>
  <si>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</si>
  <si>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</si>
  <si>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</si>
  <si>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</si>
  <si>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</si>
  <si>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</si>
  <si>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</si>
  <si>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</si>
  <si>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</si>
  <si>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</si>
  <si>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</si>
  <si>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</si>
  <si>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</si>
  <si>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</si>
  <si>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</si>
  <si>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</si>
  <si>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</si>
  <si>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</si>
  <si>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</si>
  <si>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</si>
  <si>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</si>
  <si>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</si>
  <si>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</si>
  <si>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</si>
  <si>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</si>
  <si>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</si>
  <si>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</si>
  <si>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</si>
  <si>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</si>
  <si>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</si>
  <si>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</si>
  <si>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</si>
  <si>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</si>
  <si>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</si>
  <si>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</si>
  <si>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</si>
  <si>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</si>
  <si>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5"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</si>
  <si>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</si>
  <si>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</si>
  <si>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</si>
  <si>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</si>
  <si>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</si>
  <si>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</si>
  <si>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</si>
  <si>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</si>
  <si>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</si>
  <si>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</si>
  <si>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</si>
  <si>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</si>
  <si>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</si>
  <si>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</si>
  <si>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</si>
  <si>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</si>
  <si>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</si>
  <si>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</si>
  <si>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</si>
  <si>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</si>
  <si>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</si>
  <si>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</si>
  <si>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</si>
  <si>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</si>
  <si>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</si>
  <si>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</si>
  <si>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</si>
  <si>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</si>
  <si>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</si>
  <si>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</si>
  <si>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</si>
  <si>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</si>
  <si>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</si>
  <si>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</si>
  <si>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</si>
  <si>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</si>
  <si>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</si>
  <si>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</si>
  <si>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</si>
  <si>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</si>
  <si>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</si>
  <si>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</si>
  <si>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</si>
  <si>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</si>
  <si>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</si>
  <si>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</si>
  <si>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</si>
  <si>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</si>
  <si>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</si>
  <si>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</si>
  <si>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</si>
  <si>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</si>
  <si>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</si>
  <si>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</si>
  <si>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</si>
  <si>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</si>
  <si>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</si>
  <si>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</si>
  <si>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</si>
  <si>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</si>
  <si>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</si>
  <si>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</si>
  <si>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</si>
  <si>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</si>
  <si>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</si>
  <si>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</si>
  <si>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</si>
  <si>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</si>
  <si>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</si>
  <si>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</si>
  <si>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</si>
  <si>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</si>
  <si>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</si>
  <si>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</si>
  <si>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</si>
  <si>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</si>
  <si>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7"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</si>
  <si>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</si>
  <si>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</si>
  <si>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</si>
  <si>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7" type="noConversion"/>
  </si>
  <si>
    <r>
      <rPr>
        <sz val="12"/>
        <color indexed="8"/>
        <rFont val="宋体"/>
        <family val="3"/>
        <charset val="134"/>
      </rPr>
      <t>坐落</t>
    </r>
    <phoneticPr fontId="85" type="noConversion"/>
  </si>
  <si>
    <r>
      <rPr>
        <sz val="12"/>
        <color indexed="8"/>
        <rFont val="宋体"/>
        <family val="3"/>
        <charset val="134"/>
      </rPr>
      <t>不动产权利人</t>
    </r>
    <phoneticPr fontId="7" type="noConversion"/>
  </si>
  <si>
    <r>
      <rPr>
        <sz val="12"/>
        <color indexed="8"/>
        <rFont val="宋体"/>
        <family val="3"/>
        <charset val="134"/>
      </rPr>
      <t>土地性质</t>
    </r>
    <phoneticPr fontId="85"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</si>
  <si>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</si>
  <si>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</si>
  <si>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</si>
  <si>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</si>
  <si>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</si>
  <si>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</si>
  <si>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</si>
  <si>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</si>
  <si>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</si>
  <si>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</si>
  <si>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</si>
  <si>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7"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</si>
  <si>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</si>
  <si>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</si>
  <si>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</si>
  <si>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</si>
  <si>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</si>
  <si>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</si>
  <si>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</si>
  <si>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</si>
  <si>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</si>
  <si>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</si>
  <si>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</si>
  <si>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</si>
  <si>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</si>
  <si>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</si>
  <si>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</si>
  <si>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</si>
  <si>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</si>
  <si>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</si>
  <si>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</si>
  <si>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</si>
  <si>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</si>
  <si>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</si>
  <si>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</si>
  <si>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</si>
  <si>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</si>
  <si>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</si>
  <si>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</si>
  <si>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</si>
  <si>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</si>
  <si>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</si>
  <si>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</si>
  <si>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</si>
  <si>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</si>
  <si>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</si>
  <si>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</si>
  <si>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</si>
  <si>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</si>
  <si>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</si>
  <si>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</si>
  <si>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</si>
  <si>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</si>
  <si>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</si>
  <si>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</si>
  <si>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</si>
  <si>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</si>
  <si>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</si>
  <si>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</si>
  <si>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</si>
  <si>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</si>
  <si>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</si>
  <si>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</si>
  <si>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</si>
  <si>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</si>
  <si>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</si>
  <si>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</si>
  <si>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</si>
  <si>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</si>
  <si>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</si>
  <si>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</si>
  <si>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</si>
  <si>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</si>
  <si>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</si>
  <si>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</si>
  <si>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</si>
  <si>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</si>
  <si>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</si>
  <si>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</si>
  <si>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</si>
  <si>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</si>
  <si>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</si>
  <si>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</si>
  <si>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</si>
  <si>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</si>
  <si>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</si>
  <si>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</si>
  <si>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</si>
  <si>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</si>
  <si>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</si>
  <si>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</si>
  <si>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</si>
  <si>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</si>
  <si>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</si>
  <si>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</si>
  <si>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</si>
  <si>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</si>
  <si>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</si>
  <si>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</si>
  <si>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</si>
  <si>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</si>
  <si>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</si>
  <si>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</si>
  <si>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</si>
  <si>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</si>
  <si>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</si>
  <si>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</si>
  <si>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</si>
  <si>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</si>
  <si>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</si>
  <si>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</si>
  <si>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</si>
  <si>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</si>
  <si>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</si>
  <si>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</si>
  <si>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</si>
  <si>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</si>
  <si>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</si>
  <si>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</si>
  <si>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</si>
  <si>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</si>
  <si>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</si>
  <si>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</si>
  <si>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</si>
  <si>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</si>
  <si>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</si>
  <si>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</si>
  <si>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</si>
  <si>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</si>
  <si>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</si>
  <si>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</si>
  <si>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</si>
  <si>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</si>
  <si>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</si>
  <si>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</si>
  <si>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</si>
  <si>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</si>
  <si>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</si>
  <si>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</si>
  <si>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</si>
  <si>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</si>
  <si>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</si>
  <si>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</si>
  <si>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</si>
  <si>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</si>
  <si>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</si>
  <si>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</si>
  <si>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</si>
  <si>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</si>
  <si>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</si>
  <si>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</si>
  <si>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</si>
  <si>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</si>
  <si>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</si>
  <si>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</si>
  <si>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</si>
  <si>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</si>
  <si>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</si>
  <si>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</si>
  <si>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</si>
  <si>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</si>
  <si>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</si>
  <si>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</si>
  <si>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</si>
  <si>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</si>
  <si>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</si>
  <si>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</si>
  <si>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</si>
  <si>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</si>
  <si>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</si>
  <si>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</si>
  <si>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</si>
  <si>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</si>
  <si>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</si>
  <si>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</si>
  <si>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</si>
  <si>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</si>
  <si>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</si>
  <si>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</si>
  <si>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</si>
  <si>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</si>
  <si>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</si>
  <si>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</si>
  <si>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</si>
  <si>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</si>
  <si>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</si>
  <si>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</si>
  <si>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</si>
  <si>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</si>
  <si>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</si>
  <si>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</si>
  <si>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</si>
  <si>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</si>
  <si>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</si>
  <si>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</si>
  <si>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</si>
  <si>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</si>
  <si>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</si>
  <si>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</si>
  <si>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</si>
  <si>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</si>
  <si>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</si>
  <si>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</si>
  <si>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</si>
  <si>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</si>
  <si>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</si>
  <si>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</si>
  <si>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</si>
  <si>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</si>
  <si>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</si>
  <si>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</si>
  <si>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</si>
  <si>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</si>
  <si>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</si>
  <si>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</si>
  <si>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</si>
  <si>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</si>
  <si>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</si>
  <si>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</si>
  <si>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</si>
  <si>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</si>
  <si>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</si>
  <si>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</si>
  <si>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</si>
  <si>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</si>
  <si>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</si>
  <si>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</si>
  <si>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</si>
  <si>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</si>
  <si>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</si>
  <si>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</si>
  <si>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</si>
  <si>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</si>
  <si>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</si>
  <si>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</si>
  <si>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</si>
  <si>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</si>
  <si>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</si>
  <si>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</si>
  <si>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</si>
  <si>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</si>
  <si>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</si>
  <si>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</si>
  <si>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</si>
  <si>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</si>
  <si>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</si>
  <si>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</si>
  <si>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</si>
  <si>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</si>
  <si>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</si>
  <si>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</si>
  <si>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</si>
  <si>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</si>
  <si>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</si>
  <si>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</si>
  <si>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</si>
  <si>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</si>
  <si>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</si>
  <si>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</si>
  <si>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</si>
  <si>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</si>
  <si>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</si>
  <si>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</si>
  <si>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</si>
  <si>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</si>
  <si>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</si>
  <si>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</si>
  <si>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</si>
  <si>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</si>
  <si>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</si>
  <si>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</si>
  <si>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</si>
  <si>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</si>
  <si>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</si>
  <si>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</si>
  <si>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</si>
  <si>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</si>
  <si>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</si>
  <si>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</si>
  <si>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</si>
  <si>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</si>
  <si>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</si>
  <si>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</si>
  <si>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</si>
  <si>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</si>
  <si>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</si>
  <si>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</si>
  <si>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</si>
  <si>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</si>
  <si>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</si>
  <si>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</si>
  <si>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</si>
  <si>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</si>
  <si>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</si>
  <si>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</si>
  <si>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</si>
  <si>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</si>
  <si>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</si>
  <si>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</si>
  <si>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</si>
  <si>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</si>
  <si>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</si>
  <si>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</si>
  <si>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</si>
  <si>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</si>
  <si>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</si>
  <si>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</si>
  <si>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</si>
  <si>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</si>
  <si>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</si>
  <si>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</si>
  <si>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</si>
  <si>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</si>
  <si>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</si>
  <si>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</si>
  <si>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</si>
  <si>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</si>
  <si>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</si>
  <si>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</si>
  <si>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</si>
  <si>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</si>
  <si>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</si>
  <si>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</si>
  <si>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</si>
  <si>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</si>
  <si>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</si>
  <si>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</si>
  <si>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</si>
  <si>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</si>
  <si>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</si>
  <si>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</si>
  <si>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</si>
  <si>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</si>
  <si>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</si>
  <si>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</si>
  <si>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</si>
  <si>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</si>
  <si>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</si>
  <si>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</si>
  <si>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</si>
  <si>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</si>
  <si>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</si>
  <si>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</si>
  <si>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</si>
  <si>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</si>
  <si>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</si>
  <si>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</si>
  <si>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</si>
  <si>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</si>
  <si>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</si>
  <si>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</si>
  <si>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</si>
  <si>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</si>
  <si>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</si>
  <si>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</si>
  <si>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</si>
  <si>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</si>
  <si>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</si>
  <si>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</si>
  <si>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</si>
  <si>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</si>
  <si>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</si>
  <si>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</si>
  <si>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</si>
  <si>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</si>
  <si>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</si>
  <si>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</si>
  <si>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</si>
  <si>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</si>
  <si>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</si>
  <si>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</si>
  <si>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</si>
  <si>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</si>
  <si>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</si>
  <si>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</si>
  <si>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</si>
  <si>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</si>
  <si>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</si>
  <si>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</si>
  <si>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</si>
  <si>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</si>
  <si>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</si>
  <si>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</si>
  <si>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</si>
  <si>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</si>
  <si>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</si>
  <si>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</si>
  <si>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</si>
  <si>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</si>
  <si>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</si>
  <si>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</si>
  <si>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</si>
  <si>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</si>
  <si>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</si>
  <si>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</si>
  <si>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</si>
  <si>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</si>
  <si>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</si>
  <si>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</si>
  <si>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</si>
  <si>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</si>
  <si>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</si>
  <si>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</si>
  <si>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</si>
  <si>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</si>
  <si>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</si>
  <si>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</si>
  <si>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</si>
  <si>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</si>
  <si>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</si>
  <si>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</si>
  <si>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</si>
  <si>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</si>
  <si>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</si>
  <si>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</si>
  <si>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</si>
  <si>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</si>
  <si>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</si>
  <si>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</si>
  <si>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</si>
  <si>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</si>
  <si>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</si>
  <si>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</si>
  <si>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</si>
  <si>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</si>
  <si>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</si>
  <si>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</si>
  <si>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</si>
  <si>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</si>
  <si>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</si>
  <si>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</si>
  <si>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</si>
  <si>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</si>
  <si>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</si>
  <si>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</si>
  <si>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</si>
  <si>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</si>
  <si>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</si>
  <si>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</si>
  <si>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</si>
  <si>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</si>
  <si>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</si>
  <si>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</si>
  <si>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</si>
  <si>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</si>
  <si>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</si>
  <si>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</si>
  <si>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</si>
  <si>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</si>
  <si>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</si>
  <si>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</si>
  <si>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</si>
  <si>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</si>
  <si>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</si>
  <si>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</si>
  <si>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</si>
  <si>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</si>
  <si>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</si>
  <si>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</si>
  <si>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</si>
  <si>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</si>
  <si>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</si>
  <si>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</si>
  <si>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</si>
  <si>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</si>
  <si>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</si>
  <si>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</si>
  <si>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</si>
  <si>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</si>
  <si>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</si>
  <si>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</si>
  <si>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</si>
  <si>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</si>
  <si>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</si>
  <si>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</si>
  <si>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</si>
  <si>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</si>
  <si>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</si>
  <si>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</si>
  <si>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</si>
  <si>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</si>
  <si>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</si>
  <si>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</si>
  <si>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</si>
  <si>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</si>
  <si>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</si>
  <si>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</si>
  <si>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</si>
  <si>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</si>
  <si>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</si>
  <si>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</si>
  <si>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</si>
  <si>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</si>
  <si>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</si>
  <si>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</si>
  <si>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</si>
  <si>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</si>
  <si>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</si>
  <si>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</si>
  <si>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</si>
  <si>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</si>
  <si>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</si>
  <si>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</si>
  <si>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</si>
  <si>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</si>
  <si>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</si>
  <si>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</si>
  <si>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</si>
  <si>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</si>
  <si>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</si>
  <si>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</si>
  <si>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</si>
  <si>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</si>
  <si>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</si>
  <si>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</si>
  <si>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</si>
  <si>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</si>
  <si>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</si>
  <si>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</si>
  <si>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</si>
  <si>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</si>
  <si>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</si>
  <si>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</si>
  <si>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</si>
  <si>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</si>
  <si>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</si>
  <si>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</si>
  <si>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</si>
  <si>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</si>
  <si>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</si>
  <si>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</si>
  <si>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</si>
  <si>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</si>
  <si>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</si>
  <si>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</si>
  <si>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</si>
  <si>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</si>
  <si>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</si>
  <si>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</si>
  <si>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</si>
  <si>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</si>
  <si>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</si>
  <si>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</si>
  <si>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</si>
  <si>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</si>
  <si>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</si>
  <si>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</si>
  <si>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</si>
  <si>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</si>
  <si>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</si>
  <si>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</si>
  <si>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</si>
  <si>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</si>
  <si>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</si>
  <si>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</si>
  <si>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</si>
  <si>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</si>
  <si>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3"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</si>
  <si>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</si>
  <si>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</si>
  <si>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</si>
  <si>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</si>
  <si>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</si>
  <si>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</si>
  <si>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</si>
  <si>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</si>
  <si>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</si>
  <si>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</si>
  <si>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</si>
  <si>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</si>
  <si>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</si>
  <si>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</si>
  <si>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</si>
  <si>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</si>
  <si>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</si>
  <si>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</si>
  <si>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</si>
  <si>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</si>
  <si>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</si>
  <si>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</si>
  <si>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</si>
  <si>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</si>
  <si>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</si>
  <si>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</si>
  <si>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</si>
  <si>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</si>
  <si>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</si>
  <si>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</si>
  <si>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</si>
  <si>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</si>
  <si>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</si>
  <si>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</si>
  <si>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</si>
  <si>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</si>
  <si>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</si>
  <si>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</si>
  <si>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</si>
  <si>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</si>
  <si>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</si>
  <si>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</si>
  <si>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</si>
  <si>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</si>
  <si>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</si>
  <si>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</si>
  <si>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</si>
  <si>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</si>
  <si>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</si>
  <si>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</si>
  <si>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</si>
  <si>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</si>
  <si>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</si>
  <si>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</si>
  <si>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</si>
  <si>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</si>
  <si>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</si>
  <si>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</si>
  <si>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</si>
  <si>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</si>
  <si>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</si>
  <si>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</si>
  <si>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</si>
  <si>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</si>
  <si>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</si>
  <si>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</si>
  <si>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</si>
  <si>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</si>
  <si>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</si>
  <si>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</si>
  <si>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</si>
  <si>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</si>
  <si>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</si>
  <si>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</si>
  <si>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</si>
  <si>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</si>
  <si>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</si>
  <si>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</si>
  <si>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</si>
  <si>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</si>
  <si>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</si>
  <si>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</si>
  <si>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</si>
  <si>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3"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</si>
  <si>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</si>
  <si>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</si>
  <si>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</si>
  <si>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</si>
  <si>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</si>
  <si>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</si>
  <si>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</si>
  <si>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</si>
  <si>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</si>
  <si>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</si>
  <si>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</si>
  <si>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</si>
  <si>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</si>
  <si>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</si>
  <si>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</si>
  <si>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</si>
  <si>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</si>
  <si>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</si>
  <si>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</si>
  <si>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</si>
  <si>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</si>
  <si>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</si>
  <si>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</si>
  <si>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</si>
  <si>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</si>
  <si>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</si>
  <si>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</si>
  <si>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</si>
  <si>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</si>
  <si>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</si>
  <si>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</si>
  <si>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</si>
  <si>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</si>
  <si>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</si>
  <si>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</si>
  <si>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</si>
  <si>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</si>
  <si>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</si>
  <si>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</si>
  <si>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</si>
  <si>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</si>
  <si>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</si>
  <si>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</si>
  <si>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</si>
  <si>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</si>
  <si>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</si>
  <si>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</si>
  <si>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</si>
  <si>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</si>
  <si>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</si>
  <si>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</si>
  <si>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</si>
  <si>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</si>
  <si>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</si>
  <si>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</si>
  <si>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</si>
  <si>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</si>
  <si>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</si>
  <si>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</si>
  <si>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</si>
  <si>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</si>
  <si>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</si>
  <si>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</si>
  <si>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</si>
  <si>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</si>
  <si>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</si>
  <si>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</si>
  <si>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</si>
  <si>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</si>
  <si>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</si>
  <si>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</si>
  <si>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</si>
  <si>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</si>
  <si>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</si>
  <si>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</si>
  <si>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</si>
  <si>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</si>
  <si>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</si>
  <si>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</si>
  <si>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</si>
  <si>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</si>
  <si>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</si>
  <si>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</si>
  <si>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</si>
  <si>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</si>
  <si>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</si>
  <si>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</si>
  <si>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</si>
  <si>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</si>
  <si>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</si>
  <si>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</si>
  <si>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</si>
  <si>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</si>
  <si>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</si>
  <si>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</si>
  <si>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</si>
  <si>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</si>
  <si>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</si>
  <si>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</si>
  <si>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</si>
  <si>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</si>
  <si>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</si>
  <si>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</si>
  <si>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</si>
  <si>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</si>
  <si>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</si>
  <si>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</si>
  <si>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</si>
  <si>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</si>
  <si>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</si>
  <si>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</si>
  <si>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</si>
  <si>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</si>
  <si>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</si>
  <si>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</si>
  <si>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</si>
  <si>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</si>
  <si>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</si>
  <si>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</si>
  <si>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</si>
  <si>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</si>
  <si>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</si>
  <si>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</si>
  <si>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</si>
  <si>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</si>
  <si>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</si>
  <si>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</si>
  <si>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</si>
  <si>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</si>
  <si>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</si>
  <si>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</si>
  <si>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</si>
  <si>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</si>
  <si>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</si>
  <si>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</si>
  <si>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</si>
  <si>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</si>
  <si>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</si>
  <si>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</si>
  <si>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</si>
  <si>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</si>
  <si>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</si>
  <si>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</si>
  <si>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</si>
  <si>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</si>
  <si>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</si>
  <si>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</si>
  <si>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</si>
  <si>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</si>
  <si>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</si>
  <si>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</si>
  <si>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</si>
  <si>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</si>
  <si>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</si>
  <si>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</si>
  <si>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</si>
  <si>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</si>
  <si>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</si>
  <si>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</si>
  <si>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</si>
  <si>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</si>
  <si>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</si>
  <si>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</si>
  <si>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</si>
  <si>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</si>
  <si>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</si>
  <si>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</si>
  <si>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</si>
  <si>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</si>
  <si>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</si>
  <si>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</si>
  <si>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</si>
  <si>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</si>
  <si>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</si>
  <si>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</si>
  <si>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</si>
  <si>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</si>
  <si>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</si>
  <si>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</si>
  <si>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</si>
  <si>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</si>
  <si>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</si>
  <si>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</si>
  <si>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</si>
  <si>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</si>
  <si>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</si>
  <si>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</si>
  <si>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</si>
  <si>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</si>
  <si>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</si>
  <si>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</si>
  <si>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</si>
  <si>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</si>
  <si>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</si>
  <si>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</si>
  <si>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</si>
  <si>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</si>
  <si>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</si>
  <si>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</si>
  <si>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</si>
  <si>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</si>
  <si>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</si>
  <si>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</si>
  <si>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</si>
  <si>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</si>
  <si>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</si>
  <si>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</si>
  <si>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</si>
  <si>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</si>
  <si>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</si>
  <si>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</si>
  <si>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</si>
  <si>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</si>
  <si>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</si>
  <si>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</si>
  <si>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</si>
  <si>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</si>
  <si>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</si>
  <si>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</si>
  <si>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</si>
  <si>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</si>
  <si>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</si>
  <si>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</si>
  <si>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</si>
  <si>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</si>
  <si>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</si>
  <si>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</si>
  <si>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</si>
  <si>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</si>
  <si>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</si>
  <si>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</si>
  <si>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</si>
  <si>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</si>
  <si>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</si>
  <si>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</si>
  <si>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</si>
  <si>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</si>
  <si>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</si>
  <si>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</si>
  <si>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</si>
  <si>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</si>
  <si>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</si>
  <si>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</si>
  <si>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</si>
  <si>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</si>
  <si>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</si>
  <si>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</si>
  <si>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</si>
  <si>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</si>
  <si>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</si>
  <si>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</si>
  <si>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</si>
  <si>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</si>
  <si>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</si>
  <si>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</si>
  <si>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</si>
  <si>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</si>
  <si>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</si>
  <si>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</si>
  <si>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</si>
  <si>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</si>
  <si>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</si>
  <si>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</si>
  <si>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</si>
  <si>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</si>
  <si>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</si>
  <si>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</si>
  <si>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</si>
  <si>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</si>
  <si>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</si>
  <si>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</si>
  <si>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</si>
  <si>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</si>
  <si>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</si>
  <si>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</si>
  <si>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</si>
  <si>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</si>
  <si>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</si>
  <si>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</si>
  <si>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</si>
  <si>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</si>
  <si>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</si>
  <si>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</si>
  <si>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</si>
  <si>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</si>
  <si>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</si>
  <si>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</si>
  <si>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</si>
  <si>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</si>
  <si>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</si>
  <si>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</si>
  <si>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</si>
  <si>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</si>
  <si>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</si>
  <si>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</si>
  <si>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</si>
  <si>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</si>
  <si>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</si>
  <si>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</si>
  <si>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</si>
  <si>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</si>
  <si>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</si>
  <si>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</si>
  <si>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</si>
  <si>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</si>
  <si>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</si>
  <si>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</si>
  <si>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</si>
  <si>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</si>
  <si>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</si>
  <si>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</si>
  <si>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</si>
  <si>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</si>
  <si>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</si>
  <si>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</si>
  <si>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</si>
  <si>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</si>
  <si>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</si>
  <si>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</si>
  <si>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</si>
  <si>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</si>
  <si>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</si>
  <si>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</si>
  <si>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</si>
  <si>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</si>
  <si>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</si>
  <si>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</si>
  <si>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</si>
  <si>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</si>
  <si>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</si>
  <si>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</si>
  <si>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</si>
  <si>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</si>
  <si>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</si>
  <si>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</si>
  <si>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</si>
  <si>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</si>
  <si>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</si>
  <si>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</si>
  <si>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</si>
  <si>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</si>
  <si>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</si>
  <si>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</si>
  <si>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</si>
  <si>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</si>
  <si>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</si>
  <si>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</si>
  <si>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</si>
  <si>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</si>
  <si>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</si>
  <si>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</si>
  <si>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</si>
  <si>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</si>
  <si>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</si>
  <si>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</si>
  <si>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</si>
  <si>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</si>
  <si>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</si>
  <si>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</si>
  <si>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</si>
  <si>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</si>
  <si>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</si>
  <si>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</si>
  <si>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</si>
  <si>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</si>
  <si>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</si>
  <si>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</si>
  <si>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</si>
  <si>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</si>
  <si>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</si>
  <si>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</si>
  <si>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</si>
  <si>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</si>
  <si>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</si>
  <si>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</si>
  <si>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</si>
  <si>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</si>
  <si>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</si>
  <si>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</si>
  <si>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</si>
  <si>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</si>
  <si>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</si>
  <si>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</si>
  <si>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</si>
  <si>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</si>
  <si>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</si>
  <si>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</si>
  <si>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</si>
  <si>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</si>
  <si>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</si>
  <si>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</si>
  <si>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</si>
  <si>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</si>
  <si>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</si>
  <si>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</si>
  <si>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</si>
  <si>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</si>
  <si>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</si>
  <si>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</si>
  <si>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</si>
  <si>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</si>
  <si>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</si>
  <si>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</si>
  <si>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</si>
  <si>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</si>
  <si>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</si>
  <si>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</si>
  <si>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</si>
  <si>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</si>
  <si>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</si>
  <si>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</si>
  <si>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</si>
  <si>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</si>
  <si>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</si>
  <si>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</si>
  <si>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</si>
  <si>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</si>
  <si>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</si>
  <si>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</si>
  <si>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</si>
  <si>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</si>
  <si>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</si>
  <si>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</si>
  <si>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</si>
  <si>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</si>
  <si>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</si>
  <si>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</si>
  <si>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</si>
  <si>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</si>
  <si>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</si>
  <si>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</si>
  <si>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</si>
  <si>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</si>
  <si>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</si>
  <si>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</si>
  <si>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</si>
  <si>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</si>
  <si>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</si>
  <si>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</si>
  <si>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</si>
  <si>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</si>
  <si>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</si>
  <si>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</si>
  <si>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</si>
  <si>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</si>
  <si>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</si>
  <si>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</si>
  <si>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</si>
  <si>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</si>
  <si>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</si>
  <si>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</si>
  <si>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</si>
  <si>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</si>
  <si>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</si>
  <si>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</si>
  <si>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</si>
  <si>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</si>
  <si>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</si>
  <si>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</si>
  <si>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</si>
  <si>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</si>
  <si>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</si>
  <si>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</si>
  <si>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</si>
  <si>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</si>
  <si>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</si>
  <si>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</si>
  <si>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</si>
  <si>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</si>
  <si>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</si>
  <si>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</si>
  <si>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</si>
  <si>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</si>
  <si>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</si>
  <si>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</si>
  <si>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</si>
  <si>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</si>
  <si>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</si>
  <si>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</si>
  <si>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</si>
  <si>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</si>
  <si>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</si>
  <si>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</si>
  <si>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</si>
  <si>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</si>
  <si>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</si>
  <si>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</si>
  <si>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</si>
  <si>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</si>
  <si>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</si>
  <si>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</si>
  <si>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</si>
  <si>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</si>
  <si>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</si>
  <si>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</si>
  <si>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</si>
  <si>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</si>
  <si>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</si>
  <si>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</si>
  <si>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</si>
  <si>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</si>
  <si>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</si>
  <si>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</si>
  <si>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</si>
  <si>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</si>
  <si>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</si>
  <si>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</si>
  <si>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</si>
  <si>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</si>
  <si>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</si>
  <si>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</si>
  <si>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</si>
  <si>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</si>
  <si>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</si>
  <si>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</si>
  <si>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</si>
  <si>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</si>
  <si>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</si>
  <si>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</si>
  <si>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</si>
  <si>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</si>
  <si>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</si>
  <si>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</si>
  <si>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</si>
  <si>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</si>
  <si>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</si>
  <si>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</si>
  <si>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</si>
  <si>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</si>
  <si>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</si>
  <si>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</si>
  <si>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</si>
  <si>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</si>
  <si>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</si>
  <si>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</si>
  <si>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</si>
  <si>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</si>
  <si>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</si>
  <si>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</si>
  <si>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</si>
  <si>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</si>
  <si>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</si>
  <si>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</si>
  <si>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</si>
  <si>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</si>
  <si>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</si>
  <si>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</si>
  <si>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</si>
  <si>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</si>
  <si>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</si>
  <si>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</si>
  <si>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</si>
  <si>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</si>
  <si>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</si>
  <si>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</si>
  <si>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</si>
  <si>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</si>
  <si>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</si>
  <si>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</si>
  <si>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</si>
  <si>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</si>
  <si>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</si>
  <si>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</si>
  <si>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</si>
  <si>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</si>
  <si>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</si>
  <si>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</si>
  <si>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</si>
  <si>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</si>
  <si>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</si>
  <si>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</si>
  <si>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</si>
  <si>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</si>
  <si>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</si>
  <si>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</si>
  <si>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</si>
  <si>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</si>
  <si>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</si>
  <si>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</si>
  <si>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</si>
  <si>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</si>
  <si>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</si>
  <si>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</si>
  <si>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</si>
  <si>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</si>
  <si>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</si>
  <si>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</si>
  <si>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</si>
  <si>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</si>
  <si>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</si>
  <si>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</si>
  <si>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</si>
  <si>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</si>
  <si>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</si>
  <si>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</si>
  <si>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</si>
  <si>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</si>
  <si>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</si>
  <si>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</si>
  <si>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</si>
  <si>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</si>
  <si>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</si>
  <si>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</si>
  <si>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</si>
  <si>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</si>
  <si>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</si>
  <si>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</si>
  <si>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</si>
  <si>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</si>
  <si>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</si>
  <si>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</si>
  <si>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</si>
  <si>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</si>
  <si>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</si>
  <si>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</si>
  <si>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</si>
  <si>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</si>
  <si>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</si>
  <si>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</si>
  <si>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</si>
  <si>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</si>
  <si>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</si>
  <si>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</si>
  <si>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6" type="noConversion"/>
  </si>
  <si>
    <t>刘俊财</t>
    <phoneticPr fontId="86" type="noConversion"/>
  </si>
  <si>
    <t>2019-4</t>
    <phoneticPr fontId="4" type="noConversion"/>
  </si>
  <si>
    <t>2020-1</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</si>
  <si>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</si>
  <si>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</si>
  <si>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t>土地征用及拆迁补偿费</t>
    <phoneticPr fontId="9" type="noConversion"/>
  </si>
  <si>
    <t>2020-2</t>
    <phoneticPr fontId="4" type="noConversion"/>
  </si>
  <si>
    <t>2020-3</t>
    <phoneticPr fontId="143" type="noConversion"/>
  </si>
  <si>
    <t>核定资产</t>
  </si>
  <si>
    <t>房地产市场价值</t>
  </si>
  <si>
    <t>北京市</t>
  </si>
  <si>
    <t>出让</t>
  </si>
  <si>
    <t>居住项目</t>
  </si>
  <si>
    <t>二类居住用地</t>
    <phoneticPr fontId="143" type="noConversion"/>
  </si>
  <si>
    <t>公顷</t>
    <phoneticPr fontId="143" type="noConversion"/>
  </si>
  <si>
    <t>规划建筑规模</t>
    <phoneticPr fontId="143" type="noConversion"/>
  </si>
  <si>
    <t>万平方米</t>
    <phoneticPr fontId="143" type="noConversion"/>
  </si>
  <si>
    <t>容积率</t>
    <phoneticPr fontId="143" type="noConversion"/>
  </si>
  <si>
    <t>控高</t>
    <phoneticPr fontId="143" type="noConversion"/>
  </si>
  <si>
    <t>米</t>
    <phoneticPr fontId="143" type="noConversion"/>
  </si>
  <si>
    <t>托幼用地面积</t>
    <phoneticPr fontId="143" type="noConversion"/>
  </si>
  <si>
    <t>规划</t>
    <phoneticPr fontId="143" type="noConversion"/>
  </si>
  <si>
    <t>总建设用地面积</t>
    <phoneticPr fontId="143" type="noConversion"/>
  </si>
  <si>
    <t>㎡</t>
    <phoneticPr fontId="143" type="noConversion"/>
  </si>
  <si>
    <t>89（㎡）</t>
    <phoneticPr fontId="143" type="noConversion"/>
  </si>
  <si>
    <t>80（㎡）</t>
    <phoneticPr fontId="143" type="noConversion"/>
  </si>
  <si>
    <t>119（㎡）</t>
    <phoneticPr fontId="143" type="noConversion"/>
  </si>
  <si>
    <t>机动车车位</t>
    <phoneticPr fontId="143" type="noConversion"/>
  </si>
  <si>
    <t>非机动车车位</t>
    <phoneticPr fontId="143" type="noConversion"/>
  </si>
  <si>
    <t>公租房占地</t>
    <phoneticPr fontId="143" type="noConversion"/>
  </si>
  <si>
    <t>4栋</t>
    <phoneticPr fontId="143" type="noConversion"/>
  </si>
  <si>
    <t>300户</t>
    <phoneticPr fontId="143" type="noConversion"/>
  </si>
  <si>
    <t>共产房占地</t>
    <phoneticPr fontId="143" type="noConversion"/>
  </si>
  <si>
    <t>7栋</t>
    <phoneticPr fontId="143" type="noConversion"/>
  </si>
  <si>
    <t>684户</t>
    <phoneticPr fontId="143" type="noConversion"/>
  </si>
  <si>
    <t>27000/平方米（含装修1000）</t>
    <phoneticPr fontId="143" type="noConversion"/>
  </si>
  <si>
    <t>配套</t>
    <phoneticPr fontId="143" type="noConversion"/>
  </si>
  <si>
    <t>总</t>
    <phoneticPr fontId="143" type="noConversion"/>
  </si>
  <si>
    <t>地上</t>
    <phoneticPr fontId="143" type="noConversion"/>
  </si>
  <si>
    <t>地下</t>
    <phoneticPr fontId="143" type="noConversion"/>
  </si>
  <si>
    <t>总建筑面积（㎡）</t>
    <phoneticPr fontId="143" type="noConversion"/>
  </si>
  <si>
    <t>公租房（㎡）</t>
    <phoneticPr fontId="143" type="noConversion"/>
  </si>
  <si>
    <t>共产房（㎡）</t>
    <phoneticPr fontId="143" type="noConversion"/>
  </si>
  <si>
    <t>配套（㎡）</t>
    <phoneticPr fontId="143" type="noConversion"/>
  </si>
  <si>
    <t>幼儿园（㎡）</t>
    <phoneticPr fontId="143" type="noConversion"/>
  </si>
  <si>
    <t>19年2月批准</t>
    <phoneticPr fontId="143" type="noConversion"/>
  </si>
  <si>
    <t>19年7月专家预审</t>
    <phoneticPr fontId="143" type="noConversion"/>
  </si>
  <si>
    <t>土地补偿费</t>
    <phoneticPr fontId="143" type="noConversion"/>
  </si>
  <si>
    <t>亿元</t>
    <phoneticPr fontId="143" type="noConversion"/>
  </si>
  <si>
    <t>测算依据</t>
    <phoneticPr fontId="143" type="noConversion"/>
  </si>
  <si>
    <t>地上建安</t>
    <phoneticPr fontId="143" type="noConversion"/>
  </si>
  <si>
    <t>元/平方米</t>
    <phoneticPr fontId="143" type="noConversion"/>
  </si>
  <si>
    <t>含精装修、装配式、</t>
  </si>
  <si>
    <t>其中</t>
    <phoneticPr fontId="143" type="noConversion"/>
  </si>
  <si>
    <t>建安成本</t>
    <phoneticPr fontId="143" type="noConversion"/>
  </si>
  <si>
    <t>绿建及装配智能化</t>
  </si>
  <si>
    <t>精装修</t>
    <phoneticPr fontId="143" type="noConversion"/>
  </si>
  <si>
    <t>地上装配式</t>
    <phoneticPr fontId="143" type="noConversion"/>
  </si>
  <si>
    <t>地上地下绿建</t>
    <phoneticPr fontId="143" type="noConversion"/>
  </si>
  <si>
    <t>装配智能化</t>
    <phoneticPr fontId="143" type="noConversion"/>
  </si>
  <si>
    <t>地下建安</t>
    <phoneticPr fontId="143" type="noConversion"/>
  </si>
  <si>
    <t>含绿建</t>
    <phoneticPr fontId="143" type="noConversion"/>
  </si>
  <si>
    <t>是</t>
  </si>
  <si>
    <t>地上</t>
  </si>
  <si>
    <t>住宅</t>
  </si>
  <si>
    <t>地下</t>
  </si>
  <si>
    <t>车库</t>
  </si>
  <si>
    <t>地下总</t>
    <phoneticPr fontId="143" type="noConversion"/>
  </si>
  <si>
    <t>机动车库</t>
    <phoneticPr fontId="143" type="noConversion"/>
  </si>
  <si>
    <t>其中人防6180.6</t>
    <phoneticPr fontId="143" type="noConversion"/>
  </si>
  <si>
    <t>非机动车库</t>
    <phoneticPr fontId="143" type="noConversion"/>
  </si>
  <si>
    <t>丙二类库房</t>
    <phoneticPr fontId="143" type="noConversion"/>
  </si>
  <si>
    <t>“公租房地下车位300，人防车位约150”</t>
    <phoneticPr fontId="143" type="noConversion"/>
  </si>
  <si>
    <t>住宅</t>
    <phoneticPr fontId="8" type="noConversion"/>
  </si>
  <si>
    <t>成新度</t>
  </si>
  <si>
    <t>现房</t>
  </si>
  <si>
    <t>全部缴纳</t>
  </si>
  <si>
    <t>已包含在土地取得成本中</t>
  </si>
  <si>
    <t>未包含在土地购买价格中</t>
  </si>
  <si>
    <r>
      <rPr>
        <sz val="11"/>
        <color indexed="8"/>
        <rFont val="宋体"/>
        <family val="3"/>
        <charset val="134"/>
        <scheme val="minor"/>
      </rPr>
      <t>收益法</t>
    </r>
    <r>
      <rPr>
        <sz val="11"/>
        <color theme="1"/>
        <rFont val="宋体"/>
        <family val="3"/>
        <charset val="134"/>
        <scheme val="minor"/>
      </rPr>
      <t>-住宅</t>
    </r>
    <phoneticPr fontId="17" type="noConversion"/>
  </si>
  <si>
    <r>
      <rPr>
        <sz val="11"/>
        <color indexed="8"/>
        <rFont val="宋体"/>
        <family val="3"/>
        <charset val="134"/>
        <scheme val="minor"/>
      </rPr>
      <t>成本法</t>
    </r>
    <r>
      <rPr>
        <sz val="11"/>
        <color theme="1"/>
        <rFont val="宋体"/>
        <family val="3"/>
        <charset val="134"/>
        <scheme val="minor"/>
      </rPr>
      <t>-住宅</t>
    </r>
    <phoneticPr fontId="17" type="noConversion"/>
  </si>
  <si>
    <r>
      <rPr>
        <sz val="11"/>
        <color indexed="8"/>
        <rFont val="宋体"/>
        <family val="3"/>
        <charset val="134"/>
        <scheme val="minor"/>
      </rPr>
      <t>成本法</t>
    </r>
    <r>
      <rPr>
        <sz val="11"/>
        <color theme="1"/>
        <rFont val="宋体"/>
        <family val="3"/>
        <charset val="134"/>
        <scheme val="minor"/>
      </rPr>
      <t>-车库</t>
    </r>
    <phoneticPr fontId="17" type="noConversion"/>
  </si>
  <si>
    <r>
      <rPr>
        <sz val="11"/>
        <color indexed="8"/>
        <rFont val="宋体"/>
        <family val="3"/>
        <charset val="134"/>
        <scheme val="minor"/>
      </rPr>
      <t>收益法</t>
    </r>
    <r>
      <rPr>
        <sz val="11"/>
        <color theme="1"/>
        <rFont val="宋体"/>
        <family val="3"/>
        <charset val="134"/>
        <scheme val="minor"/>
      </rPr>
      <t>-车库</t>
    </r>
    <phoneticPr fontId="17" type="noConversion"/>
  </si>
  <si>
    <t>收益法-住宅</t>
  </si>
  <si>
    <t>居住用地（指二类居住用地）</t>
  </si>
  <si>
    <t>自定义容积率</t>
  </si>
  <si>
    <t>与级别开发程度一致</t>
  </si>
  <si>
    <t>按公示增长率计算</t>
  </si>
  <si>
    <t>容积率修正</t>
  </si>
  <si>
    <t>较好</t>
  </si>
  <si>
    <t>好</t>
  </si>
  <si>
    <t>一般</t>
  </si>
  <si>
    <t>押一</t>
  </si>
  <si>
    <t>（4）</t>
    <phoneticPr fontId="4" type="noConversion"/>
  </si>
  <si>
    <t>（5）</t>
    <phoneticPr fontId="4" type="noConversion"/>
  </si>
  <si>
    <t>物业管理费</t>
    <phoneticPr fontId="4" type="noConversion"/>
  </si>
  <si>
    <r>
      <t>建筑面积</t>
    </r>
    <r>
      <rPr>
        <sz val="10"/>
        <color indexed="8"/>
        <rFont val="Arial"/>
        <family val="2"/>
      </rPr>
      <t>×</t>
    </r>
    <r>
      <rPr>
        <sz val="10"/>
        <color indexed="8"/>
        <rFont val="宋体"/>
        <family val="3"/>
        <charset val="134"/>
      </rPr>
      <t>取费标准</t>
    </r>
  </si>
  <si>
    <t>建筑面积×取费标准</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</si>
  <si>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</si>
  <si>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钢混</t>
  </si>
  <si>
    <t>非生产用房</t>
  </si>
  <si>
    <t>成本法</t>
    <phoneticPr fontId="143" type="noConversion"/>
  </si>
  <si>
    <t>收益法</t>
    <phoneticPr fontId="143" type="noConversion"/>
  </si>
  <si>
    <t>住宅</t>
    <phoneticPr fontId="143" type="noConversion"/>
  </si>
  <si>
    <t>估价方法</t>
    <phoneticPr fontId="143" type="noConversion"/>
  </si>
  <si>
    <t>人防</t>
    <phoneticPr fontId="143" type="noConversion"/>
  </si>
  <si>
    <t>非人防</t>
    <phoneticPr fontId="143" type="noConversion"/>
  </si>
  <si>
    <t>地下</t>
    <phoneticPr fontId="143" type="noConversion"/>
  </si>
  <si>
    <t>地上</t>
    <phoneticPr fontId="143" type="noConversion"/>
  </si>
  <si>
    <t>住宅</t>
    <phoneticPr fontId="143" type="noConversion"/>
  </si>
  <si>
    <t>基础</t>
    <phoneticPr fontId="143" type="noConversion"/>
  </si>
  <si>
    <t>装修</t>
    <phoneticPr fontId="143" type="noConversion"/>
  </si>
  <si>
    <t>装配式</t>
    <phoneticPr fontId="143" type="noConversion"/>
  </si>
  <si>
    <t>标准</t>
    <phoneticPr fontId="143" type="noConversion"/>
  </si>
  <si>
    <t>车位</t>
    <phoneticPr fontId="143" type="noConversion"/>
  </si>
  <si>
    <t>合计</t>
    <phoneticPr fontId="143" type="noConversion"/>
  </si>
  <si>
    <t>地上</t>
    <phoneticPr fontId="143" type="noConversion"/>
  </si>
  <si>
    <t>地下</t>
    <phoneticPr fontId="143" type="noConversion"/>
  </si>
  <si>
    <t>总价</t>
    <phoneticPr fontId="143" type="noConversion"/>
  </si>
  <si>
    <t>面积</t>
    <phoneticPr fontId="143" type="noConversion"/>
  </si>
  <si>
    <t>单价</t>
    <phoneticPr fontId="143" type="noConversion"/>
  </si>
  <si>
    <t>土地成本</t>
    <phoneticPr fontId="143" type="noConversion"/>
  </si>
  <si>
    <t>前期工程</t>
    <phoneticPr fontId="143" type="noConversion"/>
  </si>
  <si>
    <t>建筑安装</t>
    <phoneticPr fontId="143" type="noConversion"/>
  </si>
  <si>
    <t>基础设建设费</t>
    <phoneticPr fontId="143" type="noConversion"/>
  </si>
  <si>
    <t>公共配套</t>
    <phoneticPr fontId="143" type="noConversion"/>
  </si>
  <si>
    <t>不可预见</t>
    <phoneticPr fontId="143" type="noConversion"/>
  </si>
  <si>
    <t>期间</t>
    <phoneticPr fontId="143" type="noConversion"/>
  </si>
  <si>
    <t>首开</t>
    <phoneticPr fontId="143" type="noConversion"/>
  </si>
  <si>
    <t>北投</t>
    <phoneticPr fontId="143" type="noConversion"/>
  </si>
  <si>
    <t>成本法-住宅</t>
  </si>
  <si>
    <t>含人防</t>
    <phoneticPr fontId="9" type="noConversion"/>
  </si>
  <si>
    <t>成本法</t>
    <phoneticPr fontId="9" type="noConversion"/>
  </si>
  <si>
    <t>收益法</t>
    <phoneticPr fontId="9" type="noConversion"/>
  </si>
  <si>
    <t>权重单价</t>
    <phoneticPr fontId="9" type="noConversion"/>
  </si>
  <si>
    <t>不含人防</t>
    <phoneticPr fontId="9" type="noConversion"/>
  </si>
  <si>
    <t>自定义</t>
  </si>
  <si>
    <t>全国政协定向安置</t>
    <phoneticPr fontId="4" type="noConversion"/>
  </si>
  <si>
    <t>调整1</t>
    <phoneticPr fontId="143" type="noConversion"/>
  </si>
  <si>
    <t>调整2</t>
    <phoneticPr fontId="143" type="noConversion"/>
  </si>
  <si>
    <t>单价</t>
    <phoneticPr fontId="143" type="noConversion"/>
  </si>
  <si>
    <t>地上</t>
    <phoneticPr fontId="143" type="noConversion"/>
  </si>
  <si>
    <t>地上+地下</t>
    <phoneticPr fontId="143" type="noConversion"/>
  </si>
  <si>
    <t>建安总价</t>
    <phoneticPr fontId="143" type="noConversion"/>
  </si>
  <si>
    <t xml:space="preserve">（1） 楼栋地下面积3854.51平方米（含非机动车车库1042.01平方米，丙二类库房2812.5平方米）。
（2） 机动车库面积12361.15平方米（人防面积6180.6平方米）。
</t>
  </si>
  <si>
    <t>公租房住宅楼地下建筑面积：3854.51㎡，其中：自行车库1040㎡，设备用房240㎡，库房2574.51㎡；人防车库建筑面积：6180.6㎡</t>
    <phoneticPr fontId="143" type="noConversion"/>
  </si>
  <si>
    <t>仓储</t>
    <phoneticPr fontId="143" type="noConversion"/>
  </si>
  <si>
    <t>仓储</t>
  </si>
  <si>
    <t>库房</t>
  </si>
  <si>
    <t>库房</t>
    <phoneticPr fontId="143" type="noConversion"/>
  </si>
  <si>
    <t>设备</t>
  </si>
  <si>
    <t>设备</t>
    <phoneticPr fontId="143" type="noConversion"/>
  </si>
  <si>
    <t>自行车</t>
  </si>
  <si>
    <t>自行车</t>
    <phoneticPr fontId="143" type="noConversion"/>
  </si>
  <si>
    <t>成本法-仓储</t>
    <phoneticPr fontId="17" type="noConversion"/>
  </si>
  <si>
    <t>收益法-仓储</t>
  </si>
  <si>
    <t>收益法-仓储</t>
    <phoneticPr fontId="17" type="noConversion"/>
  </si>
  <si>
    <t>仓储</t>
    <phoneticPr fontId="8" type="noConversion"/>
  </si>
  <si>
    <t>地上360地下200</t>
    <phoneticPr fontId="143" type="noConversion"/>
  </si>
  <si>
    <t>非人防</t>
  </si>
  <si>
    <t>人防</t>
  </si>
  <si>
    <t>小计</t>
    <phoneticPr fontId="143" type="noConversion"/>
  </si>
  <si>
    <t>面积</t>
  </si>
  <si>
    <t>权重</t>
    <phoneticPr fontId="143" type="noConversion"/>
  </si>
  <si>
    <t>估价方法</t>
  </si>
  <si>
    <t>权重</t>
  </si>
  <si>
    <t>收益法</t>
  </si>
  <si>
    <t>成本法</t>
  </si>
  <si>
    <t>单价</t>
  </si>
  <si>
    <t>总价</t>
  </si>
  <si>
    <t>地上单价</t>
  </si>
  <si>
    <t>831-2</t>
    <phoneticPr fontId="143" type="noConversion"/>
  </si>
  <si>
    <t>项目性质</t>
    <phoneticPr fontId="262" type="noConversion"/>
  </si>
  <si>
    <t>规证</t>
    <phoneticPr fontId="262" type="noConversion"/>
  </si>
  <si>
    <t>预测</t>
    <phoneticPr fontId="262" type="noConversion"/>
  </si>
  <si>
    <t>差值</t>
    <phoneticPr fontId="262" type="noConversion"/>
  </si>
  <si>
    <t>总建筑面积（平方米）</t>
    <phoneticPr fontId="262" type="noConversion"/>
  </si>
  <si>
    <t>建筑面积（平方米）</t>
    <phoneticPr fontId="262" type="noConversion"/>
  </si>
  <si>
    <t>地上</t>
    <phoneticPr fontId="262" type="noConversion"/>
  </si>
  <si>
    <t>地下</t>
    <phoneticPr fontId="262" type="noConversion"/>
  </si>
  <si>
    <t>7#人才公租房、8#养老设施及其他</t>
    <phoneticPr fontId="262" type="noConversion"/>
  </si>
  <si>
    <t>规划项目性质包括：</t>
    <phoneticPr fontId="262" type="noConversion"/>
  </si>
  <si>
    <t>人才公租房</t>
    <phoneticPr fontId="262" type="noConversion"/>
  </si>
  <si>
    <t>/</t>
    <phoneticPr fontId="262" type="noConversion"/>
  </si>
  <si>
    <t>/</t>
  </si>
  <si>
    <t>公租房管理用房</t>
    <phoneticPr fontId="262" type="noConversion"/>
  </si>
  <si>
    <t>设备用房及其他（走道、风井）</t>
    <phoneticPr fontId="262" type="noConversion"/>
  </si>
  <si>
    <t>自行车库</t>
    <phoneticPr fontId="262" type="noConversion"/>
  </si>
  <si>
    <t>养老设施</t>
    <phoneticPr fontId="262" type="noConversion"/>
  </si>
  <si>
    <t>物业管理用房</t>
    <phoneticPr fontId="262" type="noConversion"/>
  </si>
  <si>
    <t>小型商服（便利店）</t>
    <phoneticPr fontId="262" type="noConversion"/>
  </si>
  <si>
    <t>序号</t>
    <phoneticPr fontId="262" type="noConversion"/>
  </si>
  <si>
    <t>用途</t>
    <phoneticPr fontId="262" type="noConversion"/>
  </si>
  <si>
    <t>建筑面积</t>
    <phoneticPr fontId="262" type="noConversion"/>
  </si>
  <si>
    <t>比例</t>
    <phoneticPr fontId="262" type="noConversion"/>
  </si>
  <si>
    <t>住宅</t>
    <phoneticPr fontId="262" type="noConversion"/>
  </si>
  <si>
    <t>总计</t>
    <phoneticPr fontId="262" type="noConversion"/>
  </si>
  <si>
    <r>
      <rPr>
        <sz val="12"/>
        <color theme="1"/>
        <rFont val="等线"/>
        <family val="2"/>
        <charset val="134"/>
      </rPr>
      <t>序号</t>
    </r>
    <phoneticPr fontId="262" type="noConversion"/>
  </si>
  <si>
    <r>
      <rPr>
        <sz val="12"/>
        <rFont val="宋体"/>
        <family val="3"/>
        <charset val="134"/>
      </rPr>
      <t>共有共用面积名称</t>
    </r>
    <phoneticPr fontId="262" type="noConversion"/>
  </si>
  <si>
    <r>
      <rPr>
        <sz val="12"/>
        <rFont val="宋体"/>
        <family val="3"/>
        <charset val="134"/>
      </rPr>
      <t>本楼分得</t>
    </r>
    <phoneticPr fontId="262" type="noConversion"/>
  </si>
  <si>
    <r>
      <rPr>
        <sz val="12"/>
        <rFont val="宋体"/>
        <family val="3"/>
        <charset val="134"/>
      </rPr>
      <t>本楼</t>
    </r>
    <phoneticPr fontId="262" type="noConversion"/>
  </si>
  <si>
    <r>
      <rPr>
        <sz val="12"/>
        <color theme="1"/>
        <rFont val="等线"/>
        <family val="2"/>
        <charset val="134"/>
      </rPr>
      <t>总面积</t>
    </r>
    <phoneticPr fontId="262" type="noConversion"/>
  </si>
  <si>
    <r>
      <rPr>
        <sz val="12"/>
        <color theme="1"/>
        <rFont val="等线"/>
        <family val="2"/>
        <charset val="134"/>
      </rPr>
      <t>分摊比例</t>
    </r>
    <phoneticPr fontId="262" type="noConversion"/>
  </si>
  <si>
    <r>
      <rPr>
        <sz val="12"/>
        <color theme="1"/>
        <rFont val="等线"/>
        <family val="2"/>
        <charset val="134"/>
      </rPr>
      <t>分摊面积</t>
    </r>
    <phoneticPr fontId="262" type="noConversion"/>
  </si>
  <si>
    <r>
      <rPr>
        <sz val="11"/>
        <rFont val="宋体"/>
        <family val="3"/>
        <charset val="134"/>
      </rPr>
      <t>热力小室</t>
    </r>
    <r>
      <rPr>
        <sz val="11"/>
        <rFont val="Arial"/>
        <family val="2"/>
      </rPr>
      <t>7</t>
    </r>
  </si>
  <si>
    <r>
      <t>7#</t>
    </r>
    <r>
      <rPr>
        <sz val="11"/>
        <rFont val="宋体"/>
        <family val="3"/>
        <charset val="134"/>
      </rPr>
      <t>楼公租房管理用房</t>
    </r>
    <r>
      <rPr>
        <sz val="11"/>
        <rFont val="Arial"/>
        <family val="2"/>
      </rPr>
      <t>,7#</t>
    </r>
    <r>
      <rPr>
        <sz val="11"/>
        <rFont val="宋体"/>
        <family val="3"/>
        <charset val="134"/>
      </rPr>
      <t>楼住宅</t>
    </r>
  </si>
  <si>
    <t>跨楼</t>
    <phoneticPr fontId="262" type="noConversion"/>
  </si>
  <si>
    <r>
      <rPr>
        <sz val="11"/>
        <rFont val="宋体"/>
        <family val="3"/>
        <charset val="134"/>
      </rPr>
      <t>热力小室</t>
    </r>
    <r>
      <rPr>
        <sz val="11"/>
        <rFont val="Arial"/>
        <family val="2"/>
      </rPr>
      <t>8</t>
    </r>
  </si>
  <si>
    <r>
      <t>8#</t>
    </r>
    <r>
      <rPr>
        <sz val="11"/>
        <rFont val="宋体"/>
        <family val="3"/>
        <charset val="134"/>
      </rPr>
      <t>楼物业管理用房</t>
    </r>
    <r>
      <rPr>
        <sz val="11"/>
        <rFont val="Arial"/>
        <family val="2"/>
      </rPr>
      <t>,8#</t>
    </r>
    <r>
      <rPr>
        <sz val="11"/>
        <rFont val="宋体"/>
        <family val="3"/>
        <charset val="134"/>
      </rPr>
      <t>楼小型商服（便利店）</t>
    </r>
    <r>
      <rPr>
        <sz val="11"/>
        <rFont val="Arial"/>
        <family val="2"/>
      </rPr>
      <t>,8#</t>
    </r>
    <r>
      <rPr>
        <sz val="11"/>
        <rFont val="宋体"/>
        <family val="3"/>
        <charset val="134"/>
      </rPr>
      <t>楼养老设施</t>
    </r>
  </si>
  <si>
    <r>
      <rPr>
        <sz val="11"/>
        <rFont val="宋体"/>
        <family val="3"/>
        <charset val="134"/>
      </rPr>
      <t>给水泵房、中水泵房</t>
    </r>
  </si>
  <si>
    <r>
      <t>7#</t>
    </r>
    <r>
      <rPr>
        <sz val="11"/>
        <rFont val="宋体"/>
        <family val="3"/>
        <charset val="134"/>
      </rPr>
      <t>楼公租房管理用房</t>
    </r>
    <r>
      <rPr>
        <sz val="11"/>
        <rFont val="Arial"/>
        <family val="2"/>
      </rPr>
      <t>,7#</t>
    </r>
    <r>
      <rPr>
        <sz val="11"/>
        <rFont val="宋体"/>
        <family val="3"/>
        <charset val="134"/>
      </rPr>
      <t>楼住宅</t>
    </r>
    <r>
      <rPr>
        <sz val="11"/>
        <rFont val="Arial"/>
        <family val="2"/>
      </rPr>
      <t>,8#</t>
    </r>
    <r>
      <rPr>
        <sz val="11"/>
        <rFont val="宋体"/>
        <family val="3"/>
        <charset val="134"/>
      </rPr>
      <t>楼物业管理用房</t>
    </r>
    <r>
      <rPr>
        <sz val="11"/>
        <rFont val="Arial"/>
        <family val="2"/>
      </rPr>
      <t>,8#</t>
    </r>
    <r>
      <rPr>
        <sz val="11"/>
        <rFont val="宋体"/>
        <family val="3"/>
        <charset val="134"/>
      </rPr>
      <t>楼小型商服（便利店）</t>
    </r>
    <r>
      <rPr>
        <sz val="11"/>
        <rFont val="Arial"/>
        <family val="2"/>
      </rPr>
      <t>,8#</t>
    </r>
    <r>
      <rPr>
        <sz val="11"/>
        <rFont val="宋体"/>
        <family val="3"/>
        <charset val="134"/>
      </rPr>
      <t>楼养老设施</t>
    </r>
  </si>
  <si>
    <r>
      <rPr>
        <sz val="11"/>
        <rFont val="宋体"/>
        <family val="3"/>
        <charset val="134"/>
      </rPr>
      <t>消防安控室、消防水泵房、消防泵房配电间、消防水池</t>
    </r>
  </si>
  <si>
    <r>
      <t>7#</t>
    </r>
    <r>
      <rPr>
        <sz val="11"/>
        <rFont val="宋体"/>
        <family val="3"/>
        <charset val="134"/>
      </rPr>
      <t>楼公租房管理用房</t>
    </r>
    <r>
      <rPr>
        <sz val="11"/>
        <rFont val="Arial"/>
        <family val="2"/>
      </rPr>
      <t>,7#</t>
    </r>
    <r>
      <rPr>
        <sz val="11"/>
        <rFont val="宋体"/>
        <family val="3"/>
        <charset val="134"/>
      </rPr>
      <t>楼住宅</t>
    </r>
    <r>
      <rPr>
        <sz val="11"/>
        <rFont val="Arial"/>
        <family val="2"/>
      </rPr>
      <t>,7#</t>
    </r>
    <r>
      <rPr>
        <sz val="11"/>
        <rFont val="宋体"/>
        <family val="3"/>
        <charset val="134"/>
      </rPr>
      <t>楼自行车库</t>
    </r>
    <r>
      <rPr>
        <sz val="11"/>
        <rFont val="Arial"/>
        <family val="2"/>
      </rPr>
      <t>,8#</t>
    </r>
    <r>
      <rPr>
        <sz val="11"/>
        <rFont val="宋体"/>
        <family val="3"/>
        <charset val="134"/>
      </rPr>
      <t>楼物业管理用房</t>
    </r>
    <r>
      <rPr>
        <sz val="11"/>
        <rFont val="Arial"/>
        <family val="2"/>
      </rPr>
      <t>,8#</t>
    </r>
    <r>
      <rPr>
        <sz val="11"/>
        <rFont val="宋体"/>
        <family val="3"/>
        <charset val="134"/>
      </rPr>
      <t>楼小型商服（便利店）</t>
    </r>
    <r>
      <rPr>
        <sz val="11"/>
        <rFont val="Arial"/>
        <family val="2"/>
      </rPr>
      <t>,8#</t>
    </r>
    <r>
      <rPr>
        <sz val="11"/>
        <rFont val="宋体"/>
        <family val="3"/>
        <charset val="134"/>
      </rPr>
      <t>楼养老设施</t>
    </r>
  </si>
  <si>
    <r>
      <rPr>
        <sz val="11"/>
        <rFont val="宋体"/>
        <family val="3"/>
        <charset val="134"/>
      </rPr>
      <t>屋顶消防水箱间</t>
    </r>
  </si>
  <si>
    <r>
      <rPr>
        <sz val="11"/>
        <rFont val="宋体"/>
        <family val="3"/>
        <charset val="134"/>
      </rPr>
      <t>配电间</t>
    </r>
    <r>
      <rPr>
        <sz val="11"/>
        <rFont val="Arial"/>
        <family val="2"/>
      </rPr>
      <t>7</t>
    </r>
    <phoneticPr fontId="262" type="noConversion"/>
  </si>
  <si>
    <t>7#楼公租房管理用房、7#楼住宅、8#楼物业管理用房、8#楼小型商服（便利店）</t>
  </si>
  <si>
    <t>本楼</t>
    <phoneticPr fontId="262" type="noConversion"/>
  </si>
  <si>
    <r>
      <rPr>
        <sz val="11"/>
        <rFont val="宋体"/>
        <family val="3"/>
        <charset val="134"/>
      </rPr>
      <t>派接室</t>
    </r>
    <r>
      <rPr>
        <sz val="11"/>
        <rFont val="Arial"/>
        <family val="2"/>
      </rPr>
      <t>7</t>
    </r>
    <phoneticPr fontId="262" type="noConversion"/>
  </si>
  <si>
    <t>7#楼公租房管理用房、7#楼住宅、8#楼物业管理用房、8#楼小型商服（便利店）、8#楼养老设施</t>
  </si>
  <si>
    <r>
      <rPr>
        <sz val="11"/>
        <rFont val="宋体"/>
        <family val="3"/>
        <charset val="134"/>
      </rPr>
      <t>弱电间</t>
    </r>
    <r>
      <rPr>
        <sz val="11"/>
        <rFont val="Arial"/>
        <family val="2"/>
      </rPr>
      <t>7</t>
    </r>
    <phoneticPr fontId="262" type="noConversion"/>
  </si>
  <si>
    <t>人防机动车库</t>
    <phoneticPr fontId="143" type="noConversion"/>
  </si>
  <si>
    <t>地下车库</t>
    <phoneticPr fontId="143" type="noConversion"/>
  </si>
  <si>
    <t>规证</t>
    <phoneticPr fontId="143" type="noConversion"/>
  </si>
  <si>
    <t>地上总面积</t>
    <phoneticPr fontId="143" type="noConversion"/>
  </si>
  <si>
    <t>人才公租房（含公租房管理用房）</t>
    <phoneticPr fontId="143" type="noConversion"/>
  </si>
  <si>
    <r>
      <t>4#</t>
    </r>
    <r>
      <rPr>
        <sz val="12"/>
        <color theme="1"/>
        <rFont val="宋体"/>
        <family val="2"/>
        <charset val="134"/>
        <scheme val="minor"/>
      </rPr>
      <t/>
    </r>
  </si>
  <si>
    <r>
      <t>5#</t>
    </r>
    <r>
      <rPr>
        <sz val="12"/>
        <color theme="1"/>
        <rFont val="宋体"/>
        <family val="2"/>
        <charset val="134"/>
        <scheme val="minor"/>
      </rPr>
      <t/>
    </r>
  </si>
  <si>
    <r>
      <t>6#</t>
    </r>
    <r>
      <rPr>
        <sz val="12"/>
        <color theme="1"/>
        <rFont val="宋体"/>
        <family val="2"/>
        <charset val="134"/>
        <scheme val="minor"/>
      </rPr>
      <t/>
    </r>
  </si>
  <si>
    <r>
      <t>7#</t>
    </r>
    <r>
      <rPr>
        <sz val="12"/>
        <color theme="1"/>
        <rFont val="宋体"/>
        <family val="2"/>
        <charset val="134"/>
        <scheme val="minor"/>
      </rPr>
      <t/>
    </r>
  </si>
  <si>
    <r>
      <t>8#</t>
    </r>
    <r>
      <rPr>
        <sz val="12"/>
        <color theme="1"/>
        <rFont val="宋体"/>
        <family val="2"/>
        <charset val="134"/>
        <scheme val="minor"/>
      </rPr>
      <t/>
    </r>
  </si>
  <si>
    <t>产权</t>
    <phoneticPr fontId="262" type="noConversion"/>
  </si>
  <si>
    <t>含176.47</t>
    <phoneticPr fontId="143" type="noConversion"/>
  </si>
  <si>
    <t>租金</t>
    <phoneticPr fontId="143" type="noConversion"/>
  </si>
  <si>
    <t>市场租金9折</t>
    <phoneticPr fontId="143" type="noConversion"/>
  </si>
  <si>
    <r>
      <t>3年</t>
    </r>
    <r>
      <rPr>
        <sz val="12"/>
        <color theme="1"/>
        <rFont val="宋体"/>
        <family val="2"/>
        <charset val="134"/>
        <scheme val="minor"/>
      </rPr>
      <t>10%</t>
    </r>
    <phoneticPr fontId="143" type="noConversion"/>
  </si>
  <si>
    <t>——</t>
    <phoneticPr fontId="143" type="noConversion"/>
  </si>
  <si>
    <t>——</t>
    <phoneticPr fontId="143" type="noConversion"/>
  </si>
  <si>
    <t>2#</t>
    <phoneticPr fontId="143" type="noConversion"/>
  </si>
  <si>
    <t>3#</t>
    <phoneticPr fontId="143" type="noConversion"/>
  </si>
  <si>
    <t>1#</t>
    <phoneticPr fontId="143" type="noConversion"/>
  </si>
  <si>
    <r>
      <rPr>
        <sz val="12"/>
        <color theme="1"/>
        <rFont val="宋体"/>
        <family val="2"/>
        <charset val="134"/>
      </rPr>
      <t>项目</t>
    </r>
    <phoneticPr fontId="143" type="noConversion"/>
  </si>
  <si>
    <r>
      <rPr>
        <sz val="12"/>
        <color theme="1"/>
        <rFont val="宋体"/>
        <family val="2"/>
        <charset val="134"/>
      </rPr>
      <t>地上</t>
    </r>
    <phoneticPr fontId="143" type="noConversion"/>
  </si>
  <si>
    <r>
      <rPr>
        <sz val="12"/>
        <color theme="1"/>
        <rFont val="宋体"/>
        <family val="2"/>
        <charset val="134"/>
      </rPr>
      <t>地下</t>
    </r>
    <phoneticPr fontId="143" type="noConversion"/>
  </si>
  <si>
    <r>
      <rPr>
        <sz val="12"/>
        <color theme="1"/>
        <rFont val="宋体"/>
        <family val="2"/>
        <charset val="134"/>
      </rPr>
      <t>住宅</t>
    </r>
    <phoneticPr fontId="143" type="noConversion"/>
  </si>
  <si>
    <r>
      <rPr>
        <sz val="12"/>
        <color theme="1"/>
        <rFont val="宋体"/>
        <family val="2"/>
        <charset val="134"/>
      </rPr>
      <t>公租房管理用房</t>
    </r>
    <phoneticPr fontId="143" type="noConversion"/>
  </si>
  <si>
    <r>
      <rPr>
        <sz val="12"/>
        <color theme="1"/>
        <rFont val="宋体"/>
        <family val="2"/>
        <charset val="134"/>
      </rPr>
      <t>养老设施</t>
    </r>
    <phoneticPr fontId="143" type="noConversion"/>
  </si>
  <si>
    <r>
      <rPr>
        <sz val="12"/>
        <color theme="1"/>
        <rFont val="宋体"/>
        <family val="2"/>
        <charset val="134"/>
      </rPr>
      <t>物业管理用房</t>
    </r>
    <phoneticPr fontId="143" type="noConversion"/>
  </si>
  <si>
    <r>
      <rPr>
        <sz val="12"/>
        <color theme="1"/>
        <rFont val="宋体"/>
        <family val="2"/>
        <charset val="134"/>
      </rPr>
      <t>小型商服（便利店）</t>
    </r>
    <phoneticPr fontId="143" type="noConversion"/>
  </si>
  <si>
    <r>
      <rPr>
        <sz val="12"/>
        <color theme="1"/>
        <rFont val="宋体"/>
        <family val="2"/>
        <charset val="134"/>
      </rPr>
      <t>人防</t>
    </r>
    <phoneticPr fontId="143" type="noConversion"/>
  </si>
  <si>
    <r>
      <rPr>
        <sz val="12"/>
        <color theme="1"/>
        <rFont val="宋体"/>
        <family val="2"/>
        <charset val="134"/>
      </rPr>
      <t>丙二类库房</t>
    </r>
    <phoneticPr fontId="143" type="noConversion"/>
  </si>
  <si>
    <r>
      <rPr>
        <sz val="12"/>
        <color theme="1"/>
        <rFont val="宋体"/>
        <family val="2"/>
        <charset val="134"/>
      </rPr>
      <t>自行车库</t>
    </r>
    <phoneticPr fontId="143" type="noConversion"/>
  </si>
  <si>
    <r>
      <rPr>
        <sz val="12"/>
        <color theme="1"/>
        <rFont val="宋体"/>
        <family val="2"/>
        <charset val="134"/>
      </rPr>
      <t>小计</t>
    </r>
    <phoneticPr fontId="143" type="noConversion"/>
  </si>
  <si>
    <r>
      <rPr>
        <sz val="12"/>
        <color theme="1"/>
        <rFont val="宋体"/>
        <family val="2"/>
        <charset val="134"/>
      </rPr>
      <t>总计</t>
    </r>
    <phoneticPr fontId="143" type="noConversion"/>
  </si>
  <si>
    <t>产权单价</t>
    <phoneticPr fontId="143" type="noConversion"/>
  </si>
  <si>
    <t>地下</t>
    <phoneticPr fontId="143" type="noConversion"/>
  </si>
  <si>
    <t>地上</t>
    <phoneticPr fontId="143" type="noConversion"/>
  </si>
  <si>
    <t>比例</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</si>
</sst>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000000_ "/>
  </numFmts>
  <fonts count="265">
    <font>
      <sz val="11"/>
      <color theme="1"/>
      <name val="宋体"/>
      <charset val="134"/>
      <scheme val="minor"/>
    </font>
    <font>
      <sz val="12"/>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4"/>
      <color rgb="FF000000"/>
      <name val="楷体_GB2312"/>
      <family val="3"/>
      <charset val="134"/>
    </font>
    <font>
      <sz val="12"/>
      <color rgb="FF5F5F5F"/>
      <name val="华文细黑"/>
      <family val="3"/>
      <charset val="134"/>
    </font>
    <font>
      <sz val="11"/>
      <color rgb="FF000000"/>
      <name val="宋体"/>
      <family val="3"/>
      <charset val="134"/>
    </font>
    <font>
      <b/>
      <sz val="11"/>
      <color rgb="FF000000"/>
      <name val="宋体"/>
      <family val="3"/>
      <charset val="134"/>
    </font>
    <font>
      <sz val="9"/>
      <color rgb="FF000000"/>
      <name val="宋体"/>
      <family val="3"/>
      <charset val="134"/>
    </font>
    <font>
      <b/>
      <sz val="8"/>
      <color rgb="FF000000"/>
      <name val="宋体"/>
      <family val="3"/>
      <charset val="134"/>
    </font>
    <font>
      <b/>
      <sz val="9"/>
      <color rgb="FF000000"/>
      <name val="宋体"/>
      <family val="3"/>
      <charset val="134"/>
    </font>
    <font>
      <sz val="11"/>
      <name val="宋体"/>
      <family val="3"/>
      <charset val="134"/>
      <scheme val="minor"/>
    </font>
    <font>
      <sz val="12"/>
      <color theme="1"/>
      <name val="宋体"/>
      <family val="2"/>
      <charset val="134"/>
      <scheme val="minor"/>
    </font>
    <font>
      <sz val="9"/>
      <name val="宋体"/>
      <family val="2"/>
      <charset val="134"/>
      <scheme val="minor"/>
    </font>
    <font>
      <sz val="12"/>
      <color theme="1"/>
      <name val="等线"/>
      <family val="2"/>
      <charset val="134"/>
    </font>
    <font>
      <sz val="12"/>
      <color theme="1"/>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70"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261" fillId="0" borderId="0">
      <alignment vertical="center"/>
    </xf>
  </cellStyleXfs>
  <cellXfs count="357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8"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30"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0"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0"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0"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20"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9" fillId="0" borderId="0" xfId="0" applyFont="1" applyProtection="1">
      <alignment vertical="center"/>
      <protection locked="0"/>
    </xf>
    <xf numFmtId="0" fontId="211"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2" fillId="0" borderId="0" xfId="0" applyFont="1" applyAlignment="1">
      <alignment vertical="center"/>
    </xf>
    <xf numFmtId="0" fontId="139"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9" fillId="0" borderId="0" xfId="0" applyFont="1" applyFill="1" applyAlignment="1">
      <alignment vertical="center" wrapText="1"/>
    </xf>
    <xf numFmtId="0" fontId="212"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6" fillId="5" borderId="0" xfId="0" applyFont="1" applyFill="1" applyProtection="1">
      <alignment vertical="center"/>
      <protection locked="0"/>
    </xf>
    <xf numFmtId="0" fontId="104" fillId="0" borderId="0" xfId="0" applyFont="1" applyProtection="1">
      <alignment vertical="center"/>
      <protection locked="0"/>
    </xf>
    <xf numFmtId="0" fontId="212"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2"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0"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10">
      <alignment vertical="center"/>
    </xf>
    <xf numFmtId="0" fontId="99" fillId="17" borderId="0" xfId="10" applyFill="1">
      <alignment vertical="center"/>
    </xf>
    <xf numFmtId="9" fontId="99" fillId="0" borderId="0" xfId="10" applyNumberFormat="1">
      <alignment vertical="center"/>
    </xf>
    <xf numFmtId="0" fontId="99" fillId="10" borderId="0" xfId="10" applyFill="1">
      <alignment vertical="center"/>
    </xf>
    <xf numFmtId="57" fontId="99" fillId="0" borderId="0" xfId="10" applyNumberFormat="1">
      <alignment vertical="center"/>
    </xf>
    <xf numFmtId="0" fontId="254" fillId="0" borderId="0" xfId="10" applyFont="1" applyAlignment="1">
      <alignment horizontal="left" vertical="center" readingOrder="1"/>
    </xf>
    <xf numFmtId="0" fontId="254" fillId="0" borderId="0" xfId="10" applyFont="1">
      <alignment vertical="center"/>
    </xf>
    <xf numFmtId="0" fontId="50" fillId="6" borderId="78" xfId="0" applyFont="1" applyFill="1" applyBorder="1" applyAlignment="1">
      <alignment horizontal="left" vertical="center"/>
    </xf>
    <xf numFmtId="49" fontId="50" fillId="6" borderId="91" xfId="0" applyNumberFormat="1" applyFont="1" applyFill="1" applyBorder="1" applyAlignment="1">
      <alignment horizontal="left" vertical="center"/>
    </xf>
    <xf numFmtId="0" fontId="50" fillId="6" borderId="78" xfId="0" applyFont="1" applyFill="1" applyBorder="1" applyAlignment="1">
      <alignment horizontal="center" vertical="center"/>
    </xf>
    <xf numFmtId="0" fontId="50" fillId="6" borderId="78" xfId="0" applyFont="1" applyFill="1" applyBorder="1" applyAlignment="1">
      <alignment horizontal="left" vertical="center" wrapText="1"/>
    </xf>
    <xf numFmtId="181" fontId="55" fillId="6" borderId="79" xfId="0" applyNumberFormat="1" applyFont="1" applyFill="1" applyBorder="1" applyAlignment="1">
      <alignment horizontal="center" vertical="center"/>
    </xf>
    <xf numFmtId="0" fontId="99" fillId="0" borderId="1" xfId="10" applyBorder="1" applyAlignment="1">
      <alignment horizontal="center" vertical="center"/>
    </xf>
    <xf numFmtId="0" fontId="0" fillId="5" borderId="0" xfId="0" applyFill="1">
      <alignment vertical="center"/>
    </xf>
    <xf numFmtId="0" fontId="99" fillId="0" borderId="0" xfId="0" applyFont="1">
      <alignment vertical="center"/>
    </xf>
    <xf numFmtId="0" fontId="0" fillId="0" borderId="0" xfId="0" applyAlignment="1">
      <alignment horizontal="center" vertical="center"/>
    </xf>
    <xf numFmtId="0" fontId="99" fillId="0" borderId="0" xfId="0" applyFont="1" applyAlignment="1">
      <alignment horizontal="center" vertical="center"/>
    </xf>
    <xf numFmtId="0" fontId="84" fillId="3" borderId="0" xfId="0" applyFont="1" applyFill="1" applyAlignment="1" applyProtection="1">
      <alignment vertical="center"/>
      <protection locked="0"/>
    </xf>
    <xf numFmtId="0" fontId="20" fillId="3" borderId="0" xfId="0" applyFont="1" applyFill="1" applyAlignment="1" applyProtection="1">
      <alignment vertical="center"/>
      <protection locked="0"/>
    </xf>
    <xf numFmtId="0" fontId="144" fillId="3" borderId="0" xfId="0" applyFont="1" applyFill="1" applyAlignment="1" applyProtection="1">
      <alignment vertical="center"/>
      <protection locked="0"/>
    </xf>
    <xf numFmtId="0" fontId="57" fillId="3" borderId="0" xfId="0" applyFont="1" applyFill="1" applyAlignment="1" applyProtection="1">
      <alignment horizontal="right" vertical="center"/>
      <protection locked="0"/>
    </xf>
    <xf numFmtId="0" fontId="84" fillId="3" borderId="0" xfId="0" applyFont="1" applyFill="1" applyAlignment="1" applyProtection="1">
      <alignment horizontal="right" vertical="center"/>
      <protection locked="0"/>
    </xf>
    <xf numFmtId="177" fontId="57" fillId="3" borderId="0" xfId="0" applyNumberFormat="1" applyFont="1" applyFill="1" applyAlignment="1" applyProtection="1">
      <alignment horizontal="right" vertical="center"/>
      <protection locked="0"/>
    </xf>
    <xf numFmtId="0" fontId="56" fillId="3" borderId="0" xfId="0" applyFont="1" applyFill="1" applyAlignment="1" applyProtection="1">
      <alignment horizontal="right" vertical="center"/>
      <protection locked="0"/>
    </xf>
    <xf numFmtId="0" fontId="60" fillId="3" borderId="0" xfId="0" applyFont="1" applyFill="1" applyAlignment="1" applyProtection="1">
      <alignment horizontal="right" vertical="center"/>
      <protection locked="0"/>
    </xf>
    <xf numFmtId="0" fontId="56" fillId="0" borderId="0" xfId="0" applyFont="1" applyFill="1" applyAlignment="1" applyProtection="1">
      <alignment horizontal="right" vertical="center"/>
      <protection locked="0"/>
    </xf>
    <xf numFmtId="177" fontId="104" fillId="6" borderId="24" xfId="0" applyNumberFormat="1" applyFont="1" applyFill="1" applyBorder="1" applyAlignment="1" applyProtection="1">
      <alignment horizontal="center" vertical="center"/>
    </xf>
    <xf numFmtId="177" fontId="104" fillId="18" borderId="1" xfId="0" applyNumberFormat="1" applyFont="1" applyFill="1" applyBorder="1" applyAlignment="1" applyProtection="1">
      <alignment horizontal="center" vertical="center"/>
    </xf>
    <xf numFmtId="177" fontId="50" fillId="18" borderId="0" xfId="0" applyNumberFormat="1" applyFont="1" applyFill="1" applyProtection="1">
      <alignment vertical="center"/>
      <protection locked="0"/>
    </xf>
    <xf numFmtId="0" fontId="50" fillId="7" borderId="1" xfId="0" applyFont="1" applyFill="1" applyBorder="1" applyAlignment="1" applyProtection="1">
      <alignment horizontal="center" vertical="center"/>
      <protection locked="0"/>
    </xf>
    <xf numFmtId="0" fontId="80" fillId="7" borderId="1" xfId="0" applyFont="1" applyFill="1" applyBorder="1" applyAlignment="1" applyProtection="1">
      <alignment horizontal="center" vertical="center"/>
      <protection locked="0"/>
    </xf>
    <xf numFmtId="177" fontId="50" fillId="7" borderId="1" xfId="0" applyNumberFormat="1" applyFont="1" applyFill="1" applyBorder="1" applyAlignment="1" applyProtection="1">
      <alignment horizontal="center" vertical="center"/>
      <protection locked="0"/>
    </xf>
    <xf numFmtId="1" fontId="50" fillId="7" borderId="1" xfId="0" applyNumberFormat="1" applyFont="1" applyFill="1" applyBorder="1" applyAlignment="1" applyProtection="1">
      <alignment horizontal="center" vertical="center"/>
      <protection locked="0"/>
    </xf>
    <xf numFmtId="0" fontId="80" fillId="19" borderId="1" xfId="0" applyFont="1" applyFill="1" applyBorder="1" applyAlignment="1" applyProtection="1">
      <alignment horizontal="center" vertical="center"/>
      <protection locked="0"/>
    </xf>
    <xf numFmtId="0" fontId="50" fillId="19" borderId="1" xfId="0" applyFont="1" applyFill="1" applyBorder="1" applyAlignment="1" applyProtection="1">
      <alignment horizontal="center" vertical="center"/>
      <protection locked="0"/>
    </xf>
    <xf numFmtId="177" fontId="50" fillId="7" borderId="1" xfId="1" applyNumberFormat="1" applyFont="1" applyFill="1" applyBorder="1" applyAlignment="1" applyProtection="1">
      <alignment horizontal="center" vertical="center"/>
      <protection locked="0"/>
    </xf>
    <xf numFmtId="49" fontId="50" fillId="7" borderId="6" xfId="0" applyNumberFormat="1" applyFont="1" applyFill="1" applyBorder="1" applyAlignment="1" applyProtection="1">
      <alignment horizontal="center" vertical="center"/>
    </xf>
    <xf numFmtId="0" fontId="50" fillId="7" borderId="9" xfId="0" applyFont="1" applyFill="1" applyBorder="1" applyAlignment="1" applyProtection="1">
      <alignment horizontal="center" vertical="center"/>
    </xf>
    <xf numFmtId="0" fontId="50" fillId="7" borderId="28" xfId="0" applyFont="1" applyFill="1" applyBorder="1" applyAlignment="1" applyProtection="1">
      <alignment horizontal="right" vertical="center"/>
    </xf>
    <xf numFmtId="0" fontId="50" fillId="7" borderId="21" xfId="0" applyFont="1" applyFill="1" applyBorder="1" applyAlignment="1" applyProtection="1">
      <alignment horizontal="center" vertical="center"/>
    </xf>
    <xf numFmtId="49" fontId="55" fillId="7" borderId="11" xfId="0" applyNumberFormat="1" applyFont="1" applyFill="1" applyBorder="1" applyAlignment="1" applyProtection="1">
      <alignment vertical="center"/>
    </xf>
    <xf numFmtId="0" fontId="55" fillId="7" borderId="13" xfId="0" applyFont="1" applyFill="1" applyBorder="1" applyAlignment="1" applyProtection="1">
      <alignment vertical="center" wrapText="1"/>
    </xf>
    <xf numFmtId="0" fontId="50" fillId="7" borderId="15" xfId="0" applyFont="1" applyFill="1" applyBorder="1" applyAlignment="1" applyProtection="1">
      <alignment horizontal="center" vertical="center"/>
    </xf>
    <xf numFmtId="0" fontId="56" fillId="7" borderId="13" xfId="0" applyFont="1" applyFill="1" applyBorder="1" applyAlignment="1" applyProtection="1">
      <alignment vertical="center"/>
    </xf>
    <xf numFmtId="0" fontId="50" fillId="7" borderId="4" xfId="0" applyFont="1" applyFill="1" applyBorder="1" applyAlignment="1" applyProtection="1">
      <alignment horizontal="right" vertical="center"/>
    </xf>
    <xf numFmtId="0" fontId="50" fillId="7" borderId="71" xfId="0" applyFont="1" applyFill="1" applyBorder="1" applyAlignment="1" applyProtection="1">
      <alignment horizontal="center" vertical="center"/>
    </xf>
    <xf numFmtId="49" fontId="50" fillId="7" borderId="11" xfId="0" applyNumberFormat="1" applyFont="1" applyFill="1" applyBorder="1" applyAlignment="1" applyProtection="1">
      <alignment horizontal="left" vertical="center"/>
    </xf>
    <xf numFmtId="0" fontId="55" fillId="7" borderId="22" xfId="0" applyFont="1" applyFill="1" applyBorder="1" applyAlignment="1" applyProtection="1">
      <alignment horizontal="center" vertical="center"/>
    </xf>
    <xf numFmtId="0" fontId="50" fillId="7" borderId="13" xfId="0" applyFont="1" applyFill="1" applyBorder="1" applyAlignment="1" applyProtection="1">
      <alignment vertical="center"/>
    </xf>
    <xf numFmtId="0" fontId="50" fillId="7" borderId="1" xfId="0" applyFont="1" applyFill="1" applyBorder="1" applyAlignment="1" applyProtection="1">
      <alignment horizontal="left" vertical="center"/>
    </xf>
    <xf numFmtId="0" fontId="55" fillId="7" borderId="24" xfId="0" applyFont="1" applyFill="1" applyBorder="1" applyAlignment="1" applyProtection="1">
      <alignment horizontal="center" vertical="center"/>
    </xf>
    <xf numFmtId="49" fontId="50" fillId="7" borderId="35" xfId="0" applyNumberFormat="1" applyFont="1" applyFill="1" applyBorder="1" applyAlignment="1" applyProtection="1">
      <alignment horizontal="left" vertical="center"/>
    </xf>
    <xf numFmtId="0" fontId="55" fillId="7" borderId="0" xfId="0" applyFont="1" applyFill="1" applyBorder="1" applyAlignment="1" applyProtection="1">
      <alignment horizontal="center" vertical="center"/>
    </xf>
    <xf numFmtId="0" fontId="50" fillId="7" borderId="15" xfId="0" applyFont="1" applyFill="1" applyBorder="1" applyAlignment="1" applyProtection="1">
      <alignment vertical="center"/>
    </xf>
    <xf numFmtId="0" fontId="50" fillId="7" borderId="3" xfId="0" applyFont="1" applyFill="1" applyBorder="1" applyAlignment="1" applyProtection="1">
      <alignment horizontal="left" vertical="center"/>
    </xf>
    <xf numFmtId="49" fontId="55" fillId="7" borderId="14" xfId="0" applyNumberFormat="1" applyFont="1" applyFill="1" applyBorder="1" applyAlignment="1" applyProtection="1">
      <alignment vertical="center"/>
    </xf>
    <xf numFmtId="0" fontId="55" fillId="7" borderId="15" xfId="0" applyFont="1" applyFill="1" applyBorder="1" applyAlignment="1" applyProtection="1">
      <alignment horizontal="center" vertical="center"/>
    </xf>
    <xf numFmtId="181" fontId="55" fillId="7" borderId="24" xfId="0" applyNumberFormat="1" applyFont="1" applyFill="1" applyBorder="1" applyAlignment="1" applyProtection="1">
      <alignment horizontal="center" vertical="center"/>
    </xf>
    <xf numFmtId="0" fontId="50" fillId="7" borderId="22" xfId="0" applyFont="1" applyFill="1" applyBorder="1" applyAlignment="1" applyProtection="1">
      <alignment vertical="center" wrapText="1"/>
    </xf>
    <xf numFmtId="0" fontId="55" fillId="7" borderId="1" xfId="0" applyFont="1" applyFill="1" applyBorder="1" applyAlignment="1" applyProtection="1">
      <alignment horizontal="center" vertical="center"/>
    </xf>
    <xf numFmtId="0" fontId="50" fillId="7" borderId="22" xfId="0" applyFont="1" applyFill="1" applyBorder="1" applyAlignment="1" applyProtection="1">
      <alignment vertical="center"/>
    </xf>
    <xf numFmtId="0" fontId="50" fillId="7" borderId="13" xfId="0" applyFont="1" applyFill="1" applyBorder="1" applyAlignment="1" applyProtection="1">
      <alignment horizontal="left" vertical="center"/>
    </xf>
    <xf numFmtId="181" fontId="55" fillId="7" borderId="61" xfId="0" applyNumberFormat="1" applyFont="1" applyFill="1" applyBorder="1" applyAlignment="1" applyProtection="1">
      <alignment horizontal="center" vertical="center"/>
      <protection locked="0"/>
    </xf>
    <xf numFmtId="49" fontId="55" fillId="7" borderId="41" xfId="0" applyNumberFormat="1" applyFont="1" applyFill="1" applyBorder="1" applyAlignment="1" applyProtection="1">
      <alignment vertical="center"/>
    </xf>
    <xf numFmtId="0" fontId="186" fillId="7" borderId="1" xfId="0" applyFont="1" applyFill="1" applyBorder="1" applyAlignment="1" applyProtection="1">
      <alignment horizontal="right" vertical="center" wrapText="1"/>
    </xf>
    <xf numFmtId="0" fontId="55" fillId="7" borderId="1" xfId="0" applyFont="1" applyFill="1" applyBorder="1" applyAlignment="1" applyProtection="1">
      <alignment horizontal="center" vertical="center"/>
      <protection locked="0"/>
    </xf>
    <xf numFmtId="0" fontId="120" fillId="7" borderId="15" xfId="0" applyFont="1" applyFill="1" applyBorder="1" applyAlignment="1" applyProtection="1">
      <alignment vertical="center"/>
    </xf>
    <xf numFmtId="181" fontId="55" fillId="7" borderId="61" xfId="0" applyNumberFormat="1" applyFont="1" applyFill="1" applyBorder="1" applyAlignment="1" applyProtection="1">
      <alignment horizontal="center" vertical="center"/>
    </xf>
    <xf numFmtId="49" fontId="50" fillId="7" borderId="91" xfId="0" applyNumberFormat="1" applyFont="1" applyFill="1" applyBorder="1" applyAlignment="1" applyProtection="1">
      <alignment vertical="center"/>
    </xf>
    <xf numFmtId="0" fontId="50" fillId="7" borderId="119" xfId="0" applyFont="1" applyFill="1" applyBorder="1" applyAlignment="1" applyProtection="1">
      <alignment vertical="center" wrapText="1"/>
    </xf>
    <xf numFmtId="0" fontId="55" fillId="7" borderId="78" xfId="0" applyFont="1" applyFill="1" applyBorder="1" applyAlignment="1" applyProtection="1">
      <alignment horizontal="center" vertical="center"/>
      <protection locked="0"/>
    </xf>
    <xf numFmtId="0" fontId="50" fillId="7" borderId="78" xfId="0" applyFont="1" applyFill="1" applyBorder="1" applyAlignment="1" applyProtection="1">
      <alignment vertical="center"/>
    </xf>
    <xf numFmtId="0" fontId="50" fillId="7" borderId="78" xfId="0" applyFont="1" applyFill="1" applyBorder="1" applyAlignment="1" applyProtection="1">
      <alignment horizontal="left" vertical="center"/>
    </xf>
    <xf numFmtId="181" fontId="55" fillId="7" borderId="79" xfId="0" applyNumberFormat="1" applyFont="1" applyFill="1" applyBorder="1" applyAlignment="1" applyProtection="1">
      <alignment horizontal="center" vertical="center"/>
    </xf>
    <xf numFmtId="49" fontId="55" fillId="7" borderId="41" xfId="0" applyNumberFormat="1" applyFont="1" applyFill="1" applyBorder="1" applyAlignment="1" applyProtection="1">
      <alignment horizontal="left" vertical="center"/>
    </xf>
    <xf numFmtId="0" fontId="55" fillId="7" borderId="2" xfId="0" applyFont="1" applyFill="1" applyBorder="1" applyAlignment="1" applyProtection="1">
      <alignment horizontal="left" vertical="center"/>
    </xf>
    <xf numFmtId="0" fontId="55" fillId="7" borderId="2" xfId="0" applyFont="1" applyFill="1" applyBorder="1" applyAlignment="1" applyProtection="1">
      <alignment horizontal="center" vertical="center"/>
    </xf>
    <xf numFmtId="0" fontId="50" fillId="7" borderId="15" xfId="0" applyFont="1" applyFill="1" applyBorder="1" applyAlignment="1" applyProtection="1">
      <alignment horizontal="left" vertical="center"/>
    </xf>
    <xf numFmtId="181" fontId="50" fillId="7" borderId="53" xfId="0" applyNumberFormat="1" applyFont="1" applyFill="1" applyBorder="1" applyAlignment="1" applyProtection="1">
      <alignment horizontal="center" vertical="center"/>
    </xf>
    <xf numFmtId="49" fontId="50" fillId="7" borderId="23" xfId="0" applyNumberFormat="1" applyFont="1" applyFill="1" applyBorder="1" applyAlignment="1" applyProtection="1">
      <alignment horizontal="left" vertical="center"/>
    </xf>
    <xf numFmtId="179" fontId="105" fillId="7" borderId="5" xfId="0" applyNumberFormat="1" applyFont="1" applyFill="1" applyBorder="1" applyAlignment="1" applyProtection="1">
      <alignment horizontal="center" vertical="center"/>
      <protection locked="0"/>
    </xf>
    <xf numFmtId="0" fontId="50" fillId="7" borderId="5" xfId="0" applyFont="1" applyFill="1" applyBorder="1" applyAlignment="1" applyProtection="1">
      <alignment horizontal="left" vertical="center" wrapText="1"/>
    </xf>
    <xf numFmtId="0" fontId="50" fillId="7" borderId="54" xfId="0" applyFont="1" applyFill="1" applyBorder="1" applyAlignment="1" applyProtection="1">
      <alignment horizontal="left" vertical="center" wrapText="1"/>
    </xf>
    <xf numFmtId="179" fontId="55" fillId="7" borderId="48" xfId="0" applyNumberFormat="1" applyFont="1" applyFill="1" applyBorder="1" applyAlignment="1" applyProtection="1">
      <alignment horizontal="center" vertical="center"/>
    </xf>
    <xf numFmtId="0" fontId="50" fillId="7" borderId="1" xfId="0" applyFont="1" applyFill="1" applyBorder="1" applyAlignment="1" applyProtection="1">
      <alignment horizontal="center" vertical="center"/>
    </xf>
    <xf numFmtId="0" fontId="50" fillId="7" borderId="2" xfId="0" applyFont="1" applyFill="1" applyBorder="1" applyAlignment="1" applyProtection="1">
      <alignment horizontal="left" vertical="center"/>
    </xf>
    <xf numFmtId="181" fontId="50" fillId="7" borderId="8" xfId="0" applyNumberFormat="1" applyFont="1" applyFill="1" applyBorder="1" applyAlignment="1" applyProtection="1">
      <alignment horizontal="center" vertical="center"/>
    </xf>
    <xf numFmtId="181" fontId="50" fillId="7" borderId="24" xfId="0" applyNumberFormat="1" applyFont="1" applyFill="1" applyBorder="1" applyAlignment="1" applyProtection="1">
      <alignment horizontal="center" vertical="center"/>
    </xf>
    <xf numFmtId="0" fontId="50" fillId="7" borderId="48" xfId="0" applyFont="1" applyFill="1" applyBorder="1" applyAlignment="1" applyProtection="1">
      <alignment horizontal="center" vertical="center"/>
    </xf>
    <xf numFmtId="0" fontId="50" fillId="7" borderId="5" xfId="0" applyFont="1" applyFill="1" applyBorder="1" applyAlignment="1" applyProtection="1">
      <alignment vertical="center"/>
    </xf>
    <xf numFmtId="0" fontId="50" fillId="7" borderId="54" xfId="0" applyFont="1" applyFill="1" applyBorder="1" applyAlignment="1" applyProtection="1">
      <alignment horizontal="center" vertical="center"/>
    </xf>
    <xf numFmtId="0" fontId="50" fillId="7" borderId="1" xfId="0" applyFont="1" applyFill="1" applyBorder="1" applyAlignment="1" applyProtection="1">
      <alignment vertical="center" wrapText="1"/>
    </xf>
    <xf numFmtId="0" fontId="50" fillId="7" borderId="1" xfId="0" applyFont="1" applyFill="1" applyBorder="1" applyAlignment="1" applyProtection="1">
      <alignment vertical="center"/>
    </xf>
    <xf numFmtId="0" fontId="50" fillId="7" borderId="24" xfId="0" applyFont="1" applyFill="1" applyBorder="1" applyAlignment="1" applyProtection="1">
      <alignment horizontal="center" vertical="center"/>
    </xf>
    <xf numFmtId="10" fontId="50" fillId="7" borderId="24" xfId="0" applyNumberFormat="1" applyFont="1" applyFill="1" applyBorder="1" applyAlignment="1" applyProtection="1">
      <alignment horizontal="center" vertical="center"/>
    </xf>
    <xf numFmtId="49" fontId="50" fillId="7" borderId="91" xfId="0" applyNumberFormat="1" applyFont="1" applyFill="1" applyBorder="1" applyAlignment="1" applyProtection="1">
      <alignment horizontal="left" vertical="center"/>
    </xf>
    <xf numFmtId="0" fontId="50" fillId="7" borderId="78" xfId="0" applyFont="1" applyFill="1" applyBorder="1" applyAlignment="1" applyProtection="1">
      <alignment horizontal="center" vertical="center"/>
    </xf>
    <xf numFmtId="0" fontId="50" fillId="7" borderId="78" xfId="0" applyFont="1" applyFill="1" applyBorder="1" applyAlignment="1" applyProtection="1">
      <alignment horizontal="left" vertical="center" wrapText="1"/>
    </xf>
    <xf numFmtId="181" fontId="50" fillId="7" borderId="79" xfId="0" applyNumberFormat="1" applyFont="1" applyFill="1" applyBorder="1" applyAlignment="1" applyProtection="1">
      <alignment horizontal="center" vertical="center"/>
    </xf>
    <xf numFmtId="0" fontId="50" fillId="7" borderId="4" xfId="0" applyFont="1" applyFill="1" applyBorder="1" applyAlignment="1" applyProtection="1">
      <alignment horizontal="left" vertical="center"/>
    </xf>
    <xf numFmtId="0" fontId="50" fillId="7" borderId="60" xfId="0" applyFont="1" applyFill="1" applyBorder="1" applyAlignment="1" applyProtection="1">
      <alignment horizontal="center" vertical="center"/>
    </xf>
    <xf numFmtId="0" fontId="50" fillId="7" borderId="1" xfId="0" applyFont="1" applyFill="1" applyBorder="1" applyAlignment="1" applyProtection="1">
      <alignment horizontal="left" vertical="center" wrapText="1"/>
    </xf>
    <xf numFmtId="181" fontId="50" fillId="7" borderId="48" xfId="0" applyNumberFormat="1" applyFont="1" applyFill="1" applyBorder="1" applyAlignment="1" applyProtection="1">
      <alignment horizontal="center" vertical="center" wrapText="1"/>
    </xf>
    <xf numFmtId="0" fontId="50" fillId="7" borderId="1" xfId="0" applyFont="1" applyFill="1" applyBorder="1" applyAlignment="1" applyProtection="1">
      <alignment horizontal="left" vertical="center" wrapText="1"/>
      <protection locked="0"/>
    </xf>
    <xf numFmtId="0" fontId="50" fillId="7" borderId="13" xfId="0" applyFont="1" applyFill="1" applyBorder="1" applyAlignment="1" applyProtection="1">
      <alignment horizontal="center" vertical="center"/>
    </xf>
    <xf numFmtId="0" fontId="50" fillId="7" borderId="13" xfId="0" applyFont="1" applyFill="1" applyBorder="1" applyAlignment="1" applyProtection="1">
      <alignment horizontal="left" vertical="center" wrapText="1"/>
    </xf>
    <xf numFmtId="49" fontId="50" fillId="7" borderId="7" xfId="0" applyNumberFormat="1" applyFont="1" applyFill="1" applyBorder="1" applyAlignment="1" applyProtection="1">
      <alignment vertical="center"/>
    </xf>
    <xf numFmtId="0" fontId="50" fillId="7" borderId="7" xfId="0" applyFont="1" applyFill="1" applyBorder="1" applyAlignment="1" applyProtection="1">
      <alignment vertical="center"/>
    </xf>
    <xf numFmtId="0" fontId="50" fillId="7" borderId="2" xfId="0" applyFont="1" applyFill="1" applyBorder="1" applyAlignment="1" applyProtection="1">
      <alignment horizontal="center" vertical="center"/>
    </xf>
    <xf numFmtId="0" fontId="50" fillId="7" borderId="2" xfId="0" applyFont="1" applyFill="1" applyBorder="1" applyAlignment="1" applyProtection="1">
      <alignment horizontal="left" vertical="center" wrapText="1"/>
    </xf>
    <xf numFmtId="49" fontId="50" fillId="7" borderId="41" xfId="0" applyNumberFormat="1" applyFont="1" applyFill="1" applyBorder="1" applyAlignment="1" applyProtection="1">
      <alignment horizontal="left" vertical="center"/>
    </xf>
    <xf numFmtId="10" fontId="55" fillId="7" borderId="24" xfId="0" applyNumberFormat="1" applyFont="1" applyFill="1" applyBorder="1" applyAlignment="1" applyProtection="1">
      <alignment horizontal="center" vertical="center"/>
    </xf>
    <xf numFmtId="183" fontId="55" fillId="7" borderId="24" xfId="0" applyNumberFormat="1" applyFont="1" applyFill="1" applyBorder="1" applyAlignment="1" applyProtection="1">
      <alignment horizontal="center" vertical="center"/>
    </xf>
    <xf numFmtId="0" fontId="50" fillId="7" borderId="13" xfId="0" applyFont="1" applyFill="1" applyBorder="1" applyAlignment="1">
      <alignment horizontal="center" vertical="center"/>
    </xf>
    <xf numFmtId="0" fontId="80" fillId="7" borderId="13" xfId="0" applyFont="1" applyFill="1" applyBorder="1" applyAlignment="1" applyProtection="1">
      <alignment horizontal="left" vertical="center" wrapText="1"/>
    </xf>
    <xf numFmtId="0" fontId="50" fillId="7" borderId="1" xfId="0" applyFont="1" applyFill="1" applyBorder="1" applyAlignment="1">
      <alignment horizontal="left" vertical="center"/>
    </xf>
    <xf numFmtId="176" fontId="55" fillId="7" borderId="61" xfId="0" applyNumberFormat="1" applyFont="1" applyFill="1" applyBorder="1" applyAlignment="1" applyProtection="1">
      <alignment horizontal="center" vertical="center"/>
      <protection locked="0"/>
    </xf>
    <xf numFmtId="49" fontId="80" fillId="7" borderId="91" xfId="0" applyNumberFormat="1" applyFont="1" applyFill="1" applyBorder="1" applyAlignment="1" applyProtection="1">
      <alignment horizontal="left" vertical="center"/>
    </xf>
    <xf numFmtId="0" fontId="50" fillId="7" borderId="78" xfId="0" applyFont="1" applyFill="1" applyBorder="1" applyAlignment="1">
      <alignment horizontal="center" vertical="center"/>
    </xf>
    <xf numFmtId="0" fontId="80" fillId="7" borderId="78" xfId="0" applyFont="1" applyFill="1" applyBorder="1" applyAlignment="1" applyProtection="1">
      <alignment horizontal="left" vertical="center" wrapText="1"/>
    </xf>
    <xf numFmtId="0" fontId="50" fillId="7" borderId="78" xfId="0" applyFont="1" applyFill="1" applyBorder="1" applyAlignment="1">
      <alignment horizontal="left" vertical="center"/>
    </xf>
    <xf numFmtId="176" fontId="55" fillId="7" borderId="79" xfId="0" applyNumberFormat="1" applyFont="1" applyFill="1" applyBorder="1" applyAlignment="1" applyProtection="1">
      <alignment horizontal="center" vertical="center"/>
      <protection locked="0"/>
    </xf>
    <xf numFmtId="0" fontId="55" fillId="7" borderId="2" xfId="0" applyFont="1" applyFill="1" applyBorder="1" applyAlignment="1" applyProtection="1">
      <alignment horizontal="left" vertical="center" wrapText="1"/>
    </xf>
    <xf numFmtId="0" fontId="50" fillId="7" borderId="4" xfId="0" applyFont="1" applyFill="1" applyBorder="1" applyAlignment="1" applyProtection="1">
      <alignment horizontal="left" vertical="center" wrapText="1"/>
    </xf>
    <xf numFmtId="0" fontId="50" fillId="7" borderId="60" xfId="0" applyFont="1" applyFill="1" applyBorder="1" applyAlignment="1" applyProtection="1">
      <alignment horizontal="center" vertical="center" wrapText="1"/>
    </xf>
    <xf numFmtId="0" fontId="50" fillId="7" borderId="71" xfId="0" applyFont="1" applyFill="1" applyBorder="1" applyAlignment="1" applyProtection="1">
      <alignment horizontal="center" vertical="center" wrapText="1"/>
    </xf>
    <xf numFmtId="0" fontId="55" fillId="7" borderId="13" xfId="0" applyFont="1" applyFill="1" applyBorder="1" applyAlignment="1" applyProtection="1">
      <alignment horizontal="center" vertical="center"/>
    </xf>
    <xf numFmtId="0" fontId="55" fillId="7" borderId="15" xfId="0" applyFont="1" applyFill="1" applyBorder="1" applyAlignment="1" applyProtection="1">
      <alignment vertical="center" wrapText="1"/>
    </xf>
    <xf numFmtId="0" fontId="50" fillId="7" borderId="15" xfId="0" applyFont="1" applyFill="1" applyBorder="1" applyAlignment="1" applyProtection="1">
      <alignment horizontal="left" vertical="center" wrapText="1"/>
    </xf>
    <xf numFmtId="179" fontId="55" fillId="7" borderId="24" xfId="0" applyNumberFormat="1" applyFont="1" applyFill="1" applyBorder="1" applyAlignment="1" applyProtection="1">
      <alignment horizontal="center" vertical="center"/>
    </xf>
    <xf numFmtId="0" fontId="55" fillId="7" borderId="2" xfId="0" applyFont="1" applyFill="1" applyBorder="1" applyAlignment="1" applyProtection="1">
      <alignment vertical="center" wrapText="1"/>
    </xf>
    <xf numFmtId="49" fontId="55" fillId="7" borderId="25" xfId="0" applyNumberFormat="1" applyFont="1" applyFill="1" applyBorder="1" applyAlignment="1" applyProtection="1">
      <alignment horizontal="left" vertical="center"/>
    </xf>
    <xf numFmtId="0" fontId="55" fillId="7" borderId="32" xfId="0" applyFont="1" applyFill="1" applyBorder="1" applyAlignment="1" applyProtection="1">
      <alignment horizontal="left" vertical="center"/>
    </xf>
    <xf numFmtId="0" fontId="55" fillId="7" borderId="32" xfId="0" applyFont="1" applyFill="1" applyBorder="1" applyAlignment="1" applyProtection="1">
      <alignment horizontal="center" vertical="center"/>
    </xf>
    <xf numFmtId="0" fontId="50" fillId="7" borderId="32" xfId="0" applyFont="1" applyFill="1" applyBorder="1" applyAlignment="1" applyProtection="1">
      <alignment vertical="center"/>
    </xf>
    <xf numFmtId="0" fontId="50" fillId="7" borderId="32" xfId="0" applyFont="1" applyFill="1" applyBorder="1" applyAlignment="1" applyProtection="1">
      <alignment horizontal="left" vertical="center"/>
    </xf>
    <xf numFmtId="179" fontId="55" fillId="7" borderId="49" xfId="0" applyNumberFormat="1" applyFont="1" applyFill="1" applyBorder="1" applyAlignment="1" applyProtection="1">
      <alignment horizontal="center" vertical="center"/>
    </xf>
    <xf numFmtId="179" fontId="137" fillId="6" borderId="0" xfId="0" applyNumberFormat="1" applyFont="1" applyFill="1" applyAlignment="1" applyProtection="1">
      <alignment vertical="center"/>
      <protection locked="0"/>
    </xf>
    <xf numFmtId="10" fontId="105" fillId="7" borderId="1" xfId="0" applyNumberFormat="1" applyFont="1" applyFill="1" applyBorder="1" applyAlignment="1" applyProtection="1">
      <alignment horizontal="center" vertical="center"/>
      <protection locked="0"/>
    </xf>
    <xf numFmtId="10" fontId="105" fillId="0" borderId="1" xfId="0" applyNumberFormat="1" applyFont="1" applyFill="1" applyBorder="1" applyAlignment="1" applyProtection="1">
      <alignment horizontal="center" vertical="center"/>
      <protection locked="0"/>
    </xf>
    <xf numFmtId="181" fontId="50" fillId="7" borderId="1" xfId="0" applyNumberFormat="1" applyFont="1" applyFill="1" applyBorder="1" applyAlignment="1" applyProtection="1">
      <alignment horizontal="center" vertical="center"/>
    </xf>
    <xf numFmtId="10" fontId="55" fillId="5" borderId="24" xfId="0" applyNumberFormat="1" applyFont="1" applyFill="1" applyBorder="1" applyAlignment="1" applyProtection="1">
      <alignment horizontal="center" vertical="center"/>
    </xf>
    <xf numFmtId="0" fontId="101" fillId="0" borderId="0" xfId="0" applyFont="1">
      <alignment vertical="center"/>
    </xf>
    <xf numFmtId="0" fontId="0" fillId="0" borderId="1" xfId="0" applyBorder="1">
      <alignment vertical="center"/>
    </xf>
    <xf numFmtId="0" fontId="99" fillId="0" borderId="1" xfId="0" applyFont="1" applyBorder="1">
      <alignment vertical="center"/>
    </xf>
    <xf numFmtId="0" fontId="0" fillId="7" borderId="1" xfId="0" applyFill="1" applyBorder="1">
      <alignment vertical="center"/>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5" fillId="6" borderId="0" xfId="0" applyFont="1" applyFill="1" applyAlignment="1" applyProtection="1">
      <alignment vertical="center"/>
      <protection locked="0"/>
    </xf>
    <xf numFmtId="49" fontId="60" fillId="0" borderId="37" xfId="1" applyNumberFormat="1" applyFont="1" applyFill="1" applyBorder="1" applyAlignment="1" applyProtection="1"/>
    <xf numFmtId="49" fontId="60" fillId="0" borderId="54" xfId="1" applyNumberFormat="1" applyFont="1" applyFill="1" applyBorder="1" applyAlignment="1" applyProtection="1"/>
    <xf numFmtId="49" fontId="60" fillId="0" borderId="48" xfId="1" applyNumberFormat="1" applyFont="1" applyFill="1" applyBorder="1" applyAlignment="1" applyProtection="1"/>
    <xf numFmtId="49" fontId="57" fillId="0" borderId="23" xfId="1" applyNumberFormat="1" applyFont="1" applyFill="1" applyBorder="1" applyAlignment="1" applyProtection="1">
      <alignment horizontal="left"/>
    </xf>
    <xf numFmtId="0" fontId="57" fillId="0" borderId="5" xfId="1" applyFont="1" applyFill="1" applyBorder="1" applyAlignment="1" applyProtection="1"/>
    <xf numFmtId="177" fontId="57" fillId="0" borderId="1" xfId="0" applyNumberFormat="1" applyFont="1" applyFill="1" applyBorder="1" applyAlignment="1" applyProtection="1">
      <alignment horizontal="center" vertical="center"/>
    </xf>
    <xf numFmtId="0" fontId="57" fillId="0" borderId="1" xfId="0" applyFont="1" applyFill="1" applyBorder="1" applyAlignment="1" applyProtection="1">
      <alignment horizontal="center" vertical="center"/>
    </xf>
    <xf numFmtId="0" fontId="57" fillId="0" borderId="1" xfId="1" applyFont="1" applyFill="1" applyBorder="1" applyAlignment="1" applyProtection="1">
      <alignment horizontal="center"/>
    </xf>
    <xf numFmtId="0" fontId="57" fillId="0" borderId="1" xfId="0" applyFont="1" applyFill="1" applyBorder="1" applyAlignment="1" applyProtection="1">
      <alignment vertical="center"/>
    </xf>
    <xf numFmtId="0" fontId="57" fillId="0" borderId="24" xfId="0" applyFont="1" applyFill="1" applyBorder="1" applyAlignment="1" applyProtection="1">
      <alignment vertical="center"/>
    </xf>
    <xf numFmtId="0" fontId="56" fillId="0" borderId="23" xfId="0" applyFont="1" applyFill="1" applyBorder="1" applyAlignment="1" applyProtection="1">
      <alignment horizontal="center" vertical="center"/>
    </xf>
    <xf numFmtId="0" fontId="56" fillId="0" borderId="5" xfId="1" applyFont="1" applyFill="1" applyBorder="1" applyAlignment="1" applyProtection="1"/>
    <xf numFmtId="177" fontId="56" fillId="0" borderId="1" xfId="1" applyNumberFormat="1" applyFont="1" applyFill="1" applyBorder="1" applyAlignment="1" applyProtection="1">
      <alignment horizontal="center"/>
    </xf>
    <xf numFmtId="179" fontId="56" fillId="0" borderId="1" xfId="1" applyNumberFormat="1" applyFont="1" applyFill="1" applyBorder="1" applyAlignment="1" applyProtection="1">
      <alignment horizontal="center"/>
    </xf>
    <xf numFmtId="181" fontId="57" fillId="0" borderId="5" xfId="1" applyNumberFormat="1" applyFont="1" applyFill="1" applyBorder="1" applyAlignment="1" applyProtection="1">
      <alignment horizontal="center"/>
    </xf>
    <xf numFmtId="0" fontId="56" fillId="0" borderId="24" xfId="1" applyFont="1" applyFill="1" applyBorder="1" applyAlignment="1" applyProtection="1">
      <alignment horizontal="left"/>
    </xf>
    <xf numFmtId="10" fontId="56" fillId="0" borderId="5" xfId="1" applyNumberFormat="1" applyFont="1" applyFill="1" applyBorder="1" applyAlignment="1" applyProtection="1">
      <alignment horizontal="center"/>
    </xf>
    <xf numFmtId="0" fontId="56" fillId="0" borderId="24" xfId="0" applyFont="1" applyFill="1" applyBorder="1" applyAlignment="1" applyProtection="1">
      <alignment vertical="center" wrapText="1"/>
    </xf>
    <xf numFmtId="177" fontId="56" fillId="0" borderId="1" xfId="1" applyNumberFormat="1" applyFont="1" applyFill="1" applyBorder="1" applyAlignment="1" applyProtection="1">
      <alignment horizontal="center" vertical="center"/>
    </xf>
    <xf numFmtId="0" fontId="56" fillId="0" borderId="24" xfId="1" applyFont="1" applyFill="1" applyBorder="1" applyAlignment="1" applyProtection="1">
      <alignment horizontal="left" vertical="center"/>
    </xf>
    <xf numFmtId="10" fontId="57" fillId="0" borderId="5" xfId="1" applyNumberFormat="1" applyFont="1" applyFill="1" applyBorder="1" applyAlignment="1" applyProtection="1">
      <alignment horizontal="center"/>
    </xf>
    <xf numFmtId="0" fontId="57" fillId="0" borderId="1" xfId="0" applyNumberFormat="1" applyFont="1" applyFill="1" applyBorder="1" applyAlignment="1" applyProtection="1">
      <alignment horizontal="right" vertical="center"/>
    </xf>
    <xf numFmtId="0" fontId="57" fillId="0" borderId="1" xfId="0" applyFont="1" applyFill="1" applyBorder="1" applyAlignment="1" applyProtection="1">
      <alignment horizontal="left" vertical="center"/>
    </xf>
    <xf numFmtId="0" fontId="57" fillId="0" borderId="1" xfId="0" applyFont="1" applyFill="1" applyBorder="1" applyAlignment="1" applyProtection="1">
      <alignment horizontal="right" vertical="center"/>
    </xf>
    <xf numFmtId="10" fontId="57" fillId="0" borderId="5" xfId="1" applyNumberFormat="1" applyFont="1" applyFill="1" applyBorder="1" applyAlignment="1" applyProtection="1">
      <alignment horizontal="center" vertical="center"/>
    </xf>
    <xf numFmtId="0" fontId="56" fillId="0" borderId="1" xfId="0" applyFont="1" applyFill="1" applyBorder="1" applyAlignment="1" applyProtection="1">
      <alignment horizontal="center" vertical="center"/>
    </xf>
    <xf numFmtId="179" fontId="56" fillId="0" borderId="5" xfId="1" applyNumberFormat="1" applyFont="1" applyFill="1" applyBorder="1" applyAlignment="1" applyProtection="1">
      <alignment horizontal="center" vertical="center"/>
    </xf>
    <xf numFmtId="0" fontId="57" fillId="0" borderId="5" xfId="1" applyFont="1" applyFill="1" applyBorder="1" applyAlignment="1" applyProtection="1">
      <alignment vertical="center"/>
    </xf>
    <xf numFmtId="177" fontId="57" fillId="0" borderId="1" xfId="1" applyNumberFormat="1" applyFont="1" applyFill="1" applyBorder="1" applyAlignment="1" applyProtection="1">
      <alignment horizontal="center" vertical="center"/>
    </xf>
    <xf numFmtId="9" fontId="57" fillId="0" borderId="5" xfId="1" applyNumberFormat="1" applyFont="1" applyFill="1" applyBorder="1" applyAlignment="1" applyProtection="1">
      <alignment horizontal="center" vertical="center"/>
    </xf>
    <xf numFmtId="0" fontId="57" fillId="0" borderId="24" xfId="0" applyFont="1" applyFill="1" applyBorder="1" applyAlignment="1" applyProtection="1">
      <alignment vertical="center" wrapText="1"/>
    </xf>
    <xf numFmtId="0" fontId="56" fillId="0" borderId="5" xfId="1" applyFont="1" applyFill="1" applyBorder="1" applyAlignment="1" applyProtection="1">
      <alignment horizontal="left"/>
    </xf>
    <xf numFmtId="185" fontId="57" fillId="0" borderId="1" xfId="0" applyNumberFormat="1" applyFont="1" applyFill="1" applyBorder="1" applyAlignment="1" applyProtection="1">
      <alignment horizontal="right" vertical="center"/>
    </xf>
    <xf numFmtId="10" fontId="57" fillId="0" borderId="1" xfId="0" applyNumberFormat="1" applyFont="1" applyFill="1" applyBorder="1" applyAlignment="1" applyProtection="1">
      <alignment horizontal="right" vertical="center"/>
    </xf>
    <xf numFmtId="10" fontId="57" fillId="0" borderId="1" xfId="1" applyNumberFormat="1" applyFont="1" applyFill="1" applyBorder="1" applyAlignment="1" applyProtection="1">
      <alignment horizontal="center" vertical="center"/>
    </xf>
    <xf numFmtId="49" fontId="60" fillId="0" borderId="38" xfId="1" applyNumberFormat="1" applyFont="1" applyFill="1" applyBorder="1" applyAlignment="1" applyProtection="1"/>
    <xf numFmtId="49" fontId="60" fillId="0" borderId="52" xfId="1" applyNumberFormat="1" applyFont="1" applyFill="1" applyBorder="1" applyAlignment="1" applyProtection="1"/>
    <xf numFmtId="177" fontId="57" fillId="0" borderId="32" xfId="0" applyNumberFormat="1" applyFont="1" applyFill="1" applyBorder="1" applyAlignment="1" applyProtection="1">
      <alignment horizontal="center" vertical="center"/>
    </xf>
    <xf numFmtId="49" fontId="60" fillId="0" borderId="68" xfId="1" applyNumberFormat="1" applyFont="1" applyFill="1" applyBorder="1" applyAlignment="1" applyProtection="1"/>
    <xf numFmtId="10" fontId="55" fillId="0" borderId="24" xfId="0" applyNumberFormat="1" applyFont="1" applyFill="1" applyBorder="1" applyAlignment="1" applyProtection="1">
      <alignment horizontal="center" vertical="center"/>
    </xf>
    <xf numFmtId="0" fontId="99" fillId="0" borderId="0" xfId="10" applyAlignment="1">
      <alignment horizontal="center" vertical="center"/>
    </xf>
    <xf numFmtId="10" fontId="99" fillId="0" borderId="0" xfId="10" applyNumberFormat="1" applyAlignment="1">
      <alignment horizontal="center" vertical="center"/>
    </xf>
    <xf numFmtId="0" fontId="260" fillId="0" borderId="1" xfId="10" applyFont="1" applyBorder="1" applyAlignment="1">
      <alignment horizontal="center" vertical="center"/>
    </xf>
    <xf numFmtId="177" fontId="105" fillId="7" borderId="5" xfId="0" applyNumberFormat="1" applyFont="1" applyFill="1" applyBorder="1" applyAlignment="1" applyProtection="1">
      <alignment horizontal="center" vertical="center"/>
      <protection locked="0"/>
    </xf>
    <xf numFmtId="0" fontId="100" fillId="0" borderId="1" xfId="10" applyFont="1" applyBorder="1" applyAlignment="1">
      <alignment horizontal="center" vertical="center"/>
    </xf>
    <xf numFmtId="0" fontId="261" fillId="0" borderId="0" xfId="17" applyAlignment="1">
      <alignment horizontal="center" vertical="center" wrapText="1"/>
    </xf>
    <xf numFmtId="0" fontId="261" fillId="0" borderId="1" xfId="17" applyBorder="1" applyAlignment="1">
      <alignment horizontal="center" vertical="center" wrapText="1"/>
    </xf>
    <xf numFmtId="2" fontId="261" fillId="7" borderId="1" xfId="17" applyNumberFormat="1" applyFill="1" applyBorder="1" applyAlignment="1">
      <alignment horizontal="center" vertical="center" wrapText="1"/>
    </xf>
    <xf numFmtId="0" fontId="261" fillId="0" borderId="1" xfId="17" applyBorder="1" applyAlignment="1">
      <alignment horizontal="center" vertical="center"/>
    </xf>
    <xf numFmtId="0" fontId="261" fillId="0" borderId="1" xfId="17" applyBorder="1">
      <alignment vertical="center"/>
    </xf>
    <xf numFmtId="0" fontId="261" fillId="0" borderId="1" xfId="17" applyBorder="1" applyAlignment="1">
      <alignment horizontal="left" vertical="center"/>
    </xf>
    <xf numFmtId="0" fontId="261" fillId="0" borderId="0" xfId="17">
      <alignment vertical="center"/>
    </xf>
    <xf numFmtId="0" fontId="261" fillId="5" borderId="1" xfId="17" applyFill="1" applyBorder="1" applyAlignment="1">
      <alignment horizontal="center" vertical="center"/>
    </xf>
    <xf numFmtId="0" fontId="261" fillId="5" borderId="1" xfId="17" applyFill="1" applyBorder="1">
      <alignment vertical="center"/>
    </xf>
    <xf numFmtId="0" fontId="261" fillId="5" borderId="1" xfId="17" applyFill="1" applyBorder="1" applyAlignment="1">
      <alignment horizontal="left" vertical="center"/>
    </xf>
    <xf numFmtId="10" fontId="261" fillId="5" borderId="1" xfId="17" applyNumberFormat="1" applyFill="1" applyBorder="1" applyAlignment="1">
      <alignment horizontal="left" vertical="center"/>
    </xf>
    <xf numFmtId="10" fontId="261" fillId="0" borderId="1" xfId="17" applyNumberFormat="1" applyBorder="1" applyAlignment="1">
      <alignment horizontal="left" vertical="center"/>
    </xf>
    <xf numFmtId="179" fontId="261" fillId="0" borderId="0" xfId="17" applyNumberFormat="1">
      <alignment vertical="center"/>
    </xf>
    <xf numFmtId="0" fontId="261" fillId="0" borderId="0" xfId="17" applyAlignment="1">
      <alignment horizontal="center" vertical="center"/>
    </xf>
    <xf numFmtId="0" fontId="261" fillId="0" borderId="0" xfId="17" applyAlignment="1">
      <alignment horizontal="left" vertical="center"/>
    </xf>
    <xf numFmtId="0" fontId="133" fillId="0" borderId="1" xfId="17" applyFont="1" applyBorder="1" applyAlignment="1">
      <alignment horizontal="center" vertical="center"/>
    </xf>
    <xf numFmtId="49" fontId="61" fillId="0" borderId="1" xfId="17" applyNumberFormat="1" applyFont="1" applyBorder="1" applyAlignment="1">
      <alignment horizontal="center" vertical="center" shrinkToFit="1"/>
    </xf>
    <xf numFmtId="0" fontId="61" fillId="0" borderId="1" xfId="17" applyFont="1" applyBorder="1" applyAlignment="1">
      <alignment horizontal="center" vertical="center"/>
    </xf>
    <xf numFmtId="49" fontId="54" fillId="0" borderId="1" xfId="17" applyNumberFormat="1" applyFont="1" applyBorder="1" applyAlignment="1">
      <alignment horizontal="center" vertical="center" wrapText="1" shrinkToFit="1"/>
    </xf>
    <xf numFmtId="0" fontId="61" fillId="0" borderId="1" xfId="17" applyFont="1" applyBorder="1" applyAlignment="1">
      <alignment horizontal="center" vertical="center" wrapText="1"/>
    </xf>
    <xf numFmtId="10" fontId="133" fillId="0" borderId="1" xfId="17" applyNumberFormat="1" applyFont="1" applyBorder="1" applyAlignment="1">
      <alignment horizontal="center" vertical="center"/>
    </xf>
    <xf numFmtId="2" fontId="61" fillId="0" borderId="1" xfId="17" applyNumberFormat="1" applyFont="1" applyBorder="1" applyAlignment="1">
      <alignment horizontal="center" vertical="center" wrapText="1"/>
    </xf>
    <xf numFmtId="2" fontId="261" fillId="0" borderId="0" xfId="17" applyNumberFormat="1" applyAlignment="1">
      <alignment horizontal="center" vertical="center"/>
    </xf>
    <xf numFmtId="197" fontId="261" fillId="0" borderId="0" xfId="17" applyNumberFormat="1" applyAlignment="1">
      <alignment horizontal="left" vertical="center"/>
    </xf>
    <xf numFmtId="179" fontId="261" fillId="5" borderId="0" xfId="17" applyNumberFormat="1" applyFill="1">
      <alignment vertical="center"/>
    </xf>
    <xf numFmtId="176" fontId="50" fillId="5" borderId="1" xfId="0" applyNumberFormat="1" applyFont="1" applyFill="1" applyBorder="1" applyAlignment="1" applyProtection="1">
      <alignment horizontal="center" vertical="center" wrapText="1"/>
      <protection locked="0"/>
    </xf>
    <xf numFmtId="0" fontId="1" fillId="0" borderId="0" xfId="17" applyFont="1">
      <alignment vertical="center"/>
    </xf>
    <xf numFmtId="0" fontId="1" fillId="0" borderId="0" xfId="17" applyFont="1" applyAlignment="1">
      <alignment horizontal="left" vertical="center"/>
    </xf>
    <xf numFmtId="0" fontId="261" fillId="20" borderId="0" xfId="17" applyFill="1" applyAlignment="1">
      <alignment horizontal="center" vertical="center"/>
    </xf>
    <xf numFmtId="0" fontId="261" fillId="20" borderId="1" xfId="17" applyFill="1" applyBorder="1" applyAlignment="1">
      <alignment horizontal="center" vertical="center" wrapText="1"/>
    </xf>
    <xf numFmtId="0" fontId="1" fillId="0" borderId="1" xfId="17" applyFont="1" applyBorder="1" applyAlignment="1">
      <alignment horizontal="center" vertical="center" wrapText="1"/>
    </xf>
    <xf numFmtId="0" fontId="261" fillId="18" borderId="1" xfId="17" applyFill="1" applyBorder="1" applyAlignment="1">
      <alignment horizontal="center" vertical="center" wrapText="1"/>
    </xf>
    <xf numFmtId="0" fontId="261" fillId="18" borderId="2" xfId="17" applyFill="1" applyBorder="1" applyAlignment="1">
      <alignment horizontal="center" vertical="center" wrapText="1"/>
    </xf>
    <xf numFmtId="0" fontId="56" fillId="5" borderId="0" xfId="0" applyFont="1" applyFill="1" applyAlignment="1" applyProtection="1">
      <alignment horizontal="center" vertical="center"/>
      <protection locked="0"/>
    </xf>
    <xf numFmtId="0" fontId="99" fillId="7" borderId="0" xfId="10" applyFill="1" applyAlignment="1">
      <alignment horizontal="center" vertical="center"/>
    </xf>
    <xf numFmtId="0" fontId="261" fillId="0" borderId="1" xfId="17" applyBorder="1" applyAlignment="1">
      <alignment horizontal="center" vertical="center"/>
    </xf>
    <xf numFmtId="0" fontId="1" fillId="20" borderId="1" xfId="17" applyFont="1" applyFill="1" applyBorder="1" applyAlignment="1">
      <alignment horizontal="center" vertical="center" wrapText="1"/>
    </xf>
    <xf numFmtId="176" fontId="133" fillId="0" borderId="1" xfId="17" applyNumberFormat="1" applyFont="1" applyBorder="1" applyAlignment="1">
      <alignment horizontal="center" vertical="center" wrapText="1"/>
    </xf>
    <xf numFmtId="176" fontId="133" fillId="0" borderId="1" xfId="17" applyNumberFormat="1" applyFont="1" applyFill="1" applyBorder="1" applyAlignment="1">
      <alignment horizontal="center" vertical="center" wrapText="1"/>
    </xf>
    <xf numFmtId="0" fontId="261" fillId="7" borderId="0" xfId="17" applyFill="1" applyAlignment="1">
      <alignment horizontal="center" vertical="center"/>
    </xf>
    <xf numFmtId="187" fontId="53" fillId="21" borderId="84" xfId="0" applyNumberFormat="1" applyFont="1" applyFill="1" applyBorder="1" applyAlignment="1" applyProtection="1">
      <alignment horizontal="center" vertical="center" wrapText="1"/>
    </xf>
    <xf numFmtId="0" fontId="261" fillId="21" borderId="0" xfId="17" applyFill="1" applyAlignment="1">
      <alignment horizontal="center" vertical="center"/>
    </xf>
    <xf numFmtId="176" fontId="261" fillId="0" borderId="0" xfId="17" applyNumberFormat="1" applyAlignment="1">
      <alignment horizontal="center" vertical="center"/>
    </xf>
    <xf numFmtId="0" fontId="1" fillId="0" borderId="0" xfId="17" applyFont="1" applyAlignment="1">
      <alignment horizontal="center" vertical="center"/>
    </xf>
    <xf numFmtId="0" fontId="1" fillId="0" borderId="1" xfId="17" applyFont="1" applyBorder="1" applyAlignment="1">
      <alignment horizontal="center" vertical="center"/>
    </xf>
    <xf numFmtId="176" fontId="261" fillId="0" borderId="1" xfId="17" applyNumberFormat="1" applyBorder="1" applyAlignment="1">
      <alignment horizontal="center" vertical="center"/>
    </xf>
    <xf numFmtId="176" fontId="133" fillId="7" borderId="1" xfId="17" applyNumberFormat="1" applyFont="1" applyFill="1" applyBorder="1" applyAlignment="1">
      <alignment horizontal="center" vertical="center" wrapText="1"/>
    </xf>
    <xf numFmtId="0" fontId="202"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2"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7"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3"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104" fillId="0" borderId="1" xfId="0" applyNumberFormat="1" applyFont="1" applyBorder="1" applyAlignment="1">
      <alignment horizontal="center" vertical="center" wrapText="1"/>
    </xf>
    <xf numFmtId="176" fontId="133" fillId="0" borderId="1" xfId="17" applyNumberFormat="1" applyFont="1" applyBorder="1" applyAlignment="1">
      <alignment horizontal="center" vertical="center" wrapText="1"/>
    </xf>
    <xf numFmtId="0" fontId="261" fillId="0" borderId="5" xfId="17" applyBorder="1" applyAlignment="1">
      <alignment horizontal="center" vertical="center"/>
    </xf>
    <xf numFmtId="0" fontId="261" fillId="0" borderId="3" xfId="17" applyBorder="1" applyAlignment="1">
      <alignment horizontal="center" vertical="center"/>
    </xf>
    <xf numFmtId="0" fontId="61" fillId="0" borderId="5" xfId="17" applyFont="1" applyBorder="1" applyAlignment="1">
      <alignment horizontal="center" vertical="center"/>
    </xf>
    <xf numFmtId="0" fontId="61" fillId="0" borderId="3" xfId="17" applyFont="1" applyBorder="1" applyAlignment="1">
      <alignment horizontal="center" vertical="center"/>
    </xf>
    <xf numFmtId="49" fontId="54" fillId="0" borderId="5" xfId="17" applyNumberFormat="1" applyFont="1" applyBorder="1" applyAlignment="1">
      <alignment horizontal="center" vertical="center" shrinkToFit="1"/>
    </xf>
    <xf numFmtId="49" fontId="54" fillId="0" borderId="3" xfId="17" applyNumberFormat="1" applyFont="1" applyBorder="1" applyAlignment="1">
      <alignment horizontal="center" vertical="center" shrinkToFit="1"/>
    </xf>
    <xf numFmtId="0" fontId="261" fillId="0" borderId="58" xfId="17" applyBorder="1" applyAlignment="1">
      <alignment horizontal="center" vertical="center"/>
    </xf>
    <xf numFmtId="0" fontId="261" fillId="0" borderId="1" xfId="17" applyBorder="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61" fillId="20" borderId="13" xfId="17" applyFill="1" applyBorder="1" applyAlignment="1">
      <alignment horizontal="center" vertical="center" wrapText="1"/>
    </xf>
    <xf numFmtId="0" fontId="261" fillId="20" borderId="2" xfId="17" applyFill="1" applyBorder="1" applyAlignment="1">
      <alignment horizontal="center" vertical="center" wrapText="1"/>
    </xf>
    <xf numFmtId="0" fontId="261" fillId="20" borderId="1" xfId="17" applyFill="1" applyBorder="1" applyAlignment="1">
      <alignment horizontal="center" vertical="center" wrapText="1"/>
    </xf>
    <xf numFmtId="0" fontId="261" fillId="0" borderId="1" xfId="17" applyBorder="1" applyAlignment="1">
      <alignment horizontal="center" vertical="center" wrapText="1"/>
    </xf>
    <xf numFmtId="0" fontId="261" fillId="0" borderId="4" xfId="17" applyBorder="1" applyAlignment="1">
      <alignment horizontal="center" vertical="center" wrapText="1"/>
    </xf>
    <xf numFmtId="0" fontId="261" fillId="0" borderId="60" xfId="17" applyBorder="1" applyAlignment="1">
      <alignment horizontal="center" vertical="center" wrapText="1"/>
    </xf>
    <xf numFmtId="0" fontId="1" fillId="0" borderId="1" xfId="17" applyFont="1" applyBorder="1" applyAlignment="1">
      <alignment horizontal="center" vertical="center" wrapText="1"/>
    </xf>
    <xf numFmtId="2" fontId="1" fillId="20" borderId="13" xfId="17" applyNumberFormat="1" applyFont="1" applyFill="1" applyBorder="1" applyAlignment="1">
      <alignment horizontal="center" vertical="center" wrapText="1"/>
    </xf>
    <xf numFmtId="0" fontId="0" fillId="0" borderId="2" xfId="0" applyBorder="1" applyAlignment="1">
      <alignment horizontal="center" vertical="center" wrapText="1"/>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99" fillId="21" borderId="1" xfId="10" applyFill="1" applyBorder="1" applyAlignment="1">
      <alignment horizontal="center" vertical="center"/>
    </xf>
    <xf numFmtId="0" fontId="100" fillId="0" borderId="1" xfId="10" applyFont="1" applyBorder="1" applyAlignment="1">
      <alignment horizontal="center" vertical="center"/>
    </xf>
    <xf numFmtId="0" fontId="99" fillId="0" borderId="58" xfId="10" applyBorder="1" applyAlignment="1">
      <alignment horizontal="center" vertical="center"/>
    </xf>
    <xf numFmtId="0" fontId="99" fillId="0" borderId="0" xfId="10" applyAlignment="1">
      <alignment horizontal="center" vertical="center"/>
    </xf>
    <xf numFmtId="0" fontId="56" fillId="0" borderId="61" xfId="0" applyFont="1" applyFill="1" applyBorder="1" applyAlignment="1" applyProtection="1">
      <alignment horizontal="left" vertical="center"/>
    </xf>
    <xf numFmtId="0" fontId="56" fillId="0" borderId="53" xfId="0" applyFont="1" applyFill="1" applyBorder="1" applyAlignment="1" applyProtection="1">
      <alignment horizontal="left" vertical="center"/>
    </xf>
    <xf numFmtId="0" fontId="56" fillId="0"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7" borderId="13" xfId="0" applyFont="1" applyFill="1" applyBorder="1" applyAlignment="1" applyProtection="1">
      <alignment vertical="top" wrapText="1"/>
    </xf>
    <xf numFmtId="0" fontId="50" fillId="7" borderId="15" xfId="0" applyFont="1" applyFill="1" applyBorder="1" applyAlignment="1" applyProtection="1">
      <alignment vertical="top" wrapText="1"/>
    </xf>
    <xf numFmtId="0" fontId="50" fillId="7" borderId="2" xfId="0" applyFont="1" applyFill="1" applyBorder="1" applyAlignment="1" applyProtection="1">
      <alignment vertical="top"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99" fillId="0" borderId="1" xfId="0" applyFont="1" applyBorder="1" applyAlignment="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0"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599983</xdr:colOff>
      <xdr:row>18</xdr:row>
      <xdr:rowOff>55420</xdr:rowOff>
    </xdr:to>
    <xdr:pic>
      <xdr:nvPicPr>
        <xdr:cNvPr id="2" name="图片 1">
          <a:extLst>
            <a:ext uri="{FF2B5EF4-FFF2-40B4-BE49-F238E27FC236}">
              <a16:creationId xmlns:a16="http://schemas.microsoft.com/office/drawing/2014/main" id="{EED1515D-50E6-42C8-91EB-70030A5A1C2F}"/>
            </a:ext>
          </a:extLst>
        </xdr:cNvPr>
        <xdr:cNvPicPr>
          <a:picLocks noChangeAspect="1"/>
        </xdr:cNvPicPr>
      </xdr:nvPicPr>
      <xdr:blipFill>
        <a:blip xmlns:r="http://schemas.openxmlformats.org/officeDocument/2006/relationships" r:embed="rId1"/>
        <a:stretch>
          <a:fillRect/>
        </a:stretch>
      </xdr:blipFill>
      <xdr:spPr>
        <a:xfrm>
          <a:off x="0" y="1"/>
          <a:ext cx="6410233" cy="33129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6</xdr:col>
      <xdr:colOff>608796</xdr:colOff>
      <xdr:row>76</xdr:row>
      <xdr:rowOff>94617</xdr:rowOff>
    </xdr:to>
    <xdr:pic>
      <xdr:nvPicPr>
        <xdr:cNvPr id="2" name="图片 1">
          <a:extLst>
            <a:ext uri="{FF2B5EF4-FFF2-40B4-BE49-F238E27FC236}">
              <a16:creationId xmlns:a16="http://schemas.microsoft.com/office/drawing/2014/main" id="{03444EC9-9C73-B24B-B39A-806CE306F300}"/>
            </a:ext>
          </a:extLst>
        </xdr:cNvPr>
        <xdr:cNvPicPr>
          <a:picLocks noChangeAspect="1"/>
        </xdr:cNvPicPr>
      </xdr:nvPicPr>
      <xdr:blipFill>
        <a:blip xmlns:r="http://schemas.openxmlformats.org/officeDocument/2006/relationships" r:embed="rId1"/>
        <a:stretch>
          <a:fillRect/>
        </a:stretch>
      </xdr:blipFill>
      <xdr:spPr>
        <a:xfrm>
          <a:off x="0" y="8382000"/>
          <a:ext cx="6438096" cy="52508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380009</xdr:colOff>
      <xdr:row>35</xdr:row>
      <xdr:rowOff>27821</xdr:rowOff>
    </xdr:to>
    <xdr:pic>
      <xdr:nvPicPr>
        <xdr:cNvPr id="2" name="图片 1">
          <a:extLst>
            <a:ext uri="{FF2B5EF4-FFF2-40B4-BE49-F238E27FC236}">
              <a16:creationId xmlns:a16="http://schemas.microsoft.com/office/drawing/2014/main" id="{CEE50446-BC91-4675-ADAD-2DD051FAF930}"/>
            </a:ext>
          </a:extLst>
        </xdr:cNvPr>
        <xdr:cNvPicPr>
          <a:picLocks noChangeAspect="1"/>
        </xdr:cNvPicPr>
      </xdr:nvPicPr>
      <xdr:blipFill>
        <a:blip xmlns:r="http://schemas.openxmlformats.org/officeDocument/2006/relationships" r:embed="rId1"/>
        <a:stretch>
          <a:fillRect/>
        </a:stretch>
      </xdr:blipFill>
      <xdr:spPr>
        <a:xfrm>
          <a:off x="0" y="0"/>
          <a:ext cx="7923809" cy="6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190500</xdr:colOff>
      <xdr:row>27</xdr:row>
      <xdr:rowOff>161925</xdr:rowOff>
    </xdr:to>
    <xdr:pic>
      <xdr:nvPicPr>
        <xdr:cNvPr id="2" name="图片 1">
          <a:extLst>
            <a:ext uri="{FF2B5EF4-FFF2-40B4-BE49-F238E27FC236}">
              <a16:creationId xmlns:a16="http://schemas.microsoft.com/office/drawing/2014/main" id="{4EF0B56C-B4EE-D04F-BB62-3FB04F7544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20100" cy="496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28</xdr:row>
      <xdr:rowOff>0</xdr:rowOff>
    </xdr:from>
    <xdr:to>
      <xdr:col>12</xdr:col>
      <xdr:colOff>228600</xdr:colOff>
      <xdr:row>55</xdr:row>
      <xdr:rowOff>133350</xdr:rowOff>
    </xdr:to>
    <xdr:pic>
      <xdr:nvPicPr>
        <xdr:cNvPr id="3" name="图片 2">
          <a:extLst>
            <a:ext uri="{FF2B5EF4-FFF2-40B4-BE49-F238E27FC236}">
              <a16:creationId xmlns:a16="http://schemas.microsoft.com/office/drawing/2014/main" id="{98D0A5F5-B84B-EE40-8BC0-E850EA0E1B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978400"/>
          <a:ext cx="8458200" cy="493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13</xdr:col>
      <xdr:colOff>617934</xdr:colOff>
      <xdr:row>38</xdr:row>
      <xdr:rowOff>104136</xdr:rowOff>
    </xdr:to>
    <xdr:pic>
      <xdr:nvPicPr>
        <xdr:cNvPr id="2" name="图片 1">
          <a:extLst>
            <a:ext uri="{FF2B5EF4-FFF2-40B4-BE49-F238E27FC236}">
              <a16:creationId xmlns:a16="http://schemas.microsoft.com/office/drawing/2014/main" id="{229A44EE-4BF1-9D48-AC01-FF92A2209CB3}"/>
            </a:ext>
          </a:extLst>
        </xdr:cNvPr>
        <xdr:cNvPicPr>
          <a:picLocks noChangeAspect="1"/>
        </xdr:cNvPicPr>
      </xdr:nvPicPr>
      <xdr:blipFill>
        <a:blip xmlns:r="http://schemas.openxmlformats.org/officeDocument/2006/relationships" r:embed="rId1"/>
        <a:stretch>
          <a:fillRect/>
        </a:stretch>
      </xdr:blipFill>
      <xdr:spPr>
        <a:xfrm>
          <a:off x="0" y="1555750"/>
          <a:ext cx="9368234" cy="5304786"/>
        </a:xfrm>
        <a:prstGeom prst="rect">
          <a:avLst/>
        </a:prstGeom>
      </xdr:spPr>
    </xdr:pic>
    <xdr:clientData/>
  </xdr:twoCellAnchor>
  <xdr:twoCellAnchor editAs="oneCell">
    <xdr:from>
      <xdr:col>0</xdr:col>
      <xdr:colOff>0</xdr:colOff>
      <xdr:row>40</xdr:row>
      <xdr:rowOff>0</xdr:rowOff>
    </xdr:from>
    <xdr:to>
      <xdr:col>14</xdr:col>
      <xdr:colOff>160705</xdr:colOff>
      <xdr:row>68</xdr:row>
      <xdr:rowOff>132734</xdr:rowOff>
    </xdr:to>
    <xdr:pic>
      <xdr:nvPicPr>
        <xdr:cNvPr id="3" name="图片 2">
          <a:extLst>
            <a:ext uri="{FF2B5EF4-FFF2-40B4-BE49-F238E27FC236}">
              <a16:creationId xmlns:a16="http://schemas.microsoft.com/office/drawing/2014/main" id="{C804D543-27EE-8748-B4D7-1DCC6306B75B}"/>
            </a:ext>
          </a:extLst>
        </xdr:cNvPr>
        <xdr:cNvPicPr>
          <a:picLocks noChangeAspect="1"/>
        </xdr:cNvPicPr>
      </xdr:nvPicPr>
      <xdr:blipFill>
        <a:blip xmlns:r="http://schemas.openxmlformats.org/officeDocument/2006/relationships" r:embed="rId2"/>
        <a:stretch>
          <a:fillRect/>
        </a:stretch>
      </xdr:blipFill>
      <xdr:spPr>
        <a:xfrm>
          <a:off x="0" y="7112000"/>
          <a:ext cx="9584105" cy="51111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14</xdr:col>
      <xdr:colOff>112995</xdr:colOff>
      <xdr:row>47</xdr:row>
      <xdr:rowOff>123167</xdr:rowOff>
    </xdr:to>
    <xdr:pic>
      <xdr:nvPicPr>
        <xdr:cNvPr id="2" name="图片 1">
          <a:extLst>
            <a:ext uri="{FF2B5EF4-FFF2-40B4-BE49-F238E27FC236}">
              <a16:creationId xmlns:a16="http://schemas.microsoft.com/office/drawing/2014/main" id="{A44CA41C-B8A5-44F2-9AF7-FAFBAA9C453B}"/>
            </a:ext>
          </a:extLst>
        </xdr:cNvPr>
        <xdr:cNvPicPr>
          <a:picLocks noChangeAspect="1"/>
        </xdr:cNvPicPr>
      </xdr:nvPicPr>
      <xdr:blipFill>
        <a:blip xmlns:r="http://schemas.openxmlformats.org/officeDocument/2006/relationships" r:embed="rId1"/>
        <a:stretch>
          <a:fillRect/>
        </a:stretch>
      </xdr:blipFill>
      <xdr:spPr>
        <a:xfrm>
          <a:off x="0" y="3486150"/>
          <a:ext cx="10438095" cy="5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7979;&#31639;-&#20303;&#23429;&#12289;&#36710;&#24211;&#21806;&#20215;-&#25913;&#21462;&#36153;+&#25104;&#26412;7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WeChat%20Files/wxid_n3tadt3dbppt22/FileStorage/File/2020-07/&#27979;&#31639;-&#38271;&#38451;02&#34903;&#21306;&#21335;&#37096;&#22320;&#22359;&#25307;&#25293;&#25346;(&#21830;&#21697;&#25151;&#21806;&#20215;50000&#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39318;&#24320;825&#65288;&#19981;&#21547;&#20154;&#3845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估价结果"/>
      <sheetName val="成本法-住宅"/>
      <sheetName val="成本法-车库"/>
      <sheetName val="收益法-住宅"/>
      <sheetName val="住宅租金案例"/>
      <sheetName val="收益法-车库"/>
      <sheetName val="假设开发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成本法 (元)"/>
      <sheetName val="租金案例"/>
      <sheetName val="地价"/>
      <sheetName val="典型户型修正"/>
      <sheetName val="成本法（废）"/>
      <sheetName val="区片价"/>
      <sheetName val="因素修正幅度"/>
      <sheetName val="存贷款利率"/>
      <sheetName val="区片价（范围）"/>
      <sheetName val="Sheet3"/>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v>0</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苏海</v>
          </cell>
        </row>
        <row r="15">
          <cell r="A15">
            <v>0</v>
          </cell>
        </row>
        <row r="16">
          <cell r="A16">
            <v>0</v>
          </cell>
        </row>
        <row r="17">
          <cell r="A17">
            <v>0</v>
          </cell>
        </row>
        <row r="18">
          <cell r="A18" t="str">
            <v>赵璠</v>
          </cell>
        </row>
        <row r="19">
          <cell r="A19">
            <v>0</v>
          </cell>
        </row>
        <row r="20">
          <cell r="A20">
            <v>0</v>
          </cell>
        </row>
        <row r="21">
          <cell r="A21">
            <v>0</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收益法-住宅</v>
          </cell>
        </row>
        <row r="18">
          <cell r="A18" t="str">
            <v>办公楼</v>
          </cell>
          <cell r="B18" t="str">
            <v>收益法-车库</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住宅</v>
          </cell>
        </row>
        <row r="20">
          <cell r="C20" t="str">
            <v>车库</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1">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2">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3">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4">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5">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6">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sheetData sheetId="42"/>
      <sheetData sheetId="4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1 (储备)"/>
      <sheetName val="预评函-2"/>
      <sheetName val="预评函-3"/>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商住比"/>
      <sheetName val="建安汇总"/>
      <sheetName val="土储要求地价汇总表"/>
      <sheetName val="土储要求测算表"/>
      <sheetName val="住宅租金案例"/>
      <sheetName val="不动产收益法"/>
      <sheetName val="不动产收益法-车库"/>
      <sheetName val="汇总表"/>
      <sheetName val="基准地价居住"/>
      <sheetName val="修正"/>
      <sheetName val="区片价"/>
      <sheetName val="容积率修正"/>
      <sheetName val="因素修正幅度"/>
      <sheetName val="基准地价商业"/>
      <sheetName val="基准地价办公"/>
      <sheetName val="地价"/>
      <sheetName val="基准地价（汇总）"/>
      <sheetName val="剩余法安置房"/>
      <sheetName val="剩余法居住"/>
      <sheetName val="不动产比较法-住宅"/>
      <sheetName val="住宅案例"/>
      <sheetName val="剩余法居住共有产权"/>
      <sheetName val="共有产权案例"/>
      <sheetName val="剩余法商业"/>
      <sheetName val="不动产比较法-商业"/>
      <sheetName val="商业案例"/>
      <sheetName val="剩余法办公"/>
      <sheetName val="不动产比较法-办公"/>
      <sheetName val="办公案例"/>
      <sheetName val="典型户型修正"/>
      <sheetName val="存贷款利率"/>
      <sheetName val="Sheet1"/>
    </sheetNames>
    <sheetDataSet>
      <sheetData sheetId="0"/>
      <sheetData sheetId="1"/>
      <sheetData sheetId="2"/>
      <sheetData sheetId="3"/>
      <sheetData sheetId="4">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5">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O1" t="str">
            <v>交通便捷度</v>
          </cell>
          <cell r="Q1" t="str">
            <v>公共配套设施</v>
          </cell>
          <cell r="R1" t="str">
            <v>基础设施水平</v>
          </cell>
          <cell r="S1" t="str">
            <v>环境质量</v>
          </cell>
          <cell r="T1" t="str">
            <v>临街状况</v>
          </cell>
          <cell r="U1" t="str">
            <v>内部装修维护情况</v>
          </cell>
          <cell r="W1" t="str">
            <v>五等判定</v>
          </cell>
        </row>
        <row r="2">
          <cell r="A2" t="str">
            <v>平层住宅</v>
          </cell>
          <cell r="B2" t="str">
            <v>剩余法办公</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O2" t="str">
            <v>好</v>
          </cell>
          <cell r="Q2" t="str">
            <v>好</v>
          </cell>
          <cell r="R2" t="str">
            <v>七通</v>
          </cell>
          <cell r="S2" t="str">
            <v>好</v>
          </cell>
          <cell r="T2" t="str">
            <v>多面临街</v>
          </cell>
          <cell r="U2" t="str">
            <v>好</v>
          </cell>
          <cell r="W2" t="str">
            <v>好</v>
          </cell>
        </row>
        <row r="3">
          <cell r="A3" t="str">
            <v>LOFT住宅</v>
          </cell>
          <cell r="B3" t="str">
            <v>剩余法居住</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O3" t="str">
            <v>较好</v>
          </cell>
          <cell r="Q3" t="str">
            <v>较好</v>
          </cell>
          <cell r="R3" t="str">
            <v>六通</v>
          </cell>
          <cell r="S3" t="str">
            <v>较好</v>
          </cell>
          <cell r="T3" t="str">
            <v>双面临街</v>
          </cell>
          <cell r="U3" t="str">
            <v>较好</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O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O5" t="str">
            <v>较差</v>
          </cell>
          <cell r="Q5" t="str">
            <v>较差</v>
          </cell>
          <cell r="R5" t="str">
            <v>四通</v>
          </cell>
          <cell r="S5" t="str">
            <v>较差</v>
          </cell>
          <cell r="T5" t="str">
            <v>不临街</v>
          </cell>
          <cell r="U5" t="str">
            <v>较差</v>
          </cell>
          <cell r="W5" t="str">
            <v>较差</v>
          </cell>
        </row>
        <row r="6">
          <cell r="A6" t="str">
            <v>洋房</v>
          </cell>
          <cell r="B6" t="str">
            <v>基准地价居住</v>
          </cell>
          <cell r="C6" t="str">
            <v>五级</v>
          </cell>
          <cell r="F6" t="str">
            <v>车库</v>
          </cell>
          <cell r="H6" t="str">
            <v>仓储</v>
          </cell>
          <cell r="I6" t="str">
            <v>20-30（含）</v>
          </cell>
          <cell r="K6" t="str">
            <v>差</v>
          </cell>
          <cell r="L6" t="str">
            <v>差</v>
          </cell>
          <cell r="M6" t="str">
            <v>差</v>
          </cell>
          <cell r="O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剩余法安置房</v>
          </cell>
        </row>
        <row r="20">
          <cell r="A20" t="str">
            <v>车库</v>
          </cell>
          <cell r="B20" t="str">
            <v>基准地价商业</v>
          </cell>
        </row>
        <row r="21">
          <cell r="A21" t="str">
            <v>戊类库房</v>
          </cell>
          <cell r="B21" t="str">
            <v>基准地价办公</v>
          </cell>
        </row>
        <row r="22">
          <cell r="A22" t="str">
            <v>燃品库房</v>
          </cell>
          <cell r="B22" t="str">
            <v>剩余法商业</v>
          </cell>
        </row>
        <row r="23">
          <cell r="A23" t="str">
            <v>非燃品库房</v>
          </cell>
          <cell r="B23" t="str">
            <v>剩余法居住共有产权</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6"/>
      <sheetData sheetId="7"/>
      <sheetData sheetId="8"/>
      <sheetData sheetId="9">
        <row r="17">
          <cell r="C17" t="str">
            <v>项目类型</v>
          </cell>
        </row>
        <row r="19">
          <cell r="C19" t="str">
            <v>居住</v>
          </cell>
        </row>
        <row r="20">
          <cell r="C20" t="str">
            <v>商业</v>
          </cell>
        </row>
        <row r="21">
          <cell r="C21" t="str">
            <v>办公</v>
          </cell>
        </row>
        <row r="22">
          <cell r="C22" t="str">
            <v>共有产权</v>
          </cell>
        </row>
        <row r="23">
          <cell r="C23" t="str">
            <v>车库</v>
          </cell>
        </row>
      </sheetData>
      <sheetData sheetId="10">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物业公司管理</v>
          </cell>
        </row>
        <row r="116">
          <cell r="B116" t="str">
            <v>市政基础设施</v>
          </cell>
        </row>
        <row r="118">
          <cell r="B118" t="str">
            <v>房型</v>
          </cell>
        </row>
        <row r="122">
          <cell r="B122" t="str">
            <v>内部装修</v>
          </cell>
          <cell r="C122" t="str">
            <v>精装修</v>
          </cell>
          <cell r="D122" t="str">
            <v>普通装修</v>
          </cell>
          <cell r="E122" t="str">
            <v>简单装修</v>
          </cell>
        </row>
      </sheetData>
      <sheetData sheetId="34"/>
      <sheetData sheetId="35"/>
      <sheetData sheetId="36"/>
      <sheetData sheetId="37"/>
      <sheetData sheetId="38">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好</v>
          </cell>
          <cell r="D90" t="str">
            <v>较好</v>
          </cell>
          <cell r="E90" t="str">
            <v>一般</v>
          </cell>
          <cell r="F90" t="str">
            <v>较差</v>
          </cell>
          <cell r="G90" t="str">
            <v>差</v>
          </cell>
        </row>
        <row r="92">
          <cell r="B92" t="str">
            <v>楼层</v>
          </cell>
        </row>
        <row r="100">
          <cell r="B100" t="str">
            <v>商业类型</v>
          </cell>
          <cell r="C100" t="str">
            <v>商业街</v>
          </cell>
          <cell r="D100" t="str">
            <v>住宅配套商业</v>
          </cell>
        </row>
        <row r="105">
          <cell r="B105" t="str">
            <v>建筑结构</v>
          </cell>
          <cell r="C105" t="str">
            <v>钢混</v>
          </cell>
        </row>
        <row r="107">
          <cell r="B107" t="str">
            <v>公共部分装修</v>
          </cell>
        </row>
        <row r="112">
          <cell r="B112" t="str">
            <v>市政基础设施</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9"/>
      <sheetData sheetId="40"/>
      <sheetData sheetId="41">
        <row r="62">
          <cell r="A62" t="str">
            <v>交易情况</v>
          </cell>
          <cell r="C62" t="str">
            <v>正常</v>
          </cell>
        </row>
        <row r="64">
          <cell r="B64" t="str">
            <v>用途</v>
          </cell>
          <cell r="C64" t="str">
            <v>办公</v>
          </cell>
        </row>
        <row r="87">
          <cell r="B87" t="str">
            <v>毗邻道路的类型与等级</v>
          </cell>
          <cell r="C87" t="str">
            <v>高速路</v>
          </cell>
          <cell r="D87" t="str">
            <v>城市主干道</v>
          </cell>
          <cell r="E87" t="str">
            <v>城市次干道</v>
          </cell>
          <cell r="F87" t="str">
            <v>城市支路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标准写字楼</v>
          </cell>
          <cell r="D113" t="str">
            <v>非标准写字楼</v>
          </cell>
        </row>
        <row r="115">
          <cell r="B115" t="str">
            <v>物业管理</v>
          </cell>
          <cell r="C115" t="str">
            <v>物业公司管理</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42"/>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Sheet1"/>
      <sheetName val="ppt数据"/>
      <sheetName val="估价对象房地状况"/>
      <sheetName val="系统读取表"/>
      <sheetName val="结果表"/>
      <sheetName val="估价结果"/>
      <sheetName val="收益法-住宅"/>
      <sheetName val="收益法-车库"/>
      <sheetName val="成本法-住宅"/>
      <sheetName val="成本法 (元)"/>
      <sheetName val="假设开发法"/>
      <sheetName val="成本法-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住宅租金案例"/>
      <sheetName val="车库租金案例"/>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0">
          <cell r="C20">
            <v>6682.2990460731016</v>
          </cell>
          <cell r="D20">
            <v>8466</v>
          </cell>
          <cell r="G20">
            <v>7574</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23" sqref="B23:C23"/>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北京市房地产市场价值预评估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受贵公司委托，我公司对北京市房地产市场价值进行了预评估。</v>
      </c>
    </row>
    <row r="7" spans="1:2" s="1593" customFormat="1">
      <c r="A7" s="1591" t="s">
        <v>1259</v>
      </c>
      <c r="B7" s="1592" t="str">
        <f>'预评函-1'!A7</f>
        <v>估价对象为北京市房地产，为所有。根据《国有土地使用证》[]，估价对象（分摊）出让国有建设用地使用权面积为0平方米，建筑面积为11757.19平方米。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估价对象为北京市房地产,属开发建设的居住项目，该项目尚在开发建设中。根据《国有土地使用证》[]，估价对象（分摊）出让国有建设用地使用权面积为0平方米，规划建筑面积为11757.19平方米。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2021年8月17日</v>
      </c>
    </row>
    <row r="13" spans="1:2" s="1593" customFormat="1">
      <c r="A13" s="1591" t="s">
        <v>1222</v>
      </c>
      <c r="B13" s="1592" t="str">
        <f>'预评函-1'!A18</f>
        <v>本次估价的“房地产价值”是指在正常市场情况下，在价值时点2021年8月17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9741</v>
      </c>
    </row>
    <row r="21" spans="1:2" s="1593" customFormat="1">
      <c r="A21" s="1591" t="s">
        <v>1230</v>
      </c>
      <c r="B21" s="1592">
        <f ca="1">'预评函-2'!D7</f>
        <v>9787</v>
      </c>
    </row>
    <row r="22" spans="1:2" s="1593" customFormat="1">
      <c r="A22" s="1591" t="s">
        <v>1231</v>
      </c>
      <c r="B22" s="1592" t="str">
        <f ca="1">'预评函-2'!D6</f>
        <v>玖仟柒佰肆拾壹万元整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9741</v>
      </c>
    </row>
    <row r="31" spans="1:2" s="1593" customFormat="1">
      <c r="A31" s="1591" t="s">
        <v>1269</v>
      </c>
      <c r="B31" s="1592">
        <f ca="1">'预评函-2'!D15</f>
        <v>8285</v>
      </c>
    </row>
    <row r="32" spans="1:2" s="1593" customFormat="1">
      <c r="A32" s="1591" t="s">
        <v>1236</v>
      </c>
      <c r="B32" s="1592" t="str">
        <f ca="1">'预评函-2'!D14</f>
        <v>玖仟柒佰肆拾壹万元整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11757.189999999999</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2015" customWidth="1"/>
    <col min="2" max="2" width="23.125" style="1966" customWidth="1"/>
    <col min="3" max="3" width="13" style="2010" customWidth="1"/>
    <col min="4" max="4" width="5.8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3129</v>
      </c>
      <c r="C2" s="2006" t="s">
        <v>760</v>
      </c>
      <c r="D2" s="2007" t="s">
        <v>1701</v>
      </c>
      <c r="E2" s="2007" t="s">
        <v>1702</v>
      </c>
      <c r="F2" s="2007" t="s">
        <v>1703</v>
      </c>
      <c r="G2" s="2007">
        <v>40</v>
      </c>
      <c r="H2" s="2007" t="s">
        <v>1703</v>
      </c>
      <c r="I2" s="2007" t="s">
        <v>1704</v>
      </c>
      <c r="J2" s="2007" t="s">
        <v>1705</v>
      </c>
      <c r="K2" s="2007" t="s">
        <v>1706</v>
      </c>
      <c r="L2" s="2007" t="s">
        <v>1706</v>
      </c>
      <c r="M2" s="2007" t="s">
        <v>1706</v>
      </c>
      <c r="N2" s="2007" t="s">
        <v>1706</v>
      </c>
      <c r="O2" s="2007" t="s">
        <v>1706</v>
      </c>
      <c r="P2" s="2007" t="s">
        <v>1706</v>
      </c>
      <c r="Q2" s="2007" t="s">
        <v>1706</v>
      </c>
      <c r="R2" s="2007" t="s">
        <v>1136</v>
      </c>
      <c r="S2" s="2007" t="s">
        <v>1706</v>
      </c>
      <c r="T2" s="2007" t="s">
        <v>1707</v>
      </c>
      <c r="U2" s="2007" t="s">
        <v>1706</v>
      </c>
      <c r="V2" s="2007" t="s">
        <v>1708</v>
      </c>
      <c r="W2" s="2007" t="s">
        <v>1706</v>
      </c>
    </row>
    <row r="3" spans="1:23">
      <c r="A3" s="2005" t="s">
        <v>1709</v>
      </c>
      <c r="B3" s="2008" t="s">
        <v>1141</v>
      </c>
      <c r="C3" s="2009" t="s">
        <v>761</v>
      </c>
      <c r="D3" s="2007" t="s">
        <v>1710</v>
      </c>
      <c r="E3" s="2007" t="s">
        <v>16</v>
      </c>
      <c r="F3" s="2007" t="s">
        <v>1711</v>
      </c>
      <c r="G3" s="2007">
        <v>50</v>
      </c>
      <c r="H3" s="2007" t="s">
        <v>1711</v>
      </c>
      <c r="I3" s="2007" t="s">
        <v>1712</v>
      </c>
      <c r="J3" s="2007" t="s">
        <v>1713</v>
      </c>
      <c r="K3" s="2007" t="s">
        <v>1714</v>
      </c>
      <c r="L3" s="2007" t="s">
        <v>1714</v>
      </c>
      <c r="M3" s="2007" t="s">
        <v>1714</v>
      </c>
      <c r="N3" s="2007" t="s">
        <v>1714</v>
      </c>
      <c r="O3" s="2007" t="s">
        <v>1714</v>
      </c>
      <c r="P3" s="2007" t="s">
        <v>1714</v>
      </c>
      <c r="Q3" s="2007" t="s">
        <v>1714</v>
      </c>
      <c r="R3" s="2007" t="s">
        <v>1135</v>
      </c>
      <c r="S3" s="2007" t="s">
        <v>1714</v>
      </c>
      <c r="T3" s="2007" t="s">
        <v>1715</v>
      </c>
      <c r="U3" s="2007" t="s">
        <v>1714</v>
      </c>
      <c r="V3" s="2007" t="s">
        <v>1716</v>
      </c>
      <c r="W3" s="2007" t="s">
        <v>1714</v>
      </c>
    </row>
    <row r="4" spans="1:23">
      <c r="A4" s="2005" t="s">
        <v>1717</v>
      </c>
      <c r="B4" s="2005" t="s">
        <v>1718</v>
      </c>
      <c r="C4" s="2006" t="s">
        <v>762</v>
      </c>
      <c r="D4" s="2007" t="s">
        <v>864</v>
      </c>
      <c r="E4" s="2007" t="s">
        <v>1719</v>
      </c>
      <c r="F4" s="2007" t="s">
        <v>1720</v>
      </c>
      <c r="G4" s="2007">
        <v>70</v>
      </c>
      <c r="H4" s="2007" t="s">
        <v>1720</v>
      </c>
      <c r="I4" s="2007" t="s">
        <v>1721</v>
      </c>
      <c r="K4" s="2007" t="s">
        <v>1722</v>
      </c>
      <c r="L4" s="2007" t="s">
        <v>1722</v>
      </c>
      <c r="M4" s="2007" t="s">
        <v>1722</v>
      </c>
      <c r="N4" s="2007" t="s">
        <v>1722</v>
      </c>
      <c r="O4" s="2007" t="s">
        <v>1722</v>
      </c>
      <c r="P4" s="2007" t="s">
        <v>1722</v>
      </c>
      <c r="Q4" s="2007" t="s">
        <v>1722</v>
      </c>
      <c r="R4" s="2007" t="s">
        <v>1137</v>
      </c>
      <c r="S4" s="2007" t="s">
        <v>1722</v>
      </c>
      <c r="T4" s="2007" t="s">
        <v>1723</v>
      </c>
      <c r="U4" s="2007" t="s">
        <v>1722</v>
      </c>
      <c r="W4" s="2007" t="s">
        <v>1722</v>
      </c>
    </row>
    <row r="5" spans="1:23">
      <c r="A5" s="2005" t="s">
        <v>1724</v>
      </c>
      <c r="B5" s="2005" t="s">
        <v>3128</v>
      </c>
      <c r="C5" s="2006" t="s">
        <v>763</v>
      </c>
      <c r="F5" s="2007" t="s">
        <v>1725</v>
      </c>
      <c r="H5" s="2007" t="s">
        <v>1726</v>
      </c>
      <c r="I5" s="2007" t="s">
        <v>1727</v>
      </c>
      <c r="K5" s="2007" t="s">
        <v>1728</v>
      </c>
      <c r="L5" s="2007" t="s">
        <v>1728</v>
      </c>
      <c r="M5" s="2007" t="s">
        <v>1728</v>
      </c>
      <c r="N5" s="2007" t="s">
        <v>1728</v>
      </c>
      <c r="O5" s="2007" t="s">
        <v>1728</v>
      </c>
      <c r="P5" s="2007" t="s">
        <v>1728</v>
      </c>
      <c r="Q5" s="2007" t="s">
        <v>1728</v>
      </c>
      <c r="R5" s="2007" t="s">
        <v>1138</v>
      </c>
      <c r="S5" s="2007" t="s">
        <v>1728</v>
      </c>
      <c r="T5" s="2007" t="s">
        <v>1729</v>
      </c>
      <c r="U5" s="2007" t="s">
        <v>1728</v>
      </c>
      <c r="W5" s="2007" t="s">
        <v>1728</v>
      </c>
    </row>
    <row r="6" spans="1:23">
      <c r="A6" s="2005" t="s">
        <v>1730</v>
      </c>
      <c r="B6" s="2008" t="s">
        <v>1142</v>
      </c>
      <c r="C6" s="2011" t="s">
        <v>30</v>
      </c>
      <c r="F6" s="2007" t="s">
        <v>1726</v>
      </c>
      <c r="H6" s="2007" t="s">
        <v>1731</v>
      </c>
      <c r="I6" s="2007" t="s">
        <v>1732</v>
      </c>
      <c r="K6" s="2007" t="s">
        <v>1733</v>
      </c>
      <c r="L6" s="2007" t="s">
        <v>1733</v>
      </c>
      <c r="M6" s="2007" t="s">
        <v>1733</v>
      </c>
      <c r="N6" s="2007" t="s">
        <v>1733</v>
      </c>
      <c r="O6" s="2007" t="s">
        <v>1733</v>
      </c>
      <c r="P6" s="2007" t="s">
        <v>1733</v>
      </c>
      <c r="Q6" s="2007" t="s">
        <v>1733</v>
      </c>
      <c r="R6" s="2007" t="s">
        <v>1139</v>
      </c>
      <c r="S6" s="2007" t="s">
        <v>1733</v>
      </c>
      <c r="T6" s="2007"/>
      <c r="U6" s="2007" t="s">
        <v>1733</v>
      </c>
      <c r="W6" s="2007" t="s">
        <v>1733</v>
      </c>
    </row>
    <row r="7" spans="1:23">
      <c r="A7" s="2005" t="s">
        <v>1734</v>
      </c>
      <c r="B7" s="2008" t="s">
        <v>1143</v>
      </c>
      <c r="C7" s="2006" t="s">
        <v>31</v>
      </c>
      <c r="F7" s="2007" t="s">
        <v>1735</v>
      </c>
      <c r="H7" s="2007" t="s">
        <v>1736</v>
      </c>
      <c r="I7" s="2007" t="s">
        <v>1737</v>
      </c>
    </row>
    <row r="8" spans="1:23">
      <c r="A8" s="2005" t="s">
        <v>1738</v>
      </c>
      <c r="B8" s="2005" t="s">
        <v>1739</v>
      </c>
      <c r="C8" s="2006" t="s">
        <v>764</v>
      </c>
      <c r="F8" s="2007" t="s">
        <v>1740</v>
      </c>
      <c r="H8" s="2007"/>
      <c r="I8" s="2007" t="s">
        <v>1741</v>
      </c>
    </row>
    <row r="9" spans="1:23">
      <c r="A9" s="2005" t="s">
        <v>1742</v>
      </c>
      <c r="B9" s="2005" t="s">
        <v>1743</v>
      </c>
      <c r="C9" s="2006" t="s">
        <v>765</v>
      </c>
      <c r="F9" s="2007" t="s">
        <v>1744</v>
      </c>
      <c r="H9" s="2007"/>
    </row>
    <row r="10" spans="1:23">
      <c r="A10" s="2005" t="s">
        <v>1745</v>
      </c>
      <c r="B10" s="2005" t="s">
        <v>1746</v>
      </c>
      <c r="C10" s="2006" t="s">
        <v>766</v>
      </c>
      <c r="F10" s="2007" t="s">
        <v>16</v>
      </c>
    </row>
    <row r="11" spans="1:23">
      <c r="A11" s="2005" t="s">
        <v>1747</v>
      </c>
      <c r="B11" s="2005" t="s">
        <v>1748</v>
      </c>
      <c r="C11" s="2006" t="s">
        <v>767</v>
      </c>
    </row>
    <row r="12" spans="1:23">
      <c r="A12" s="2005" t="s">
        <v>1749</v>
      </c>
      <c r="B12" s="2005" t="s">
        <v>1750</v>
      </c>
      <c r="C12" s="2006" t="s">
        <v>768</v>
      </c>
    </row>
    <row r="13" spans="1:23">
      <c r="A13" s="2005" t="s">
        <v>1751</v>
      </c>
      <c r="B13" s="2005" t="s">
        <v>1752</v>
      </c>
      <c r="C13" s="2006" t="s">
        <v>769</v>
      </c>
    </row>
    <row r="14" spans="1:23">
      <c r="A14" s="2005" t="s">
        <v>1753</v>
      </c>
      <c r="B14" s="2005" t="s">
        <v>1754</v>
      </c>
      <c r="C14" s="2007" t="s">
        <v>16</v>
      </c>
    </row>
    <row r="15" spans="1:23">
      <c r="A15" s="2005" t="s">
        <v>1755</v>
      </c>
      <c r="B15" s="2005" t="s">
        <v>1756</v>
      </c>
      <c r="C15" s="2006"/>
    </row>
    <row r="16" spans="1:23">
      <c r="A16" s="2005" t="s">
        <v>1757</v>
      </c>
      <c r="B16" s="2005" t="s">
        <v>756</v>
      </c>
      <c r="C16" s="2006"/>
    </row>
    <row r="17" spans="1:3">
      <c r="A17" s="2005" t="s">
        <v>1758</v>
      </c>
      <c r="B17" s="2005" t="s">
        <v>3130</v>
      </c>
      <c r="C17" s="2006"/>
    </row>
    <row r="18" spans="1:3">
      <c r="A18" s="2005" t="s">
        <v>1759</v>
      </c>
      <c r="B18" s="2005" t="s">
        <v>3131</v>
      </c>
      <c r="C18" s="2006"/>
    </row>
    <row r="19" spans="1:3">
      <c r="A19" s="2005" t="s">
        <v>1760</v>
      </c>
      <c r="B19" s="2005" t="s">
        <v>3203</v>
      </c>
      <c r="C19" s="2006"/>
    </row>
    <row r="20" spans="1:3">
      <c r="A20" s="2005" t="s">
        <v>1761</v>
      </c>
      <c r="B20" s="2005" t="s">
        <v>3205</v>
      </c>
      <c r="C20" s="2006"/>
    </row>
    <row r="21" spans="1:3">
      <c r="A21" s="2005" t="s">
        <v>1762</v>
      </c>
      <c r="B21" s="2005" t="s">
        <v>757</v>
      </c>
      <c r="C21" s="2006"/>
    </row>
    <row r="22" spans="1:3">
      <c r="A22" s="2005" t="s">
        <v>1763</v>
      </c>
      <c r="B22" s="2005" t="s">
        <v>757</v>
      </c>
      <c r="C22" s="2006"/>
    </row>
    <row r="23" spans="1:3">
      <c r="A23" s="2005" t="s">
        <v>1764</v>
      </c>
      <c r="B23" s="2005" t="s">
        <v>757</v>
      </c>
      <c r="C23" s="2006"/>
    </row>
    <row r="24" spans="1:3">
      <c r="A24" s="2005" t="s">
        <v>1765</v>
      </c>
      <c r="B24" s="2005" t="s">
        <v>757</v>
      </c>
      <c r="C24" s="2006"/>
    </row>
    <row r="25" spans="1:3">
      <c r="A25" s="2005" t="s">
        <v>1766</v>
      </c>
      <c r="B25" s="2005" t="s">
        <v>757</v>
      </c>
      <c r="C25" s="2006"/>
    </row>
    <row r="26" spans="1:3">
      <c r="A26" s="2005" t="s">
        <v>1767</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258"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8"/>
      <c r="B54" s="2013" t="s">
        <v>860</v>
      </c>
      <c r="C54" s="2010" t="s">
        <v>1276</v>
      </c>
    </row>
    <row r="55" spans="1:4">
      <c r="A55" s="3258"/>
      <c r="B55" s="2013" t="s">
        <v>861</v>
      </c>
      <c r="C55" s="2010" t="s">
        <v>1277</v>
      </c>
    </row>
    <row r="56" spans="1:4">
      <c r="A56" s="3258"/>
      <c r="B56" s="2013" t="s">
        <v>862</v>
      </c>
      <c r="C56" s="2010" t="s">
        <v>1281</v>
      </c>
    </row>
    <row r="57" spans="1:4">
      <c r="A57" s="3258"/>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H37" sqref="H37"/>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875" style="2023" customWidth="1"/>
    <col min="8" max="8" width="10" style="2023" customWidth="1"/>
    <col min="9" max="9" width="11.125" style="2151" customWidth="1"/>
    <col min="10" max="10" width="10" style="2023" customWidth="1"/>
    <col min="11" max="11" width="10" style="2152" customWidth="1"/>
    <col min="12" max="13" width="10" style="2153" customWidth="1"/>
    <col min="14" max="14" width="10" style="2023" customWidth="1"/>
    <col min="15" max="15" width="10" style="2151" customWidth="1"/>
    <col min="16" max="17" width="10" style="2023"/>
    <col min="18" max="18" width="10" style="2023" customWidth="1"/>
    <col min="19" max="16384" width="10" style="2023"/>
  </cols>
  <sheetData>
    <row r="1" spans="1:19" ht="38.25" customHeight="1" thickBot="1">
      <c r="A1" s="2016" t="s">
        <v>1768</v>
      </c>
      <c r="B1" s="3267" t="str">
        <f>IF(B10="北京市","北京市",C10)&amp;F10&amp;IF(结果表!G1="在建","出让国有建设用地使用权及在建建筑物",IF(结果表!G1="土地","出让国有建设用地使用权",))&amp;B9&amp;"预评估"</f>
        <v>北京市房地产市场价值预评估</v>
      </c>
      <c r="C1" s="3268"/>
      <c r="D1" s="3268"/>
      <c r="E1" s="3268"/>
      <c r="F1" s="3268"/>
      <c r="G1" s="3268"/>
      <c r="H1" s="3268"/>
      <c r="I1" s="3269"/>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17" t="s">
        <v>1769</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北京市房地产</v>
      </c>
    </row>
    <row r="3" spans="1:19" ht="18" customHeight="1">
      <c r="A3" s="2026" t="s">
        <v>1770</v>
      </c>
      <c r="B3" s="2027"/>
      <c r="C3" s="2028" t="s">
        <v>1771</v>
      </c>
      <c r="D3" s="2027">
        <v>44425</v>
      </c>
      <c r="E3" s="2017"/>
      <c r="F3" s="2017"/>
      <c r="G3" s="2017"/>
      <c r="H3" s="2017"/>
      <c r="I3" s="2017"/>
      <c r="J3" s="2017"/>
      <c r="K3" s="2018"/>
      <c r="L3" s="2019"/>
      <c r="M3" s="2019"/>
      <c r="N3" s="2020"/>
      <c r="O3" s="2021"/>
      <c r="P3" s="2020"/>
      <c r="Q3" s="2020"/>
      <c r="R3" s="2020"/>
      <c r="S3" s="2022"/>
    </row>
    <row r="4" spans="1:19" ht="18" customHeight="1" thickBot="1">
      <c r="A4" s="2029" t="s">
        <v>1772</v>
      </c>
      <c r="B4" s="2030"/>
      <c r="C4" s="1037">
        <f>SUMIF(注册房地产估价师,B4,估价师及机构信息!B3:B24)</f>
        <v>0</v>
      </c>
      <c r="D4" s="2030"/>
      <c r="E4" s="1038">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1773</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1774</v>
      </c>
      <c r="B6" s="2040"/>
      <c r="C6" s="2041"/>
      <c r="D6" s="2042"/>
      <c r="E6" s="2025"/>
      <c r="F6" s="2033"/>
      <c r="G6" s="2033"/>
      <c r="H6" s="2033"/>
      <c r="I6" s="2033"/>
      <c r="J6" s="2033"/>
      <c r="K6" s="2043" t="str">
        <f>IF(COUNTIF(B6,"*上海银行*"),"上海银行","")</f>
        <v/>
      </c>
      <c r="L6" s="2019"/>
      <c r="M6" s="2019"/>
      <c r="N6" s="2020"/>
      <c r="O6" s="2021"/>
      <c r="P6" s="2020"/>
      <c r="Q6" s="2020"/>
      <c r="R6" s="2020"/>
    </row>
    <row r="7" spans="1:19" ht="18" customHeight="1">
      <c r="A7" s="2039" t="s">
        <v>1775</v>
      </c>
      <c r="B7" s="2044"/>
      <c r="C7" s="2041"/>
      <c r="D7" s="2042"/>
      <c r="E7" s="2025"/>
      <c r="F7" s="2033"/>
      <c r="G7" s="2033"/>
      <c r="H7" s="2033"/>
      <c r="I7" s="2033"/>
      <c r="J7" s="2033"/>
      <c r="K7" s="2045"/>
      <c r="L7" s="2019"/>
      <c r="M7" s="2019"/>
      <c r="N7" s="2020"/>
      <c r="O7" s="2021"/>
      <c r="P7" s="2020"/>
      <c r="Q7" s="2020"/>
      <c r="R7" s="2020"/>
    </row>
    <row r="8" spans="1:19" ht="18" customHeight="1">
      <c r="A8" s="2039" t="s">
        <v>1776</v>
      </c>
      <c r="B8" s="2046" t="s">
        <v>3057</v>
      </c>
      <c r="C8" s="2047"/>
      <c r="D8" s="3270" t="s">
        <v>1777</v>
      </c>
      <c r="E8" s="2048"/>
      <c r="F8" s="2049"/>
      <c r="G8" s="2017"/>
      <c r="H8" s="2017"/>
      <c r="I8" s="2017"/>
      <c r="J8" s="2033"/>
      <c r="K8" s="2034"/>
      <c r="L8" s="2019"/>
      <c r="M8" s="2019"/>
      <c r="N8" s="2020"/>
      <c r="O8" s="2021"/>
      <c r="P8" s="2020"/>
      <c r="Q8" s="2020"/>
      <c r="R8" s="2020"/>
    </row>
    <row r="9" spans="1:19" ht="18" customHeight="1" thickBot="1">
      <c r="A9" s="2031" t="s">
        <v>1778</v>
      </c>
      <c r="B9" s="2050" t="s">
        <v>3058</v>
      </c>
      <c r="C9" s="2051"/>
      <c r="D9" s="3271"/>
      <c r="E9" s="2050"/>
      <c r="F9" s="2052"/>
      <c r="G9" s="2053"/>
      <c r="H9" s="2053"/>
      <c r="I9" s="2053"/>
      <c r="J9" s="2033"/>
      <c r="K9" s="2045"/>
      <c r="L9" s="2019"/>
      <c r="M9" s="2019"/>
      <c r="N9" s="2020"/>
      <c r="O9" s="2021"/>
      <c r="P9" s="2020"/>
      <c r="Q9" s="2020"/>
      <c r="R9" s="2020"/>
    </row>
    <row r="10" spans="1:19" ht="18" customHeight="1" thickTop="1">
      <c r="A10" s="2054" t="s">
        <v>1779</v>
      </c>
      <c r="B10" s="2055" t="s">
        <v>3059</v>
      </c>
      <c r="C10" s="2056"/>
      <c r="D10" s="2038"/>
      <c r="E10" s="2057" t="s">
        <v>1780</v>
      </c>
      <c r="F10" s="2058"/>
      <c r="G10" s="2059"/>
      <c r="H10" s="2060"/>
      <c r="I10" s="2038"/>
      <c r="J10" s="2033"/>
      <c r="K10" s="2045"/>
      <c r="L10" s="2019"/>
      <c r="M10" s="2019"/>
      <c r="N10" s="2020"/>
      <c r="O10" s="2021"/>
      <c r="P10" s="2020"/>
      <c r="Q10" s="2020"/>
      <c r="R10" s="2020"/>
    </row>
    <row r="11" spans="1:19" ht="18" customHeight="1">
      <c r="A11" s="2061" t="s">
        <v>1781</v>
      </c>
      <c r="B11" s="2062"/>
      <c r="C11" s="2063"/>
      <c r="D11" s="2064"/>
      <c r="E11" s="2033"/>
      <c r="F11" s="2033"/>
      <c r="G11" s="2033"/>
      <c r="H11" s="2033"/>
      <c r="I11" s="2033"/>
      <c r="J11" s="2033"/>
      <c r="K11" s="2045"/>
      <c r="L11" s="2019"/>
      <c r="M11" s="2019"/>
      <c r="N11" s="2020"/>
      <c r="O11" s="2021"/>
      <c r="P11" s="2020"/>
      <c r="Q11" s="2020"/>
      <c r="R11" s="2020"/>
    </row>
    <row r="12" spans="1:19" ht="18" customHeight="1">
      <c r="A12" s="2065" t="s">
        <v>1782</v>
      </c>
      <c r="B12" s="2062" t="s">
        <v>3060</v>
      </c>
      <c r="C12" s="2066" t="s">
        <v>1783</v>
      </c>
      <c r="D12" s="2067" t="s">
        <v>1784</v>
      </c>
      <c r="E12" s="2067" t="s">
        <v>1785</v>
      </c>
      <c r="F12" s="2067" t="s">
        <v>1786</v>
      </c>
      <c r="G12" s="2067" t="s">
        <v>1787</v>
      </c>
      <c r="H12" s="2067" t="s">
        <v>1788</v>
      </c>
      <c r="I12" s="2067" t="s">
        <v>1789</v>
      </c>
      <c r="J12" s="2033"/>
      <c r="K12" s="2045"/>
      <c r="L12" s="2019"/>
      <c r="M12" s="2019"/>
      <c r="N12" s="2020"/>
      <c r="O12" s="2021"/>
      <c r="P12" s="2020"/>
      <c r="Q12" s="2020"/>
      <c r="R12" s="2020"/>
    </row>
    <row r="13" spans="1:19" ht="18" customHeight="1">
      <c r="A13" s="2068"/>
      <c r="B13" s="2069"/>
      <c r="C13" s="2070" t="s">
        <v>1790</v>
      </c>
      <c r="D13" s="2071">
        <v>70358</v>
      </c>
      <c r="E13" s="2071"/>
      <c r="F13" s="2071"/>
      <c r="G13" s="2071">
        <v>63053</v>
      </c>
      <c r="H13" s="2071">
        <f>G13</f>
        <v>63053</v>
      </c>
      <c r="I13" s="1047"/>
      <c r="J13" s="2033"/>
      <c r="K13" s="2045"/>
      <c r="L13" s="2019"/>
      <c r="M13" s="2019"/>
      <c r="N13" s="2020"/>
      <c r="O13" s="2021"/>
      <c r="P13" s="2020"/>
      <c r="Q13" s="2020"/>
      <c r="R13" s="2020"/>
    </row>
    <row r="14" spans="1:19" ht="18" customHeight="1">
      <c r="A14" s="2068"/>
      <c r="B14" s="2069"/>
      <c r="C14" s="2070" t="s">
        <v>1791</v>
      </c>
      <c r="D14" s="1050">
        <v>70</v>
      </c>
      <c r="E14" s="1050"/>
      <c r="F14" s="1050"/>
      <c r="G14" s="1050">
        <v>50</v>
      </c>
      <c r="H14" s="1050">
        <v>50</v>
      </c>
      <c r="I14" s="1050"/>
      <c r="J14" s="2033"/>
      <c r="K14" s="2072"/>
      <c r="L14" s="2019"/>
      <c r="M14" s="2019"/>
      <c r="N14" s="2020"/>
      <c r="O14" s="2021"/>
      <c r="P14" s="2020"/>
      <c r="Q14" s="2020"/>
      <c r="R14" s="2020"/>
    </row>
    <row r="15" spans="1:19" ht="18" customHeight="1">
      <c r="A15" s="2054"/>
      <c r="B15" s="2073"/>
      <c r="C15" s="2070" t="s">
        <v>1792</v>
      </c>
      <c r="D15" s="1049">
        <f>IF(B12="出让",IF(D13="","",ROUNDDOWN(MIN((D13-$D$3)/365,D14),2)),D14)</f>
        <v>70</v>
      </c>
      <c r="E15" s="1049" t="str">
        <f>IF(B12="出让",IF(E13="","",ROUNDDOWN(MIN((E13-$D$3)/365,E14),2)),E14)</f>
        <v/>
      </c>
      <c r="F15" s="1049" t="str">
        <f>IF(B12="出让",IF(F13="","",ROUNDDOWN(MIN((F13-$D$3)/365,F14),2)),F14)</f>
        <v/>
      </c>
      <c r="G15" s="1049">
        <f>IF(B12="出让",IF(G13="","",ROUNDDOWN(MIN((G13-$D$3)/365,G14),2)),G14)</f>
        <v>50</v>
      </c>
      <c r="H15" s="1049">
        <f>IF(B12="出让",IF(H13="","",ROUNDDOWN(MIN((H13-$D$3)/365,H14),2)),H14)</f>
        <v>50</v>
      </c>
      <c r="I15" s="1049" t="str">
        <f>IF(B12="出让",IF(I13="","",ROUNDDOWN(MIN((I13-$D$3)/365,I14),2)),I14)</f>
        <v/>
      </c>
      <c r="J15" s="2033"/>
      <c r="K15" s="2074"/>
      <c r="L15" s="2075"/>
      <c r="M15" s="2075"/>
      <c r="N15" s="2076"/>
      <c r="O15" s="2075"/>
      <c r="P15" s="2076"/>
      <c r="Q15" s="2020"/>
      <c r="R15" s="2020"/>
    </row>
    <row r="16" spans="1:19" ht="30.75" customHeight="1">
      <c r="A16" s="2057" t="s">
        <v>1793</v>
      </c>
      <c r="B16" s="3277"/>
      <c r="C16" s="3278"/>
      <c r="D16" s="3279"/>
      <c r="E16" s="2077" t="s">
        <v>1794</v>
      </c>
      <c r="F16" s="3280"/>
      <c r="G16" s="3281"/>
      <c r="H16" s="3281"/>
      <c r="I16" s="3282"/>
      <c r="J16" s="2020"/>
      <c r="K16" s="2074"/>
      <c r="L16" s="2075"/>
      <c r="M16" s="2075"/>
      <c r="N16" s="2076"/>
      <c r="O16" s="2075"/>
      <c r="P16" s="2076"/>
      <c r="Q16" s="2020"/>
      <c r="R16" s="2020"/>
    </row>
    <row r="17" spans="1:22" ht="18" customHeight="1">
      <c r="A17" s="2078" t="s">
        <v>1795</v>
      </c>
      <c r="B17" s="2026" t="s">
        <v>1796</v>
      </c>
      <c r="C17" s="1054">
        <f>'数据-汇总表'!E3</f>
        <v>11757.189999999999</v>
      </c>
      <c r="D17" s="2079" t="s">
        <v>1797</v>
      </c>
      <c r="E17" s="3283" t="s">
        <v>1798</v>
      </c>
      <c r="F17" s="3284"/>
      <c r="G17" s="3284"/>
      <c r="H17" s="3284"/>
      <c r="I17" s="3285"/>
      <c r="J17" s="2020"/>
      <c r="K17" s="2080"/>
      <c r="L17" s="2075"/>
      <c r="M17" s="2075"/>
      <c r="N17" s="2076"/>
      <c r="O17" s="2075"/>
      <c r="P17" s="2076"/>
      <c r="Q17" s="2020"/>
      <c r="R17" s="2020"/>
      <c r="S17" s="2020"/>
      <c r="T17" s="2020"/>
      <c r="U17" s="2020"/>
      <c r="V17" s="2020"/>
    </row>
    <row r="18" spans="1:22" ht="36" customHeight="1" thickBot="1">
      <c r="A18" s="2081" t="s">
        <v>1799</v>
      </c>
      <c r="B18" s="2029" t="s">
        <v>1800</v>
      </c>
      <c r="C18" s="1444">
        <f>'数据-汇总表'!D3</f>
        <v>0</v>
      </c>
      <c r="D18" s="2082" t="s">
        <v>1797</v>
      </c>
      <c r="E18" s="3286" t="s">
        <v>1801</v>
      </c>
      <c r="F18" s="3287"/>
      <c r="G18" s="3287"/>
      <c r="H18" s="3287"/>
      <c r="I18" s="3288"/>
      <c r="J18" s="2020"/>
      <c r="K18" s="2080"/>
      <c r="L18" s="2075"/>
      <c r="M18" s="2075"/>
      <c r="N18" s="2076"/>
      <c r="O18" s="2075"/>
      <c r="P18" s="2076"/>
      <c r="Q18" s="2020"/>
      <c r="R18" s="2020"/>
      <c r="S18" s="2020"/>
      <c r="T18" s="2020"/>
      <c r="U18" s="2020"/>
      <c r="V18" s="2020"/>
    </row>
    <row r="19" spans="1:22" ht="37.5" customHeight="1" thickTop="1" thickBot="1">
      <c r="A19" s="373" t="s">
        <v>1802</v>
      </c>
      <c r="B19" s="352" t="s">
        <v>1803</v>
      </c>
      <c r="C19" s="2083"/>
      <c r="D19" s="2084" t="s">
        <v>1804</v>
      </c>
      <c r="E19" s="2085"/>
      <c r="F19" s="2086" t="str">
        <f>IF(AND(C19="是",E19="否"),"是否提供他项权证或相关说明","")</f>
        <v/>
      </c>
      <c r="G19" s="2087"/>
      <c r="H19" s="2033"/>
      <c r="I19" s="2033"/>
      <c r="J19" s="2033"/>
      <c r="K19" s="2045"/>
      <c r="L19" s="2019"/>
      <c r="M19" s="2019"/>
      <c r="N19" s="2076"/>
      <c r="O19" s="2075"/>
      <c r="P19" s="2076"/>
      <c r="Q19" s="2020"/>
      <c r="R19" s="2020"/>
      <c r="S19" s="2020"/>
      <c r="T19" s="2020"/>
      <c r="U19" s="2020"/>
      <c r="V19" s="2020"/>
    </row>
    <row r="20" spans="1:22" ht="18" customHeight="1">
      <c r="A20" s="2088" t="s">
        <v>1805</v>
      </c>
      <c r="B20" s="3273" t="s">
        <v>1806</v>
      </c>
      <c r="C20" s="3274"/>
      <c r="D20" s="3275" t="s">
        <v>1807</v>
      </c>
      <c r="E20" s="3276"/>
      <c r="F20" s="2089" t="s">
        <v>1808</v>
      </c>
      <c r="G20" s="2033"/>
      <c r="H20" s="2033"/>
      <c r="I20" s="2033"/>
      <c r="J20" s="2033"/>
      <c r="K20" s="3272" t="s">
        <v>1809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6"/>
      <c r="O20" s="2075"/>
      <c r="P20" s="2076"/>
      <c r="Q20" s="2020"/>
      <c r="R20" s="2020"/>
      <c r="S20" s="2020"/>
      <c r="T20" s="2020"/>
      <c r="U20" s="2020"/>
      <c r="V20" s="2020"/>
    </row>
    <row r="21" spans="1:22" ht="24.75" customHeight="1">
      <c r="A21" s="2088"/>
      <c r="B21" s="2090" t="s">
        <v>1810</v>
      </c>
      <c r="C21" s="2091" t="s">
        <v>1811</v>
      </c>
      <c r="D21" s="2092" t="s">
        <v>1812</v>
      </c>
      <c r="E21" s="2093" t="s">
        <v>1811</v>
      </c>
      <c r="F21" s="2094"/>
      <c r="G21" s="2033"/>
      <c r="H21" s="2033"/>
      <c r="I21" s="2033"/>
      <c r="J21" s="2033"/>
      <c r="K21" s="327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6"/>
      <c r="O21" s="2075"/>
      <c r="P21" s="2076"/>
      <c r="Q21" s="2020"/>
      <c r="R21" s="2020"/>
      <c r="S21" s="2020"/>
      <c r="T21" s="2020"/>
      <c r="U21" s="2020"/>
      <c r="V21" s="2020"/>
    </row>
    <row r="22" spans="1:22" ht="24.75" customHeight="1" thickBot="1">
      <c r="A22" s="2088"/>
      <c r="B22" s="2095" t="s">
        <v>1813</v>
      </c>
      <c r="C22" s="2091" t="s">
        <v>1814</v>
      </c>
      <c r="D22" s="2017"/>
      <c r="E22" s="2017"/>
      <c r="F22" s="2096"/>
      <c r="G22" s="2033"/>
      <c r="H22" s="2033"/>
      <c r="I22" s="2033"/>
      <c r="J22" s="2033"/>
      <c r="K22" s="327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6"/>
      <c r="O22" s="2075"/>
      <c r="P22" s="2076"/>
      <c r="Q22" s="2020"/>
      <c r="R22" s="2020"/>
      <c r="S22" s="2020"/>
      <c r="T22" s="2020"/>
      <c r="U22" s="2020"/>
      <c r="V22" s="2020"/>
    </row>
    <row r="23" spans="1:22" ht="18" customHeight="1">
      <c r="A23" s="2097" t="s">
        <v>1815</v>
      </c>
      <c r="B23" s="183" t="s">
        <v>1816</v>
      </c>
      <c r="C23" s="2098"/>
      <c r="D23" s="2099" t="s">
        <v>1816</v>
      </c>
      <c r="E23" s="2100"/>
      <c r="F23" s="2096"/>
      <c r="G23" s="2033"/>
      <c r="H23" s="2033"/>
      <c r="I23" s="2033"/>
      <c r="J23" s="2033"/>
      <c r="K23" s="2101"/>
      <c r="L23" s="748"/>
      <c r="M23" s="2019"/>
      <c r="N23" s="2076"/>
      <c r="O23" s="2075"/>
      <c r="P23" s="2076"/>
      <c r="Q23" s="2020"/>
      <c r="R23" s="2020"/>
      <c r="S23" s="2020"/>
      <c r="T23" s="2020"/>
      <c r="U23" s="2020"/>
      <c r="V23" s="2020"/>
    </row>
    <row r="24" spans="1:22" ht="18" customHeight="1">
      <c r="A24" s="2102"/>
      <c r="B24" s="183" t="s">
        <v>1817</v>
      </c>
      <c r="C24" s="2103"/>
      <c r="D24" s="2097" t="s">
        <v>1817</v>
      </c>
      <c r="E24" s="2104"/>
      <c r="F24" s="2096"/>
      <c r="G24" s="2033"/>
      <c r="H24" s="2033"/>
      <c r="I24" s="2033"/>
      <c r="J24" s="2033"/>
      <c r="K24" s="2101"/>
      <c r="L24" s="748"/>
      <c r="M24" s="2019"/>
      <c r="N24" s="2076"/>
      <c r="O24" s="2075"/>
      <c r="P24" s="2076"/>
      <c r="Q24" s="2020"/>
      <c r="R24" s="2020"/>
      <c r="S24" s="2020"/>
      <c r="T24" s="2020"/>
      <c r="U24" s="2020"/>
      <c r="V24" s="2020"/>
    </row>
    <row r="25" spans="1:22" ht="18" customHeight="1">
      <c r="A25" s="2102"/>
      <c r="B25" s="183" t="s">
        <v>1818</v>
      </c>
      <c r="C25" s="2103"/>
      <c r="D25" s="2097" t="s">
        <v>1818</v>
      </c>
      <c r="E25" s="2104"/>
      <c r="F25" s="2096"/>
      <c r="G25" s="2033"/>
      <c r="H25" s="2033"/>
      <c r="I25" s="2033"/>
      <c r="J25" s="2033"/>
      <c r="K25" s="2045"/>
      <c r="L25" s="2019"/>
      <c r="M25" s="2019"/>
      <c r="N25" s="2076"/>
      <c r="O25" s="2075"/>
      <c r="P25" s="2076"/>
      <c r="Q25" s="2020"/>
      <c r="R25" s="2020"/>
      <c r="S25" s="2020"/>
      <c r="T25" s="2020"/>
      <c r="U25" s="2020"/>
      <c r="V25" s="2020"/>
    </row>
    <row r="26" spans="1:22" ht="18" customHeight="1" thickBot="1">
      <c r="A26" s="2105"/>
      <c r="B26" s="2106" t="s">
        <v>1819</v>
      </c>
      <c r="C26" s="2107"/>
      <c r="D26" s="2108" t="s">
        <v>1820</v>
      </c>
      <c r="E26" s="2109"/>
      <c r="F26" s="2110"/>
      <c r="G26" s="2053"/>
      <c r="H26" s="2053"/>
      <c r="I26" s="2053"/>
      <c r="J26" s="2033"/>
      <c r="K26" s="2045"/>
      <c r="L26" s="2019"/>
      <c r="M26" s="2019"/>
      <c r="N26" s="2076"/>
      <c r="O26" s="2075"/>
      <c r="P26" s="2076"/>
      <c r="Q26" s="2020"/>
      <c r="R26" s="2020"/>
      <c r="S26" s="2020"/>
      <c r="T26" s="2020"/>
      <c r="U26" s="2020"/>
      <c r="V26" s="2020"/>
    </row>
    <row r="27" spans="1:22" ht="18" customHeight="1" thickTop="1">
      <c r="A27" s="3260" t="s">
        <v>1821</v>
      </c>
      <c r="B27" s="2054" t="s">
        <v>1822</v>
      </c>
      <c r="C27" s="2111" t="s">
        <v>3061</v>
      </c>
      <c r="D27" s="2112"/>
      <c r="E27" s="2033"/>
      <c r="F27" s="2033"/>
      <c r="G27" s="2033"/>
      <c r="H27" s="2033"/>
      <c r="I27" s="2033"/>
      <c r="J27" s="2020"/>
      <c r="K27" s="2074"/>
      <c r="L27" s="2075"/>
      <c r="M27" s="2075"/>
      <c r="N27" s="2076"/>
      <c r="O27" s="2075"/>
      <c r="P27" s="2076"/>
      <c r="Q27" s="2020"/>
      <c r="R27" s="2020"/>
      <c r="S27" s="2020"/>
      <c r="T27" s="2020"/>
      <c r="U27" s="2020"/>
      <c r="V27" s="2020"/>
    </row>
    <row r="28" spans="1:22" ht="18" customHeight="1">
      <c r="A28" s="3260"/>
      <c r="B28" s="2026" t="s">
        <v>1823</v>
      </c>
      <c r="C28" s="2113"/>
      <c r="D28" s="2114"/>
      <c r="E28" s="2033"/>
      <c r="F28" s="2033"/>
      <c r="G28" s="2033"/>
      <c r="H28" s="2033"/>
      <c r="I28" s="2033"/>
      <c r="J28" s="2020"/>
      <c r="K28" s="2115"/>
      <c r="L28" s="2019"/>
      <c r="M28" s="2019"/>
      <c r="N28" s="2020"/>
      <c r="O28" s="2021"/>
      <c r="P28" s="2020"/>
      <c r="Q28" s="2020"/>
      <c r="R28" s="2020"/>
      <c r="S28" s="2020"/>
      <c r="T28" s="2020"/>
      <c r="U28" s="2020"/>
      <c r="V28" s="2020"/>
    </row>
    <row r="29" spans="1:22" ht="18" customHeight="1">
      <c r="A29" s="3260"/>
      <c r="B29" s="2026" t="s">
        <v>1824</v>
      </c>
      <c r="C29" s="2116"/>
      <c r="D29" s="2117"/>
      <c r="E29" s="2033"/>
      <c r="F29" s="2033"/>
      <c r="G29" s="2033"/>
      <c r="H29" s="2033"/>
      <c r="I29" s="2033"/>
      <c r="J29" s="2020"/>
      <c r="K29" s="2115"/>
      <c r="L29" s="2019"/>
      <c r="M29" s="2019"/>
      <c r="N29" s="2020"/>
      <c r="O29" s="2021"/>
      <c r="P29" s="2020"/>
      <c r="Q29" s="2020"/>
      <c r="R29" s="2020"/>
      <c r="S29" s="2020"/>
      <c r="T29" s="2020"/>
      <c r="U29" s="2020"/>
      <c r="V29" s="2020"/>
    </row>
    <row r="30" spans="1:22" ht="18" customHeight="1">
      <c r="A30" s="3261"/>
      <c r="B30" s="2026" t="s">
        <v>1825</v>
      </c>
      <c r="C30" s="3262"/>
      <c r="D30" s="3263"/>
      <c r="E30" s="2033"/>
      <c r="F30" s="2033"/>
      <c r="G30" s="2033"/>
      <c r="H30" s="2033"/>
      <c r="I30" s="2033"/>
      <c r="J30" s="2020"/>
      <c r="K30" s="2115"/>
      <c r="L30" s="2019"/>
      <c r="M30" s="2019"/>
      <c r="N30" s="2020"/>
      <c r="O30" s="2021"/>
      <c r="P30" s="2020"/>
      <c r="Q30" s="2020"/>
      <c r="R30" s="2020"/>
      <c r="S30" s="2020"/>
      <c r="T30" s="2020"/>
      <c r="U30" s="2020"/>
      <c r="V30" s="2020"/>
    </row>
    <row r="31" spans="1:22" ht="18" customHeight="1">
      <c r="A31" s="3264" t="s">
        <v>1826</v>
      </c>
      <c r="B31" s="2118"/>
      <c r="C31" s="2119" t="str">
        <f>IF(B31="现房","成新及维护状况正常否",IF(B31="在建","工程状态是否正常",IF(B31="土地","是否闲置","-")))</f>
        <v>-</v>
      </c>
      <c r="D31" s="2120"/>
      <c r="E31" s="2121"/>
      <c r="F31" s="2033"/>
      <c r="G31" s="2033"/>
      <c r="H31" s="2033"/>
      <c r="I31" s="2033"/>
      <c r="J31" s="2033"/>
      <c r="K31" s="2043"/>
      <c r="L31" s="2019"/>
      <c r="M31" s="2019"/>
      <c r="N31" s="2020"/>
      <c r="O31" s="2021"/>
      <c r="P31" s="2020"/>
      <c r="Q31" s="2020"/>
      <c r="R31" s="2020"/>
      <c r="S31" s="2020"/>
      <c r="T31" s="2020"/>
      <c r="U31" s="2020"/>
      <c r="V31" s="2020"/>
    </row>
    <row r="32" spans="1:22" ht="18" customHeight="1">
      <c r="A32" s="3265"/>
      <c r="B32" s="2118"/>
      <c r="C32" s="2119" t="str">
        <f>IF(B32="现房","成新及维护状况是否正常",IF(B32="在建","工程状态是否正常",IF(B32="土地","是否闲置","-")))</f>
        <v>-</v>
      </c>
      <c r="D32" s="2120"/>
      <c r="E32" s="2121"/>
      <c r="F32" s="2033"/>
      <c r="G32" s="2033"/>
      <c r="H32" s="2033"/>
      <c r="I32" s="2033"/>
      <c r="J32" s="2033"/>
      <c r="K32" s="2045"/>
      <c r="L32" s="2019"/>
      <c r="M32" s="2019"/>
      <c r="N32" s="2020"/>
      <c r="O32" s="2021"/>
      <c r="P32" s="2020"/>
      <c r="Q32" s="2020"/>
      <c r="R32" s="2020"/>
      <c r="S32" s="2020"/>
      <c r="T32" s="2020"/>
      <c r="U32" s="2020"/>
      <c r="V32" s="2020"/>
    </row>
    <row r="33" spans="1:22" ht="18" customHeight="1">
      <c r="A33" s="3265"/>
      <c r="B33" s="2122"/>
      <c r="C33" s="2061" t="str">
        <f>IF(B33="现房","成新及维护状况是否正常",IF(B33="在建","工程状态是否正常",IF(B33="土地","是否闲置","-")))</f>
        <v>-</v>
      </c>
      <c r="D33" s="2123"/>
      <c r="E33" s="2124"/>
      <c r="F33" s="2033"/>
      <c r="G33" s="2033"/>
      <c r="H33" s="2033"/>
      <c r="I33" s="2033"/>
      <c r="J33" s="2033"/>
      <c r="K33" s="2045"/>
      <c r="L33" s="2019"/>
      <c r="M33" s="2019"/>
      <c r="N33" s="2020"/>
      <c r="O33" s="2021"/>
      <c r="P33" s="2020"/>
      <c r="Q33" s="2020"/>
      <c r="R33" s="2020"/>
      <c r="S33" s="2020"/>
      <c r="T33" s="2020"/>
      <c r="U33" s="2020"/>
      <c r="V33" s="2020"/>
    </row>
    <row r="34" spans="1:22" ht="18" customHeight="1">
      <c r="A34" s="2026" t="s">
        <v>1827</v>
      </c>
      <c r="B34" s="2125"/>
      <c r="C34" s="2125"/>
      <c r="D34" s="2125"/>
      <c r="E34" s="2125"/>
      <c r="F34" s="2125"/>
      <c r="G34" s="2125"/>
      <c r="H34" s="2125"/>
      <c r="I34" s="2033"/>
      <c r="J34" s="2033"/>
      <c r="K34" s="1787">
        <f>COUNTIF(B34:H34,"——")</f>
        <v>0</v>
      </c>
      <c r="L34" s="2066" t="s">
        <v>1828</v>
      </c>
      <c r="M34" s="2066" t="s">
        <v>1829</v>
      </c>
      <c r="N34" s="2066" t="s">
        <v>1830</v>
      </c>
      <c r="O34" s="2066" t="s">
        <v>1831</v>
      </c>
      <c r="P34" s="2066" t="s">
        <v>1832</v>
      </c>
      <c r="Q34" s="2066" t="s">
        <v>1833</v>
      </c>
      <c r="R34" s="2066" t="s">
        <v>1834</v>
      </c>
      <c r="S34" s="3259" t="s">
        <v>1835</v>
      </c>
      <c r="T34" s="2126" t="str">
        <f>NUMBERSTRING(7-K34,1)&amp;"通"</f>
        <v>七通</v>
      </c>
      <c r="U34" s="2020"/>
      <c r="V34" s="2020"/>
    </row>
    <row r="35" spans="1:22" ht="18" customHeight="1">
      <c r="A35" s="2127"/>
      <c r="B35" s="3266" t="s">
        <v>1836</v>
      </c>
      <c r="C35" s="3266"/>
      <c r="D35" s="3266"/>
      <c r="E35" s="3266"/>
      <c r="F35" s="2128">
        <f>C10</f>
        <v>0</v>
      </c>
      <c r="G35" s="2033"/>
      <c r="H35" s="2033"/>
      <c r="I35" s="2033"/>
      <c r="J35" s="2033"/>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59"/>
      <c r="T35" s="48" t="str">
        <f>IF(T34="一通",L35,IF(T34="二通",M35,IF(T34="三通",N35,IF(T34="四通",O35,IF(T34="五通",P35,IF(T34="六通",Q35,R35))))))</f>
        <v>、、、、、、</v>
      </c>
      <c r="U35" s="2020"/>
      <c r="V35" s="2020"/>
    </row>
    <row r="36" spans="1:22" ht="18" customHeight="1">
      <c r="A36" s="2129"/>
      <c r="B36" s="2128" t="s">
        <v>1837</v>
      </c>
      <c r="C36" s="2128" t="s">
        <v>1838</v>
      </c>
      <c r="D36" s="2128" t="s">
        <v>1839</v>
      </c>
      <c r="E36" s="2128" t="s">
        <v>1840</v>
      </c>
      <c r="F36" s="2130"/>
      <c r="G36" s="2033"/>
      <c r="H36" s="2033"/>
      <c r="I36" s="2033"/>
      <c r="J36" s="2033"/>
      <c r="K36" s="2045"/>
      <c r="L36" s="2019"/>
      <c r="M36" s="2019"/>
      <c r="N36" s="2020"/>
      <c r="O36" s="2021"/>
      <c r="P36" s="2020"/>
      <c r="Q36" s="2020"/>
      <c r="R36" s="2020"/>
      <c r="S36" s="2020"/>
      <c r="T36" s="2020"/>
      <c r="U36" s="2020"/>
      <c r="V36" s="2020"/>
    </row>
    <row r="37" spans="1:22" ht="18" customHeight="1">
      <c r="A37" s="2131" t="s">
        <v>1841</v>
      </c>
      <c r="B37" s="2132"/>
      <c r="C37" s="2132"/>
      <c r="D37" s="2132" t="s">
        <v>56</v>
      </c>
      <c r="E37" s="2132"/>
      <c r="F37" s="2130"/>
      <c r="G37" s="2033"/>
      <c r="H37" s="2033"/>
      <c r="I37" s="2033"/>
      <c r="J37" s="2033"/>
      <c r="K37" s="2045"/>
      <c r="L37" s="2019"/>
      <c r="M37" s="2019"/>
      <c r="N37" s="2020"/>
      <c r="O37" s="2021"/>
      <c r="P37" s="2020"/>
      <c r="Q37" s="2020"/>
      <c r="R37" s="2020"/>
      <c r="S37" s="2020"/>
      <c r="T37" s="2020"/>
      <c r="U37" s="2020"/>
      <c r="V37" s="2020"/>
    </row>
    <row r="38" spans="1:22" ht="18" customHeight="1" thickBot="1">
      <c r="A38" s="2133" t="s">
        <v>1842</v>
      </c>
      <c r="B38" s="2134"/>
      <c r="C38" s="2134"/>
      <c r="D38" s="2134" t="s">
        <v>395</v>
      </c>
      <c r="E38" s="2134"/>
      <c r="F38" s="2135"/>
      <c r="G38" s="2053"/>
      <c r="H38" s="2053"/>
      <c r="I38" s="2053"/>
      <c r="J38" s="2033"/>
      <c r="K38" s="2045"/>
      <c r="L38" s="2019"/>
      <c r="M38" s="2019"/>
      <c r="N38" s="2020"/>
      <c r="O38" s="2021"/>
      <c r="P38" s="2020"/>
      <c r="Q38" s="2020"/>
      <c r="R38" s="2020"/>
      <c r="S38" s="2020"/>
      <c r="T38" s="2020"/>
      <c r="U38" s="2020"/>
      <c r="V38" s="2020"/>
    </row>
    <row r="39" spans="1:22" s="2140" customFormat="1" ht="18" customHeight="1" thickTop="1" thickBot="1">
      <c r="A39" s="2136" t="s">
        <v>1843</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0"/>
      <c r="B40" s="2020"/>
      <c r="C40" s="2020"/>
      <c r="D40" s="2020"/>
      <c r="E40" s="2020"/>
      <c r="F40" s="2020"/>
      <c r="G40" s="2020"/>
      <c r="H40" s="2020"/>
      <c r="I40" s="2141"/>
      <c r="J40" s="2076"/>
      <c r="K40" s="666"/>
      <c r="L40" s="2075"/>
      <c r="M40" s="2075"/>
      <c r="N40" s="2076"/>
      <c r="O40" s="2075"/>
      <c r="P40" s="2020"/>
      <c r="Q40" s="2020"/>
      <c r="R40" s="2020"/>
      <c r="S40" s="2020"/>
      <c r="T40" s="2020"/>
      <c r="U40" s="2020"/>
      <c r="V40" s="2020"/>
    </row>
    <row r="41" spans="1:22" ht="18" customHeight="1">
      <c r="A41" s="8" t="s">
        <v>1844</v>
      </c>
      <c r="B41" s="2142"/>
      <c r="C41" s="2143"/>
      <c r="D41" s="2020"/>
      <c r="E41" s="2020"/>
      <c r="F41" s="2020"/>
      <c r="G41" s="2020"/>
      <c r="H41" s="2020"/>
      <c r="I41" s="2021"/>
      <c r="J41" s="2020"/>
      <c r="K41" s="2115"/>
      <c r="L41" s="2019"/>
      <c r="M41" s="2019"/>
      <c r="N41" s="2020"/>
      <c r="O41" s="2021"/>
      <c r="P41" s="2020"/>
      <c r="Q41" s="2020"/>
      <c r="R41" s="2020"/>
      <c r="S41" s="2020"/>
      <c r="T41" s="2020"/>
      <c r="U41" s="2020"/>
      <c r="V41" s="2020"/>
    </row>
    <row r="42" spans="1:22" ht="18" customHeight="1">
      <c r="A42" s="2066" t="s">
        <v>1845</v>
      </c>
      <c r="B42" s="1787" t="s">
        <v>1846</v>
      </c>
      <c r="C42" s="1787" t="s">
        <v>1847</v>
      </c>
      <c r="D42" s="1787" t="s">
        <v>1848</v>
      </c>
      <c r="E42" s="1787" t="s">
        <v>1849</v>
      </c>
      <c r="F42" s="1787" t="s">
        <v>1850</v>
      </c>
      <c r="G42" s="1787" t="s">
        <v>1851</v>
      </c>
      <c r="H42" s="1787" t="s">
        <v>1852</v>
      </c>
      <c r="I42" s="1787" t="s">
        <v>1853</v>
      </c>
      <c r="J42" s="2144" t="s">
        <v>1854</v>
      </c>
      <c r="K42" s="2067" t="s">
        <v>1855</v>
      </c>
      <c r="L42" s="2067" t="s">
        <v>1856</v>
      </c>
      <c r="M42" s="2067" t="s">
        <v>1857</v>
      </c>
      <c r="N42" s="1787" t="s">
        <v>1858</v>
      </c>
      <c r="O42" s="1787" t="s">
        <v>1859</v>
      </c>
      <c r="P42" s="1787" t="s">
        <v>1860</v>
      </c>
      <c r="Q42" s="2066" t="s">
        <v>1861</v>
      </c>
      <c r="R42" s="2066" t="s">
        <v>1862</v>
      </c>
      <c r="S42" s="2020"/>
      <c r="T42" s="2020"/>
      <c r="U42" s="2020"/>
      <c r="V42" s="2020"/>
    </row>
    <row r="43" spans="1:22" s="2149" customFormat="1" ht="18" customHeight="1">
      <c r="A43" s="2145"/>
      <c r="B43" s="1272"/>
      <c r="C43" s="1272"/>
      <c r="D43" s="1272"/>
      <c r="E43" s="1272"/>
      <c r="F43" s="1272"/>
      <c r="G43" s="1272"/>
      <c r="H43" s="9"/>
      <c r="I43" s="9"/>
      <c r="J43" s="2146"/>
      <c r="K43" s="2147"/>
      <c r="L43" s="2147"/>
      <c r="M43" s="9"/>
      <c r="N43" s="1272"/>
      <c r="O43" s="9"/>
      <c r="P43" s="1272"/>
      <c r="Q43" s="1272"/>
      <c r="R43" s="1272"/>
      <c r="S43" s="2148"/>
      <c r="T43" s="2148"/>
      <c r="U43" s="2148"/>
      <c r="V43" s="2148"/>
    </row>
    <row r="44" spans="1:22" s="2149" customFormat="1" ht="18" customHeight="1">
      <c r="A44" s="2145"/>
      <c r="B44" s="2145"/>
      <c r="C44" s="1272"/>
      <c r="D44" s="1272"/>
      <c r="E44" s="1272"/>
      <c r="F44" s="1272"/>
      <c r="G44" s="1272"/>
      <c r="H44" s="9"/>
      <c r="I44" s="9"/>
      <c r="J44" s="2146"/>
      <c r="K44" s="2147"/>
      <c r="L44" s="2147"/>
      <c r="M44" s="9"/>
      <c r="N44" s="1272"/>
      <c r="O44" s="9"/>
      <c r="P44" s="1272"/>
      <c r="Q44" s="1272"/>
      <c r="R44" s="1272"/>
      <c r="S44" s="2148"/>
      <c r="T44" s="2148"/>
      <c r="U44" s="2148"/>
      <c r="V44" s="2148"/>
    </row>
    <row r="45" spans="1:22" s="2149" customFormat="1" ht="18" customHeight="1">
      <c r="A45" s="2145"/>
      <c r="B45" s="2145"/>
      <c r="C45" s="1272"/>
      <c r="D45" s="1272"/>
      <c r="E45" s="1272"/>
      <c r="F45" s="1272"/>
      <c r="G45" s="1272"/>
      <c r="H45" s="9"/>
      <c r="I45" s="9"/>
      <c r="J45" s="2146"/>
      <c r="K45" s="2147"/>
      <c r="L45" s="2147"/>
      <c r="M45" s="9"/>
      <c r="N45" s="1272"/>
      <c r="O45" s="9"/>
      <c r="P45" s="1272"/>
      <c r="Q45" s="1272"/>
      <c r="R45" s="1272"/>
      <c r="S45" s="2148"/>
      <c r="T45" s="2148"/>
      <c r="U45" s="2148"/>
      <c r="V45" s="2148"/>
    </row>
    <row r="46" spans="1:22" s="2149" customFormat="1" ht="18" customHeight="1">
      <c r="A46" s="2145"/>
      <c r="B46" s="2145"/>
      <c r="C46" s="1272"/>
      <c r="D46" s="1272"/>
      <c r="E46" s="1272"/>
      <c r="F46" s="1272"/>
      <c r="G46" s="1272"/>
      <c r="H46" s="9"/>
      <c r="I46" s="9"/>
      <c r="J46" s="2146"/>
      <c r="K46" s="2147"/>
      <c r="L46" s="2147"/>
      <c r="M46" s="9"/>
      <c r="N46" s="1272"/>
      <c r="O46" s="9"/>
      <c r="P46" s="1272"/>
      <c r="Q46" s="1272"/>
      <c r="R46" s="1272"/>
      <c r="S46" s="2148"/>
      <c r="T46" s="2148"/>
      <c r="U46" s="2148"/>
      <c r="V46" s="2148"/>
    </row>
    <row r="47" spans="1:22" s="2149" customFormat="1" ht="18" customHeight="1">
      <c r="A47" s="2145"/>
      <c r="B47" s="2145"/>
      <c r="C47" s="1272"/>
      <c r="D47" s="1272"/>
      <c r="E47" s="1272"/>
      <c r="F47" s="1272"/>
      <c r="G47" s="1272"/>
      <c r="H47" s="9"/>
      <c r="I47" s="9"/>
      <c r="J47" s="2146"/>
      <c r="K47" s="2147"/>
      <c r="L47" s="2147"/>
      <c r="M47" s="9"/>
      <c r="N47" s="1272"/>
      <c r="O47" s="9"/>
      <c r="P47" s="1272"/>
      <c r="Q47" s="1272"/>
      <c r="R47" s="1272"/>
      <c r="S47" s="2148"/>
      <c r="T47" s="2148"/>
      <c r="U47" s="2148"/>
      <c r="V47" s="2148"/>
    </row>
    <row r="48" spans="1:22" s="2149" customFormat="1" ht="18" customHeight="1">
      <c r="A48" s="2145"/>
      <c r="B48" s="2145"/>
      <c r="C48" s="1272"/>
      <c r="D48" s="1272"/>
      <c r="E48" s="1272"/>
      <c r="F48" s="1272"/>
      <c r="G48" s="1272"/>
      <c r="H48" s="9"/>
      <c r="I48" s="9"/>
      <c r="J48" s="2146"/>
      <c r="K48" s="2147"/>
      <c r="L48" s="2147"/>
      <c r="M48" s="9"/>
      <c r="N48" s="1272"/>
      <c r="O48" s="9"/>
      <c r="P48" s="1272"/>
      <c r="Q48" s="1272"/>
      <c r="R48" s="1272"/>
      <c r="S48" s="2148"/>
      <c r="T48" s="2148"/>
      <c r="U48" s="2148"/>
      <c r="V48" s="2148"/>
    </row>
    <row r="49" spans="1:22" s="2149" customFormat="1" ht="18" customHeight="1">
      <c r="A49" s="2145"/>
      <c r="B49" s="2145"/>
      <c r="C49" s="1272"/>
      <c r="D49" s="1272"/>
      <c r="E49" s="1272"/>
      <c r="F49" s="1272"/>
      <c r="G49" s="1272"/>
      <c r="H49" s="9"/>
      <c r="I49" s="9"/>
      <c r="J49" s="2146"/>
      <c r="K49" s="2147"/>
      <c r="L49" s="2147"/>
      <c r="M49" s="9"/>
      <c r="N49" s="1272"/>
      <c r="O49" s="9"/>
      <c r="P49" s="1272"/>
      <c r="Q49" s="1272"/>
      <c r="R49" s="1272"/>
      <c r="S49" s="2148"/>
      <c r="T49" s="2148"/>
      <c r="U49" s="2148"/>
      <c r="V49" s="2148"/>
    </row>
    <row r="50" spans="1:22" s="2149" customFormat="1" ht="18" customHeight="1">
      <c r="A50" s="2145"/>
      <c r="B50" s="2145"/>
      <c r="C50" s="1272"/>
      <c r="D50" s="1272"/>
      <c r="E50" s="1272"/>
      <c r="F50" s="1272"/>
      <c r="G50" s="1272"/>
      <c r="H50" s="9"/>
      <c r="I50" s="9"/>
      <c r="J50" s="2146"/>
      <c r="K50" s="2147"/>
      <c r="L50" s="2147"/>
      <c r="M50" s="9"/>
      <c r="N50" s="1272"/>
      <c r="O50" s="9"/>
      <c r="P50" s="1272"/>
      <c r="Q50" s="1272"/>
      <c r="R50" s="1272"/>
      <c r="S50" s="2148"/>
      <c r="T50" s="2148"/>
      <c r="U50" s="2148"/>
      <c r="V50" s="2148"/>
    </row>
    <row r="51" spans="1:22" s="2149" customFormat="1" ht="18" customHeight="1">
      <c r="A51" s="2145"/>
      <c r="B51" s="2145"/>
      <c r="C51" s="1272"/>
      <c r="D51" s="1272"/>
      <c r="E51" s="1272"/>
      <c r="F51" s="1272"/>
      <c r="G51" s="1272"/>
      <c r="H51" s="9"/>
      <c r="I51" s="9"/>
      <c r="J51" s="2146"/>
      <c r="K51" s="2147"/>
      <c r="L51" s="2147"/>
      <c r="M51" s="9"/>
      <c r="N51" s="1272"/>
      <c r="O51" s="9"/>
      <c r="P51" s="1272"/>
      <c r="Q51" s="1272"/>
      <c r="R51" s="1272"/>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2" width="9.5" style="2151" customWidth="1"/>
    <col min="13" max="14" width="9.5" style="2151" hidden="1" customWidth="1"/>
    <col min="15" max="16" width="9.875" style="2151" hidden="1" customWidth="1"/>
    <col min="17" max="17" width="9.375" style="2151" hidden="1" customWidth="1"/>
    <col min="18" max="18" width="9.125" style="2151" hidden="1" customWidth="1"/>
    <col min="19" max="28" width="10.875" style="2151" hidden="1" customWidth="1"/>
    <col min="29" max="29" width="11" style="2151" bestFit="1" customWidth="1"/>
    <col min="30" max="30" width="10" style="2151" bestFit="1" customWidth="1"/>
    <col min="31" max="31" width="9.875" style="2151" customWidth="1"/>
    <col min="32" max="39" width="9.5" style="2151" hidden="1" customWidth="1"/>
    <col min="40" max="46" width="9.5" style="2151" customWidth="1"/>
    <col min="47" max="47" width="18.125" style="2151" customWidth="1"/>
    <col min="48" max="50" width="9.8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1863</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5" t="s">
        <v>1864</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9" customFormat="1" ht="24">
      <c r="A2" s="11" t="s">
        <v>1865</v>
      </c>
      <c r="B2" s="11" t="s">
        <v>1866</v>
      </c>
      <c r="C2" s="11" t="s">
        <v>1867</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9" t="s">
        <v>1868</v>
      </c>
      <c r="AZ2" s="1270" t="s">
        <v>1869</v>
      </c>
      <c r="BA2" s="11" t="s">
        <v>1870</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c r="B3" s="14">
        <f>IF(C3="否",G5-AT5,G5)</f>
        <v>11757.189999999999</v>
      </c>
      <c r="C3" s="2160" t="s">
        <v>1871</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1"/>
      <c r="AZ3" s="1272"/>
      <c r="BA3" s="1273"/>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1872</v>
      </c>
      <c r="B5" s="1795"/>
      <c r="C5" s="1795"/>
      <c r="D5" s="1798"/>
      <c r="E5" s="16" t="s">
        <v>1</v>
      </c>
      <c r="F5" s="16">
        <f>SUM(F13:F587)</f>
        <v>0</v>
      </c>
      <c r="G5" s="16">
        <f>SUM(G13:G587)</f>
        <v>11757.189999999999</v>
      </c>
      <c r="H5" s="16">
        <f t="shared" ref="H5:AT5" si="0">SUM(H13:H656)</f>
        <v>10345.73</v>
      </c>
      <c r="I5" s="16">
        <f t="shared" si="0"/>
        <v>9952.6299999999992</v>
      </c>
      <c r="J5" s="16">
        <f t="shared" si="0"/>
        <v>0</v>
      </c>
      <c r="K5" s="16">
        <f t="shared" si="0"/>
        <v>393.1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1411.46</v>
      </c>
      <c r="AD5" s="16">
        <f t="shared" si="0"/>
        <v>72.33</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233.28</v>
      </c>
      <c r="AO5" s="16">
        <f t="shared" si="0"/>
        <v>0</v>
      </c>
      <c r="AP5" s="16">
        <f t="shared" si="0"/>
        <v>0</v>
      </c>
      <c r="AQ5" s="16">
        <f t="shared" si="0"/>
        <v>0</v>
      </c>
      <c r="AR5" s="16">
        <f t="shared" si="0"/>
        <v>1105.8499999999999</v>
      </c>
      <c r="AS5" s="16">
        <f t="shared" si="0"/>
        <v>0</v>
      </c>
      <c r="AT5" s="16">
        <f t="shared" si="0"/>
        <v>0</v>
      </c>
      <c r="AU5" s="1794"/>
      <c r="AV5" s="15" t="s">
        <v>1872</v>
      </c>
      <c r="AW5" s="1795"/>
      <c r="AX5" s="1795"/>
      <c r="AY5" s="17" t="s">
        <v>3</v>
      </c>
      <c r="AZ5" s="18">
        <f t="shared" ref="AZ5:BT5" si="1">SUM(AZ13:AZ656)</f>
        <v>11757.189999999999</v>
      </c>
      <c r="BA5" s="18">
        <f t="shared" si="1"/>
        <v>10345.73</v>
      </c>
      <c r="BB5" s="18">
        <f t="shared" si="1"/>
        <v>9952.6299999999992</v>
      </c>
      <c r="BC5" s="18">
        <f t="shared" si="1"/>
        <v>393.1</v>
      </c>
      <c r="BD5" s="18">
        <f t="shared" si="1"/>
        <v>0</v>
      </c>
      <c r="BE5" s="18">
        <f t="shared" si="1"/>
        <v>0</v>
      </c>
      <c r="BF5" s="18">
        <f t="shared" si="1"/>
        <v>0</v>
      </c>
      <c r="BG5" s="18">
        <f t="shared" si="1"/>
        <v>0</v>
      </c>
      <c r="BH5" s="18">
        <f t="shared" si="1"/>
        <v>0</v>
      </c>
      <c r="BI5" s="18">
        <f t="shared" si="1"/>
        <v>0</v>
      </c>
      <c r="BJ5" s="18">
        <f t="shared" si="1"/>
        <v>0</v>
      </c>
      <c r="BK5" s="18">
        <f t="shared" si="1"/>
        <v>0</v>
      </c>
      <c r="BL5" s="18">
        <f t="shared" si="1"/>
        <v>1411.46</v>
      </c>
      <c r="BM5" s="18">
        <f t="shared" si="1"/>
        <v>72.33</v>
      </c>
      <c r="BN5" s="18">
        <f t="shared" si="1"/>
        <v>0</v>
      </c>
      <c r="BO5" s="18">
        <f t="shared" si="1"/>
        <v>0</v>
      </c>
      <c r="BP5" s="18">
        <f t="shared" si="1"/>
        <v>0</v>
      </c>
      <c r="BQ5" s="18">
        <f t="shared" si="1"/>
        <v>0</v>
      </c>
      <c r="BR5" s="18">
        <f t="shared" si="1"/>
        <v>233.28</v>
      </c>
      <c r="BS5" s="18">
        <f t="shared" si="1"/>
        <v>0</v>
      </c>
      <c r="BT5" s="19">
        <f t="shared" si="1"/>
        <v>1105.8499999999999</v>
      </c>
    </row>
    <row r="6" spans="1:72" s="2169" customFormat="1" ht="12.75">
      <c r="A6" s="15" t="s">
        <v>1873</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1873</v>
      </c>
      <c r="AW6" s="2166"/>
      <c r="AX6" s="21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1874</v>
      </c>
      <c r="B7" s="2101" t="s">
        <v>1875</v>
      </c>
      <c r="C7" s="2101" t="s">
        <v>1876</v>
      </c>
      <c r="D7" s="2101" t="s">
        <v>1877</v>
      </c>
      <c r="E7" s="2101" t="s">
        <v>1878</v>
      </c>
      <c r="F7" s="2101" t="s">
        <v>1879</v>
      </c>
      <c r="G7" s="2170" t="s">
        <v>1880</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1881</v>
      </c>
      <c r="AV7" s="23" t="s">
        <v>1882</v>
      </c>
      <c r="AW7" s="2158" t="s">
        <v>1883</v>
      </c>
      <c r="AX7" s="23" t="s">
        <v>1876</v>
      </c>
      <c r="AY7" s="1795" t="s">
        <v>1884</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1885</v>
      </c>
      <c r="H8" s="2176" t="s">
        <v>1886</v>
      </c>
      <c r="I8" s="2177"/>
      <c r="J8" s="1810"/>
      <c r="K8" s="1810"/>
      <c r="L8" s="1810"/>
      <c r="M8" s="1810"/>
      <c r="N8" s="1810"/>
      <c r="O8" s="1810"/>
      <c r="P8" s="1810"/>
      <c r="Q8" s="1810"/>
      <c r="R8" s="1810"/>
      <c r="S8" s="1810"/>
      <c r="T8" s="1810"/>
      <c r="U8" s="1810"/>
      <c r="V8" s="2178"/>
      <c r="W8" s="1810"/>
      <c r="X8" s="1810"/>
      <c r="Y8" s="1810"/>
      <c r="Z8" s="1810"/>
      <c r="AA8" s="2178"/>
      <c r="AB8" s="2179"/>
      <c r="AC8" s="981" t="s">
        <v>1887</v>
      </c>
      <c r="AD8" s="2180"/>
      <c r="AE8" s="2172"/>
      <c r="AF8" s="1810"/>
      <c r="AG8" s="1810"/>
      <c r="AH8" s="1810"/>
      <c r="AI8" s="1810"/>
      <c r="AJ8" s="1810"/>
      <c r="AK8" s="1810"/>
      <c r="AL8" s="1810"/>
      <c r="AM8" s="1810"/>
      <c r="AN8" s="1810"/>
      <c r="AO8" s="1810"/>
      <c r="AP8" s="1810"/>
      <c r="AQ8" s="1810"/>
      <c r="AR8" s="1810"/>
      <c r="AS8" s="1810"/>
      <c r="AT8" s="1292" t="s">
        <v>1888</v>
      </c>
      <c r="AU8" s="2174" t="s">
        <v>1889</v>
      </c>
      <c r="AV8" s="1292"/>
      <c r="AW8" s="2157"/>
      <c r="AX8" s="1292"/>
      <c r="AY8" s="2158" t="s">
        <v>1890</v>
      </c>
      <c r="AZ8" s="1809" t="s">
        <v>1891</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92"/>
      <c r="H9" s="2182" t="s">
        <v>1892</v>
      </c>
      <c r="I9" s="2183" t="s">
        <v>3112</v>
      </c>
      <c r="J9" s="981"/>
      <c r="K9" s="2183" t="s">
        <v>3114</v>
      </c>
      <c r="L9" s="981"/>
      <c r="M9" s="2183"/>
      <c r="N9" s="981"/>
      <c r="O9" s="2183"/>
      <c r="P9" s="981"/>
      <c r="Q9" s="2183"/>
      <c r="R9" s="981"/>
      <c r="S9" s="2183"/>
      <c r="T9" s="981"/>
      <c r="U9" s="2183"/>
      <c r="V9" s="981"/>
      <c r="W9" s="2183"/>
      <c r="X9" s="2184"/>
      <c r="Y9" s="2183"/>
      <c r="Z9" s="981"/>
      <c r="AA9" s="2183"/>
      <c r="AB9" s="981"/>
      <c r="AC9" s="2175"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85"/>
      <c r="AT9" s="2174"/>
      <c r="AU9" s="2174" t="s">
        <v>1895</v>
      </c>
      <c r="AV9" s="1292"/>
      <c r="AW9" s="2157"/>
      <c r="AX9" s="1292"/>
      <c r="AY9" s="28"/>
      <c r="AZ9" s="28" t="s">
        <v>1885</v>
      </c>
      <c r="BA9" s="2186" t="s">
        <v>1896</v>
      </c>
      <c r="BB9" s="2187"/>
      <c r="BC9" s="1338"/>
      <c r="BD9" s="1338"/>
      <c r="BE9" s="1338"/>
      <c r="BF9" s="1338"/>
      <c r="BG9" s="1338"/>
      <c r="BH9" s="1338"/>
      <c r="BI9" s="1338"/>
      <c r="BJ9" s="1338"/>
      <c r="BK9" s="2188"/>
      <c r="BL9" s="15" t="s">
        <v>1897</v>
      </c>
      <c r="BM9" s="1810"/>
      <c r="BN9" s="2177"/>
      <c r="BO9" s="1810"/>
      <c r="BP9" s="1810"/>
      <c r="BQ9" s="1810"/>
      <c r="BR9" s="1810"/>
      <c r="BS9" s="1810"/>
      <c r="BT9" s="26"/>
    </row>
    <row r="10" spans="1:72" s="2181" customFormat="1" ht="12.75">
      <c r="A10" s="2174"/>
      <c r="B10" s="2174"/>
      <c r="C10" s="2174"/>
      <c r="D10" s="2174"/>
      <c r="E10" s="2174"/>
      <c r="F10" s="2174"/>
      <c r="G10" s="1292"/>
      <c r="H10" s="28"/>
      <c r="I10" s="2183" t="s">
        <v>3113</v>
      </c>
      <c r="J10" s="981"/>
      <c r="K10" s="2189" t="s">
        <v>3196</v>
      </c>
      <c r="L10" s="981"/>
      <c r="M10" s="2189"/>
      <c r="N10" s="981"/>
      <c r="O10" s="2189"/>
      <c r="P10" s="981"/>
      <c r="Q10" s="2189"/>
      <c r="R10" s="981"/>
      <c r="S10" s="2189"/>
      <c r="T10" s="981"/>
      <c r="U10" s="2189"/>
      <c r="V10" s="981"/>
      <c r="W10" s="2189"/>
      <c r="X10" s="981"/>
      <c r="Y10" s="2189"/>
      <c r="Z10" s="981"/>
      <c r="AA10" s="2189"/>
      <c r="AB10" s="981"/>
      <c r="AC10" s="1292"/>
      <c r="AD10" s="15" t="s">
        <v>1898</v>
      </c>
      <c r="AE10" s="2190"/>
      <c r="AF10" s="15" t="s">
        <v>1898</v>
      </c>
      <c r="AG10" s="2190"/>
      <c r="AH10" s="15" t="s">
        <v>1899</v>
      </c>
      <c r="AI10" s="2190"/>
      <c r="AJ10" s="15" t="s">
        <v>1899</v>
      </c>
      <c r="AK10" s="2190"/>
      <c r="AL10" s="15" t="s">
        <v>1900</v>
      </c>
      <c r="AM10" s="1298"/>
      <c r="AN10" s="15" t="s">
        <v>1900</v>
      </c>
      <c r="AO10" s="1298"/>
      <c r="AP10" s="15" t="s">
        <v>1901</v>
      </c>
      <c r="AQ10" s="1298"/>
      <c r="AR10" s="15" t="s">
        <v>1901</v>
      </c>
      <c r="AS10" s="1298"/>
      <c r="AT10" s="2174"/>
      <c r="AU10" s="2174"/>
      <c r="AV10" s="1292"/>
      <c r="AW10" s="2157"/>
      <c r="AX10" s="1292"/>
      <c r="AY10" s="28"/>
      <c r="AZ10" s="28"/>
      <c r="BA10" s="2191" t="s">
        <v>1892</v>
      </c>
      <c r="BB10" s="2192" t="str">
        <f>I9</f>
        <v>地上</v>
      </c>
      <c r="BC10" s="29" t="str">
        <f>K9</f>
        <v>地下</v>
      </c>
      <c r="BD10" s="29">
        <f>M9</f>
        <v>0</v>
      </c>
      <c r="BE10" s="29">
        <f>O9</f>
        <v>0</v>
      </c>
      <c r="BF10" s="29">
        <f>Q9</f>
        <v>0</v>
      </c>
      <c r="BG10" s="29">
        <f>S9</f>
        <v>0</v>
      </c>
      <c r="BH10" s="29">
        <f>U9</f>
        <v>0</v>
      </c>
      <c r="BI10" s="29">
        <f>W9</f>
        <v>0</v>
      </c>
      <c r="BJ10" s="29">
        <f>Y9</f>
        <v>0</v>
      </c>
      <c r="BK10" s="29">
        <f>AA9</f>
        <v>0</v>
      </c>
      <c r="BL10" s="25" t="s">
        <v>1892</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92"/>
      <c r="H11" s="2191"/>
      <c r="I11" s="2194"/>
      <c r="J11" s="2195"/>
      <c r="K11" s="2194"/>
      <c r="L11" s="2195"/>
      <c r="M11" s="2194"/>
      <c r="N11" s="2195"/>
      <c r="O11" s="2194"/>
      <c r="P11" s="2195"/>
      <c r="Q11" s="2194"/>
      <c r="R11" s="2195"/>
      <c r="S11" s="2194"/>
      <c r="T11" s="2195"/>
      <c r="U11" s="2194"/>
      <c r="V11" s="2195"/>
      <c r="W11" s="2194"/>
      <c r="X11" s="2195"/>
      <c r="Y11" s="2194"/>
      <c r="Z11" s="2195"/>
      <c r="AA11" s="2194"/>
      <c r="AB11" s="2195"/>
      <c r="AC11" s="1292"/>
      <c r="AD11" s="2196" t="s">
        <v>1902</v>
      </c>
      <c r="AE11" s="1811"/>
      <c r="AF11" s="2196" t="s">
        <v>1902</v>
      </c>
      <c r="AG11" s="1811"/>
      <c r="AH11" s="2196" t="s">
        <v>1903</v>
      </c>
      <c r="AI11" s="2197"/>
      <c r="AJ11" s="2196" t="s">
        <v>1903</v>
      </c>
      <c r="AK11" s="1811"/>
      <c r="AL11" s="1809"/>
      <c r="AM11" s="1811"/>
      <c r="AN11" s="1809"/>
      <c r="AO11" s="1811"/>
      <c r="AP11" s="1809"/>
      <c r="AQ11" s="1811"/>
      <c r="AR11" s="1809"/>
      <c r="AS11" s="1811"/>
      <c r="AT11" s="2157"/>
      <c r="AU11" s="2174"/>
      <c r="AV11" s="1292"/>
      <c r="AW11" s="2157"/>
      <c r="AX11" s="1292"/>
      <c r="AY11" s="28"/>
      <c r="AZ11" s="28"/>
      <c r="BA11" s="28"/>
      <c r="BB11" s="2179" t="str">
        <f>I10</f>
        <v>住宅</v>
      </c>
      <c r="BC11" s="2179" t="str">
        <f>K10</f>
        <v>仓储</v>
      </c>
      <c r="BD11" s="2179">
        <f>M10</f>
        <v>0</v>
      </c>
      <c r="BE11" s="2179">
        <f>O10</f>
        <v>0</v>
      </c>
      <c r="BF11" s="2179">
        <f>Q10</f>
        <v>0</v>
      </c>
      <c r="BG11" s="2179">
        <f>S10</f>
        <v>0</v>
      </c>
      <c r="BH11" s="2179">
        <f>U10</f>
        <v>0</v>
      </c>
      <c r="BI11" s="2179">
        <f>W10</f>
        <v>0</v>
      </c>
      <c r="BJ11" s="2179">
        <f>Y10</f>
        <v>0</v>
      </c>
      <c r="BK11" s="2179">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4" t="s">
        <v>1905</v>
      </c>
      <c r="W12" s="11" t="s">
        <v>1904</v>
      </c>
      <c r="X12" s="11" t="s">
        <v>1905</v>
      </c>
      <c r="Y12" s="11" t="s">
        <v>1904</v>
      </c>
      <c r="Z12" s="11" t="s">
        <v>1905</v>
      </c>
      <c r="AA12" s="11" t="s">
        <v>1904</v>
      </c>
      <c r="AB12" s="11" t="s">
        <v>1905</v>
      </c>
      <c r="AC12" s="2201"/>
      <c r="AD12" s="179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99" t="s">
        <v>1905</v>
      </c>
      <c r="AT12" s="2202"/>
      <c r="AU12" s="2199"/>
      <c r="AV12" s="31"/>
      <c r="AW12" s="2158"/>
      <c r="AX12" s="31"/>
      <c r="AY12" s="2203"/>
      <c r="AZ12" s="28"/>
      <c r="BA12" s="2191"/>
      <c r="BB12" s="24">
        <f>I11</f>
        <v>0</v>
      </c>
      <c r="BC12" s="2204">
        <f>K11</f>
        <v>0</v>
      </c>
      <c r="BD12" s="2204">
        <f>M11</f>
        <v>0</v>
      </c>
      <c r="BE12" s="2179">
        <f>O11</f>
        <v>0</v>
      </c>
      <c r="BF12" s="2179">
        <f>Q11</f>
        <v>0</v>
      </c>
      <c r="BG12" s="2179">
        <f>S11</f>
        <v>0</v>
      </c>
      <c r="BH12" s="2179">
        <f>U11</f>
        <v>0</v>
      </c>
      <c r="BI12" s="2179">
        <f>W11</f>
        <v>0</v>
      </c>
      <c r="BJ12" s="2179">
        <f>Y11</f>
        <v>0</v>
      </c>
      <c r="BK12" s="2179">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ht="12.75">
      <c r="A13" s="1272"/>
      <c r="B13" s="1272"/>
      <c r="C13" s="1272"/>
      <c r="D13" s="2205" t="s">
        <v>3111</v>
      </c>
      <c r="E13" s="16">
        <f>IF($C$3="是",ROUND($A$3*G13/$B$3,2),ROUND($A$3*(G13-AT13)/$B$3,2))</f>
        <v>0</v>
      </c>
      <c r="F13" s="32"/>
      <c r="G13" s="33">
        <f>H13+AC13+AT13</f>
        <v>11757.189999999999</v>
      </c>
      <c r="H13" s="20">
        <f>SUMIF(I$12:AB$12,"总值",I13:AB13)</f>
        <v>10345.73</v>
      </c>
      <c r="I13" s="2206">
        <f>面积分摊!G6</f>
        <v>9952.6299999999992</v>
      </c>
      <c r="J13" s="2206"/>
      <c r="K13" s="2206">
        <f>基础数据!H63</f>
        <v>393.1</v>
      </c>
      <c r="L13" s="2206"/>
      <c r="M13" s="2206"/>
      <c r="N13" s="2206"/>
      <c r="O13" s="2206"/>
      <c r="P13" s="2206"/>
      <c r="Q13" s="2206"/>
      <c r="R13" s="2206"/>
      <c r="S13" s="2206"/>
      <c r="T13" s="2206"/>
      <c r="U13" s="2206"/>
      <c r="V13" s="2206"/>
      <c r="W13" s="2206"/>
      <c r="X13" s="2206"/>
      <c r="Y13" s="2206"/>
      <c r="Z13" s="2206"/>
      <c r="AA13" s="2206"/>
      <c r="AB13" s="2206"/>
      <c r="AC13" s="16">
        <f>SUMIF(AD$12:AS$12,"总值",AD13:AS13)</f>
        <v>1411.46</v>
      </c>
      <c r="AD13" s="2207">
        <f>面积分摊!G7</f>
        <v>72.33</v>
      </c>
      <c r="AE13" s="2207"/>
      <c r="AF13" s="2207"/>
      <c r="AG13" s="2207"/>
      <c r="AH13" s="2207"/>
      <c r="AI13" s="2207"/>
      <c r="AJ13" s="2207"/>
      <c r="AK13" s="2207"/>
      <c r="AL13" s="2207"/>
      <c r="AM13" s="2207"/>
      <c r="AN13" s="3193">
        <f>基础数据!I63</f>
        <v>233.28</v>
      </c>
      <c r="AO13" s="2207"/>
      <c r="AP13" s="2207"/>
      <c r="AQ13" s="2207"/>
      <c r="AR13" s="3193">
        <f>基础数据!G63</f>
        <v>1105.8499999999999</v>
      </c>
      <c r="AS13" s="2207"/>
      <c r="AT13" s="2208"/>
      <c r="AU13" s="2209"/>
      <c r="AV13" s="11">
        <f t="shared" ref="AV13:AX17" si="6">A13</f>
        <v>0</v>
      </c>
      <c r="AW13" s="11">
        <f t="shared" si="6"/>
        <v>0</v>
      </c>
      <c r="AX13" s="11">
        <f t="shared" si="6"/>
        <v>0</v>
      </c>
      <c r="AY13" s="1798">
        <f>ROUND($AY$6*AZ13/$AZ$5,2)</f>
        <v>0</v>
      </c>
      <c r="AZ13" s="16">
        <f>BA13+BL13</f>
        <v>11757.189999999999</v>
      </c>
      <c r="BA13" s="16">
        <f>SUM(BB13:BK13)</f>
        <v>10345.73</v>
      </c>
      <c r="BB13" s="16">
        <f>IF($D13="是",I13-J13,0)</f>
        <v>9952.6299999999992</v>
      </c>
      <c r="BC13" s="16">
        <f>IF($D13="是",K13-L13,0)</f>
        <v>393.1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1411.46</v>
      </c>
      <c r="BM13" s="16">
        <f>IF($D13="是",AD13-AE13,0)</f>
        <v>72.33</v>
      </c>
      <c r="BN13" s="16">
        <f>IF($D13="是",AF13-AG13,0)</f>
        <v>0</v>
      </c>
      <c r="BO13" s="16">
        <f>IF($D13="是",AH13-AI13,0)</f>
        <v>0</v>
      </c>
      <c r="BP13" s="16">
        <f>IF($D13="是",AJ13-AK13,0)</f>
        <v>0</v>
      </c>
      <c r="BQ13" s="16">
        <f>IF($D13="是",AL13-AM13,0)</f>
        <v>0</v>
      </c>
      <c r="BR13" s="16">
        <f>IF($D13="是",AN13-AO13,0)</f>
        <v>233.28</v>
      </c>
      <c r="BS13" s="16">
        <f>IF($D13="是",AP13-AQ13,0)</f>
        <v>0</v>
      </c>
      <c r="BT13" s="22">
        <f>IF($D13="是",AR13-AS13,0)</f>
        <v>1105.8499999999999</v>
      </c>
    </row>
    <row r="14" spans="1:72" s="2159" customFormat="1" ht="12.75">
      <c r="A14" s="1272"/>
      <c r="B14" s="1272"/>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72"/>
      <c r="B15" s="1272"/>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2"/>
      <c r="B16" s="1272"/>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72"/>
      <c r="B17" s="1272"/>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289" t="s">
        <v>0</v>
      </c>
      <c r="B1" s="3289" t="s">
        <v>4</v>
      </c>
      <c r="C1" s="3289" t="s">
        <v>5</v>
      </c>
      <c r="D1" s="3290" t="s">
        <v>53</v>
      </c>
      <c r="E1" s="3290" t="s">
        <v>54</v>
      </c>
      <c r="F1" s="3290"/>
      <c r="G1" s="3290"/>
      <c r="H1" s="3290"/>
      <c r="I1" s="3290"/>
      <c r="J1" s="3290"/>
      <c r="K1" s="3290"/>
      <c r="L1" s="3290"/>
      <c r="M1" s="3290"/>
    </row>
    <row r="2" spans="1:13" ht="27" customHeight="1">
      <c r="A2" s="3289"/>
      <c r="B2" s="3289"/>
      <c r="C2" s="3289"/>
      <c r="D2" s="3290"/>
      <c r="E2" s="3290" t="s">
        <v>37</v>
      </c>
      <c r="F2" s="3290" t="s">
        <v>38</v>
      </c>
      <c r="G2" s="3290"/>
      <c r="H2" s="3290"/>
      <c r="I2" s="3290"/>
      <c r="J2" s="3290" t="s">
        <v>39</v>
      </c>
      <c r="K2" s="3290"/>
      <c r="L2" s="3290"/>
      <c r="M2" s="3290"/>
    </row>
    <row r="3" spans="1:13" ht="28.5">
      <c r="A3" s="3289"/>
      <c r="B3" s="3289"/>
      <c r="C3" s="3289"/>
      <c r="D3" s="3290"/>
      <c r="E3" s="32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0" t="s">
        <v>55</v>
      </c>
      <c r="B9" s="3290"/>
      <c r="C9" s="32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B20" sqref="B20"/>
    </sheetView>
  </sheetViews>
  <sheetFormatPr defaultColWidth="9.125" defaultRowHeight="14.25"/>
  <cols>
    <col min="1" max="1" width="12.125" style="2218" customWidth="1"/>
    <col min="2" max="2" width="10.1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125" style="2218"/>
  </cols>
  <sheetData>
    <row r="1" spans="1:16" ht="18.75">
      <c r="A1" s="2217" t="s">
        <v>1930</v>
      </c>
      <c r="B1" s="1392"/>
      <c r="C1" s="1392"/>
      <c r="D1" s="1392"/>
      <c r="E1" s="1392"/>
      <c r="F1" s="1392"/>
      <c r="G1" s="1392"/>
      <c r="H1" s="1392"/>
      <c r="I1" s="1392"/>
      <c r="J1" s="1392"/>
      <c r="K1" s="1392"/>
      <c r="L1" s="1392"/>
      <c r="M1" s="1392"/>
      <c r="N1" s="1392"/>
      <c r="O1" s="1392"/>
      <c r="P1" s="1392"/>
    </row>
    <row r="2" spans="1:16" ht="15">
      <c r="A2" s="3300" t="s">
        <v>1931</v>
      </c>
      <c r="B2" s="3300"/>
      <c r="C2" s="3300"/>
      <c r="D2" s="967" t="s">
        <v>1908</v>
      </c>
      <c r="E2" s="2219" t="s">
        <v>1909</v>
      </c>
      <c r="F2" s="1392"/>
      <c r="G2" s="2220"/>
      <c r="H2" s="2221"/>
      <c r="I2" s="2222" t="s">
        <v>1932</v>
      </c>
      <c r="J2" s="1392"/>
      <c r="K2" s="1392"/>
      <c r="L2" s="1392"/>
      <c r="M2" s="1392"/>
      <c r="N2" s="1427"/>
      <c r="O2" s="1392"/>
      <c r="P2" s="1392"/>
    </row>
    <row r="3" spans="1:16" ht="15.75" thickBot="1">
      <c r="A3" s="3301" t="s">
        <v>1906</v>
      </c>
      <c r="B3" s="3301"/>
      <c r="C3" s="3301"/>
      <c r="D3" s="46">
        <f>'数据-基础表'!AY6</f>
        <v>0</v>
      </c>
      <c r="E3" s="46">
        <f>'数据-基础表'!AZ5</f>
        <v>11757.189999999999</v>
      </c>
      <c r="F3" s="1392"/>
      <c r="G3" s="1399"/>
      <c r="H3" s="1247" t="s">
        <v>1907</v>
      </c>
      <c r="I3" s="55" t="e">
        <f>ROUND('数据-基础表'!B3/'数据-基础表'!A3,2)</f>
        <v>#DIV/0!</v>
      </c>
      <c r="J3" s="1392"/>
      <c r="K3" s="1392"/>
      <c r="L3" s="1392"/>
      <c r="M3" s="1392"/>
      <c r="N3" s="1427"/>
      <c r="O3" s="1392"/>
      <c r="P3" s="1392"/>
    </row>
    <row r="4" spans="1:16" ht="15">
      <c r="A4" s="3302"/>
      <c r="B4" s="3303"/>
      <c r="C4" s="3304"/>
      <c r="D4" s="2223" t="s">
        <v>1908</v>
      </c>
      <c r="E4" s="2224" t="s">
        <v>1909</v>
      </c>
      <c r="F4" s="1392"/>
      <c r="G4" s="2225" t="s">
        <v>1933</v>
      </c>
      <c r="H4" s="1247" t="s">
        <v>1914</v>
      </c>
      <c r="I4" s="55" t="e">
        <f>ROUND(SUMIF('数据-基础表'!I9:AS9,"地上",'数据-基础表'!I5:AS5)/'数据-基础表'!A3,2)</f>
        <v>#DIV/0!</v>
      </c>
      <c r="J4" s="1392"/>
      <c r="K4" s="1392"/>
      <c r="L4" s="1392"/>
      <c r="M4" s="1392"/>
      <c r="N4" s="1427"/>
      <c r="O4" s="1392"/>
      <c r="P4" s="1392"/>
    </row>
    <row r="5" spans="1:16">
      <c r="A5" s="47" t="s">
        <v>1910</v>
      </c>
      <c r="B5" s="3305" t="s">
        <v>1911</v>
      </c>
      <c r="C5" s="3305"/>
      <c r="D5" s="48">
        <f>ROUND($D$3*E5/$E$3,2)</f>
        <v>0</v>
      </c>
      <c r="E5" s="49">
        <f>SUMIF('数据-基础表'!$11:$11,"住宅",'数据-基础表'!$5:$5)</f>
        <v>9952.6299999999992</v>
      </c>
      <c r="F5" s="1392"/>
      <c r="G5" s="1399"/>
      <c r="H5" s="1247" t="s">
        <v>1907</v>
      </c>
      <c r="I5" s="55" t="e">
        <f>ROUND(E31/D31,2)</f>
        <v>#DIV/0!</v>
      </c>
      <c r="J5" s="1392"/>
      <c r="K5" s="1392"/>
      <c r="L5" s="1392"/>
      <c r="M5" s="1392"/>
      <c r="N5" s="1392"/>
      <c r="O5" s="1392"/>
      <c r="P5" s="1392"/>
    </row>
    <row r="6" spans="1:16" ht="15" thickBot="1">
      <c r="A6" s="2226"/>
      <c r="B6" s="3305" t="s">
        <v>1912</v>
      </c>
      <c r="C6" s="3305"/>
      <c r="D6" s="48">
        <f>ROUND($D$3*E6/$E$3,2)</f>
        <v>0</v>
      </c>
      <c r="E6" s="49">
        <f>E3-E5</f>
        <v>1804.5599999999995</v>
      </c>
      <c r="F6" s="1392"/>
      <c r="G6" s="2227" t="s">
        <v>1913</v>
      </c>
      <c r="H6" s="1399" t="s">
        <v>1914</v>
      </c>
      <c r="I6" s="939" t="e">
        <f>ROUND(F31/D31,2)</f>
        <v>#DIV/0!</v>
      </c>
      <c r="J6" s="1392"/>
      <c r="K6" s="1392"/>
      <c r="L6" s="1392"/>
      <c r="M6" s="1392"/>
      <c r="N6" s="1392"/>
      <c r="O6" s="1392"/>
      <c r="P6" s="1392"/>
    </row>
    <row r="7" spans="1:16" ht="15">
      <c r="A7" s="3297"/>
      <c r="B7" s="3298"/>
      <c r="C7" s="3299"/>
      <c r="D7" s="2223" t="s">
        <v>1908</v>
      </c>
      <c r="E7" s="2228" t="s">
        <v>1915</v>
      </c>
      <c r="F7" s="1392"/>
      <c r="G7" s="2220" t="s">
        <v>1916</v>
      </c>
      <c r="H7" s="64"/>
      <c r="I7" s="420">
        <f>ROUND(47886.52/17102.49,2)</f>
        <v>2.8</v>
      </c>
      <c r="J7" s="1392"/>
      <c r="K7" s="1392"/>
      <c r="L7" s="1392"/>
      <c r="M7" s="1392"/>
      <c r="N7" s="1392"/>
      <c r="O7" s="1392"/>
      <c r="P7" s="1392"/>
    </row>
    <row r="8" spans="1:16">
      <c r="A8" s="47" t="s">
        <v>1917</v>
      </c>
      <c r="B8" s="50" t="s">
        <v>1918</v>
      </c>
      <c r="C8" s="48" t="s">
        <v>1919</v>
      </c>
      <c r="D8" s="48">
        <f t="shared" ref="D8:D15" si="0">ROUND($D$3*E8/$E$3,2)</f>
        <v>0</v>
      </c>
      <c r="E8" s="51">
        <f>SUMIF('数据-基础表'!BB10:BK10,"地上",'数据-基础表'!BB5:BK5)</f>
        <v>9952.6299999999992</v>
      </c>
      <c r="F8" s="1392"/>
      <c r="G8" s="2229"/>
      <c r="H8" s="2229"/>
      <c r="I8" s="1392"/>
      <c r="J8" s="1392"/>
      <c r="K8" s="1392"/>
      <c r="L8" s="1392"/>
      <c r="M8" s="1392"/>
      <c r="N8" s="1392"/>
      <c r="O8" s="1392"/>
      <c r="P8" s="1392"/>
    </row>
    <row r="9" spans="1:16">
      <c r="A9" s="2230"/>
      <c r="B9" s="2231"/>
      <c r="C9" s="48" t="s">
        <v>1920</v>
      </c>
      <c r="D9" s="48">
        <f t="shared" si="0"/>
        <v>0</v>
      </c>
      <c r="E9" s="52">
        <v>0</v>
      </c>
      <c r="F9" s="1392"/>
      <c r="G9" s="2229"/>
      <c r="H9" s="2229"/>
      <c r="I9" s="1392"/>
      <c r="J9" s="1392"/>
      <c r="K9" s="1392"/>
      <c r="L9" s="1392"/>
      <c r="M9" s="1392"/>
      <c r="N9" s="1392"/>
      <c r="O9" s="1392"/>
      <c r="P9" s="1392"/>
    </row>
    <row r="10" spans="1:16">
      <c r="A10" s="2230"/>
      <c r="B10" s="2231"/>
      <c r="C10" s="48" t="s">
        <v>1928</v>
      </c>
      <c r="D10" s="48">
        <f t="shared" si="0"/>
        <v>0</v>
      </c>
      <c r="E10" s="51">
        <f>SUMPRODUCT(('数据-基础表'!BB10:BK10="地下")*('数据-基础表'!BB11:BK11="商业")*('数据-基础表'!BB5:BK5))</f>
        <v>0</v>
      </c>
      <c r="F10" s="1392"/>
      <c r="G10" s="2229"/>
      <c r="H10" s="2229"/>
      <c r="I10" s="1392"/>
      <c r="J10" s="1392"/>
      <c r="K10" s="1392"/>
      <c r="L10" s="1392"/>
      <c r="M10" s="1392"/>
      <c r="N10" s="1392"/>
      <c r="O10" s="1392"/>
      <c r="P10" s="1392"/>
    </row>
    <row r="11" spans="1:16">
      <c r="A11" s="2230"/>
      <c r="B11" s="2231"/>
      <c r="C11" s="48" t="s">
        <v>1921</v>
      </c>
      <c r="D11" s="48">
        <f t="shared" si="0"/>
        <v>0</v>
      </c>
      <c r="E11" s="51">
        <f>SUMPRODUCT(('数据-基础表'!BB10:BK10="地下")*('数据-基础表'!BB11:BK11="办公")*('数据-基础表'!BB5:BK5))+'数据-基础表'!BP5</f>
        <v>0</v>
      </c>
      <c r="F11" s="1392"/>
      <c r="G11" s="2229"/>
      <c r="H11" s="2229"/>
      <c r="I11" s="1392"/>
      <c r="J11" s="1392"/>
      <c r="K11" s="1392"/>
      <c r="L11" s="1392"/>
      <c r="M11" s="1392"/>
      <c r="N11" s="1392"/>
      <c r="O11" s="1392"/>
      <c r="P11" s="1392"/>
    </row>
    <row r="12" spans="1:16">
      <c r="A12" s="2230"/>
      <c r="B12" s="2231"/>
      <c r="C12" s="48" t="s">
        <v>1922</v>
      </c>
      <c r="D12" s="48">
        <f t="shared" si="0"/>
        <v>0</v>
      </c>
      <c r="E12" s="51">
        <f>SUMPRODUCT(('数据-基础表'!BB10:BK10="地下")*('数据-基础表'!BB11:BK11="仓储")*('数据-基础表'!BB5:BK5))</f>
        <v>393.1</v>
      </c>
      <c r="F12" s="1392"/>
      <c r="G12" s="2229"/>
      <c r="H12" s="2229"/>
      <c r="I12" s="1392"/>
      <c r="J12" s="1392"/>
      <c r="K12" s="1392"/>
      <c r="L12" s="1392"/>
      <c r="M12" s="1392"/>
      <c r="N12" s="1392"/>
      <c r="O12" s="1392"/>
      <c r="P12" s="1392"/>
    </row>
    <row r="13" spans="1:16">
      <c r="A13" s="2230"/>
      <c r="B13" s="2231"/>
      <c r="C13" s="48" t="s">
        <v>1923</v>
      </c>
      <c r="D13" s="48">
        <f t="shared" si="0"/>
        <v>0</v>
      </c>
      <c r="E13" s="51">
        <f>SUMPRODUCT(('数据-基础表'!BB10:BK10="地下")*('数据-基础表'!BB11:BK11="车库")*('数据-基础表'!BB5:BK5))</f>
        <v>0</v>
      </c>
      <c r="F13" s="1392"/>
      <c r="G13" s="2229"/>
      <c r="H13" s="2229"/>
      <c r="I13" s="1392"/>
      <c r="J13" s="1392"/>
      <c r="K13" s="1392"/>
      <c r="L13" s="1392"/>
      <c r="M13" s="1392"/>
      <c r="N13" s="1392"/>
      <c r="O13" s="1392"/>
      <c r="P13" s="1392"/>
    </row>
    <row r="14" spans="1:16">
      <c r="A14" s="2230"/>
      <c r="B14" s="2231"/>
      <c r="C14" s="48" t="s">
        <v>1934</v>
      </c>
      <c r="D14" s="48">
        <f t="shared" si="0"/>
        <v>0</v>
      </c>
      <c r="E14" s="51">
        <f>SUMPRODUCT(('数据-基础表'!BB10:BK10="地下")*('数据-基础表'!BB11:BK11="车库—商业")*('数据-基础表'!BB5:BK5))</f>
        <v>0</v>
      </c>
      <c r="F14" s="1392"/>
      <c r="G14" s="2229"/>
      <c r="H14" s="2229"/>
      <c r="I14" s="1392"/>
      <c r="J14" s="1392"/>
      <c r="K14" s="1392"/>
      <c r="L14" s="1392"/>
      <c r="M14" s="1392"/>
      <c r="N14" s="1392"/>
      <c r="O14" s="1392"/>
      <c r="P14" s="1392"/>
    </row>
    <row r="15" spans="1:16" ht="15" thickBot="1">
      <c r="A15" s="2230"/>
      <c r="B15" s="2231"/>
      <c r="C15" s="48" t="s">
        <v>1929</v>
      </c>
      <c r="D15" s="48">
        <f t="shared" si="0"/>
        <v>0</v>
      </c>
      <c r="E15" s="51">
        <f>SUMPRODUCT(('数据-基础表'!BB10:BK10="地下")*('数据-基础表'!BB11:BK11="车库—办公")*('数据-基础表'!BB5:BK5))</f>
        <v>0</v>
      </c>
      <c r="F15" s="1392"/>
      <c r="G15" s="2229"/>
      <c r="H15" s="2229"/>
      <c r="I15" s="1392"/>
      <c r="J15" s="1392"/>
      <c r="K15" s="1392"/>
      <c r="L15" s="1392"/>
      <c r="M15" s="1392"/>
      <c r="N15" s="1392"/>
      <c r="O15" s="1392"/>
      <c r="P15" s="1392"/>
    </row>
    <row r="16" spans="1:16" ht="15.75" thickBot="1">
      <c r="A16" s="2226"/>
      <c r="B16" s="2231"/>
      <c r="C16" s="50" t="s">
        <v>1924</v>
      </c>
      <c r="D16" s="50">
        <f>SUM(D8:D15)</f>
        <v>0</v>
      </c>
      <c r="E16" s="53">
        <f>SUM(E8:E15)</f>
        <v>10345.73</v>
      </c>
      <c r="F16" s="1392"/>
      <c r="G16" s="2229"/>
      <c r="H16" s="2232" t="s">
        <v>1935</v>
      </c>
      <c r="I16" s="2233"/>
      <c r="J16" s="1392"/>
      <c r="K16" s="3294" t="s">
        <v>1935</v>
      </c>
      <c r="L16" s="3295"/>
      <c r="M16" s="3295"/>
      <c r="N16" s="3295"/>
      <c r="O16" s="3295"/>
      <c r="P16" s="3296"/>
    </row>
    <row r="17" spans="1:19" ht="15">
      <c r="A17" s="2234" t="s">
        <v>1936</v>
      </c>
      <c r="B17" s="2235" t="s">
        <v>1937</v>
      </c>
      <c r="C17" s="2236" t="s">
        <v>1938</v>
      </c>
      <c r="D17" s="2237" t="s">
        <v>1926</v>
      </c>
      <c r="E17" s="2238" t="s">
        <v>1927</v>
      </c>
      <c r="F17" s="2239"/>
      <c r="G17" s="2240"/>
      <c r="H17" s="2241" t="s">
        <v>1939</v>
      </c>
      <c r="I17" s="2242" t="s">
        <v>3185</v>
      </c>
      <c r="J17" s="1392"/>
      <c r="K17" s="3291" t="s">
        <v>1940</v>
      </c>
      <c r="L17" s="3292"/>
      <c r="M17" s="3293"/>
      <c r="N17" s="3291" t="s">
        <v>1941</v>
      </c>
      <c r="O17" s="3292"/>
      <c r="P17" s="3293"/>
      <c r="R17" s="2220" t="s">
        <v>1942</v>
      </c>
      <c r="S17" s="64"/>
    </row>
    <row r="18" spans="1:19" ht="15">
      <c r="A18" s="2230"/>
      <c r="B18" s="2243"/>
      <c r="C18" s="2244"/>
      <c r="D18" s="2245"/>
      <c r="E18" s="2246" t="s">
        <v>1943</v>
      </c>
      <c r="F18" s="2247" t="s">
        <v>1944</v>
      </c>
      <c r="G18" s="2248" t="s">
        <v>1945</v>
      </c>
      <c r="H18" s="1262" t="s">
        <v>1946</v>
      </c>
      <c r="I18" s="2249" t="s">
        <v>1947</v>
      </c>
      <c r="J18" s="1392"/>
      <c r="K18" s="1262" t="s">
        <v>1948</v>
      </c>
      <c r="L18" s="2250" t="s">
        <v>1949</v>
      </c>
      <c r="M18" s="1046" t="s">
        <v>1950</v>
      </c>
      <c r="N18" s="1262" t="s">
        <v>1948</v>
      </c>
      <c r="O18" s="2250" t="s">
        <v>1949</v>
      </c>
      <c r="P18" s="1046" t="s">
        <v>1950</v>
      </c>
      <c r="R18" s="1247" t="s">
        <v>1951</v>
      </c>
      <c r="S18" s="1247" t="s">
        <v>1952</v>
      </c>
    </row>
    <row r="19" spans="1:19">
      <c r="A19" s="2251"/>
      <c r="B19" s="50" t="s">
        <v>1925</v>
      </c>
      <c r="C19" s="2252" t="s">
        <v>3122</v>
      </c>
      <c r="D19" s="48">
        <f>ROUND($D$3*E19/$E$3,2)</f>
        <v>0</v>
      </c>
      <c r="E19" s="56">
        <f t="shared" ref="E19:E26" si="1">SUM(F19:G19)</f>
        <v>9952.6299999999992</v>
      </c>
      <c r="F19" s="57">
        <f>'数据-基础表'!I5</f>
        <v>9952.6299999999992</v>
      </c>
      <c r="G19" s="58"/>
      <c r="H19" s="723">
        <f>ROUND($D$3*I19/$E$3,2)</f>
        <v>0</v>
      </c>
      <c r="I19" s="51">
        <f t="shared" ref="I19:I26" si="2">IF($I$17="自定义",P19,M19)</f>
        <v>1178.1799999999998</v>
      </c>
      <c r="J19" s="1392"/>
      <c r="K19" s="1391">
        <f t="shared" ref="K19:K26" si="3">ROUND(E$28*E19/E$27,2)</f>
        <v>1288.25</v>
      </c>
      <c r="L19" s="1247">
        <f t="shared" ref="L19:L26" si="4">ROUND(IF(COUNTIF(C19,"*住宅*")&gt;0,E$29*E19/E$32,0),2)</f>
        <v>72.33</v>
      </c>
      <c r="M19" s="1403">
        <f>K19+L19</f>
        <v>1360.58</v>
      </c>
      <c r="N19" s="2253">
        <v>1105.8499999999999</v>
      </c>
      <c r="O19" s="2254">
        <v>72.33</v>
      </c>
      <c r="P19" s="1403">
        <f>N19+O19</f>
        <v>1178.1799999999998</v>
      </c>
      <c r="R19" s="1247">
        <f t="shared" ref="R19:S26" si="5">D19+H19</f>
        <v>0</v>
      </c>
      <c r="S19" s="1248">
        <f t="shared" si="5"/>
        <v>11130.81</v>
      </c>
    </row>
    <row r="20" spans="1:19">
      <c r="A20" s="2255"/>
      <c r="B20" s="50" t="s">
        <v>1953</v>
      </c>
      <c r="C20" s="2252" t="s">
        <v>3206</v>
      </c>
      <c r="D20" s="48">
        <f t="shared" ref="D20:D26" si="6">ROUND($D$3*E20/$E$3,2)</f>
        <v>0</v>
      </c>
      <c r="E20" s="56">
        <f t="shared" si="1"/>
        <v>393.1</v>
      </c>
      <c r="F20" s="57"/>
      <c r="G20" s="58">
        <f>'数据-基础表'!K13</f>
        <v>393.1</v>
      </c>
      <c r="H20" s="723">
        <f t="shared" ref="H20:H26" si="7">ROUND($D$3*I20/$E$3,2)</f>
        <v>0</v>
      </c>
      <c r="I20" s="51">
        <f t="shared" si="2"/>
        <v>0</v>
      </c>
      <c r="J20" s="1392"/>
      <c r="K20" s="1391">
        <f t="shared" si="3"/>
        <v>50.88</v>
      </c>
      <c r="L20" s="1247">
        <f t="shared" si="4"/>
        <v>0</v>
      </c>
      <c r="M20" s="1403">
        <f t="shared" ref="M20:M26" si="8">K20+L20</f>
        <v>50.88</v>
      </c>
      <c r="N20" s="2253"/>
      <c r="O20" s="2254"/>
      <c r="P20" s="1403">
        <f t="shared" ref="P20:P26" si="9">N20+O20</f>
        <v>0</v>
      </c>
      <c r="R20" s="1247">
        <f t="shared" si="5"/>
        <v>0</v>
      </c>
      <c r="S20" s="1248">
        <f t="shared" si="5"/>
        <v>393.1</v>
      </c>
    </row>
    <row r="21" spans="1:19">
      <c r="A21" s="2255"/>
      <c r="B21" s="50" t="s">
        <v>1953</v>
      </c>
      <c r="C21" s="2252"/>
      <c r="D21" s="48">
        <f t="shared" si="6"/>
        <v>0</v>
      </c>
      <c r="E21" s="56">
        <f t="shared" si="1"/>
        <v>0</v>
      </c>
      <c r="F21" s="57"/>
      <c r="G21" s="58"/>
      <c r="H21" s="723">
        <f t="shared" si="7"/>
        <v>0</v>
      </c>
      <c r="I21" s="51">
        <f t="shared" si="2"/>
        <v>0</v>
      </c>
      <c r="J21" s="1392"/>
      <c r="K21" s="1391">
        <f t="shared" si="3"/>
        <v>0</v>
      </c>
      <c r="L21" s="1247">
        <f t="shared" si="4"/>
        <v>0</v>
      </c>
      <c r="M21" s="1403">
        <f t="shared" si="8"/>
        <v>0</v>
      </c>
      <c r="N21" s="2253"/>
      <c r="O21" s="2254"/>
      <c r="P21" s="1403">
        <f t="shared" si="9"/>
        <v>0</v>
      </c>
      <c r="R21" s="1247">
        <f t="shared" si="5"/>
        <v>0</v>
      </c>
      <c r="S21" s="1248">
        <f t="shared" si="5"/>
        <v>0</v>
      </c>
    </row>
    <row r="22" spans="1:19">
      <c r="A22" s="2255"/>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3"/>
      <c r="O22" s="2254"/>
      <c r="P22" s="1403">
        <f t="shared" si="9"/>
        <v>0</v>
      </c>
      <c r="R22" s="1247">
        <f t="shared" si="5"/>
        <v>0</v>
      </c>
      <c r="S22" s="1248">
        <f t="shared" si="5"/>
        <v>0</v>
      </c>
    </row>
    <row r="23" spans="1:19">
      <c r="A23" s="2255"/>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3"/>
      <c r="O23" s="2254"/>
      <c r="P23" s="1403">
        <f t="shared" si="9"/>
        <v>0</v>
      </c>
      <c r="R23" s="1247">
        <f t="shared" si="5"/>
        <v>0</v>
      </c>
      <c r="S23" s="1248">
        <f t="shared" si="5"/>
        <v>0</v>
      </c>
    </row>
    <row r="24" spans="1:19">
      <c r="A24" s="2255"/>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3"/>
      <c r="O24" s="2254"/>
      <c r="P24" s="1403">
        <f t="shared" si="9"/>
        <v>0</v>
      </c>
      <c r="R24" s="1247">
        <f t="shared" si="5"/>
        <v>0</v>
      </c>
      <c r="S24" s="1248">
        <f t="shared" si="5"/>
        <v>0</v>
      </c>
    </row>
    <row r="25" spans="1:19">
      <c r="A25" s="2255"/>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3"/>
      <c r="O25" s="2254"/>
      <c r="P25" s="1403">
        <f t="shared" si="9"/>
        <v>0</v>
      </c>
      <c r="R25" s="1247">
        <f t="shared" si="5"/>
        <v>0</v>
      </c>
      <c r="S25" s="1248">
        <f t="shared" si="5"/>
        <v>0</v>
      </c>
    </row>
    <row r="26" spans="1:19">
      <c r="A26" s="2255"/>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6"/>
      <c r="O26" s="2257"/>
      <c r="P26" s="67">
        <f t="shared" si="9"/>
        <v>0</v>
      </c>
      <c r="R26" s="1247">
        <f t="shared" si="5"/>
        <v>0</v>
      </c>
      <c r="S26" s="1248">
        <f t="shared" si="5"/>
        <v>0</v>
      </c>
    </row>
    <row r="27" spans="1:19" ht="15.75" thickBot="1">
      <c r="A27" s="2255"/>
      <c r="B27" s="48"/>
      <c r="C27" s="2258" t="s">
        <v>1954</v>
      </c>
      <c r="D27" s="1393">
        <f>SUM(D19:D26)</f>
        <v>0</v>
      </c>
      <c r="E27" s="1394">
        <f>IF(SUM(E19:E26)='数据-基础表'!BA5,SUM(E19:E26),IF(F27="地上面积有误","面积有误","地下面积有误"))</f>
        <v>10345.73</v>
      </c>
      <c r="F27" s="1393">
        <f>IF(SUM(F19:F26)=E8,SUM(F19:F26),"地上面积有误")</f>
        <v>9952.6299999999992</v>
      </c>
      <c r="G27" s="1395">
        <f>SUM(G19:G26)</f>
        <v>393.1</v>
      </c>
      <c r="H27" s="1396">
        <f>SUM(H19:H26)</f>
        <v>0</v>
      </c>
      <c r="I27" s="1397">
        <f>SUM(I19:I26)</f>
        <v>1178.1799999999998</v>
      </c>
      <c r="J27" s="1392"/>
      <c r="K27" s="1400">
        <f>SUM(K19:K26)</f>
        <v>1339.13</v>
      </c>
      <c r="L27" s="1401">
        <f>SUM(L19:L26)</f>
        <v>72.33</v>
      </c>
      <c r="M27" s="1404">
        <f>SUM(M19:M26)</f>
        <v>1411.46</v>
      </c>
      <c r="N27" s="1400">
        <f t="shared" ref="N27:O27" si="10">SUM(N19:N26)</f>
        <v>1105.8499999999999</v>
      </c>
      <c r="O27" s="1401">
        <f t="shared" si="10"/>
        <v>72.33</v>
      </c>
      <c r="P27" s="1402">
        <f>SUM(P19:P26)</f>
        <v>1178.1799999999998</v>
      </c>
      <c r="R27" s="1249">
        <f>IF(SUM(R19:R26)=$D$3,SUM(R19:R26),SUM(R19:R26)&amp;"误差"&amp;ROUND(SUM(R19:R26)-$D$3,2))</f>
        <v>0</v>
      </c>
      <c r="S27" s="1247" t="str">
        <f>IF(SUM(S19:S26)=$E$3,SUM(S19:S26),SUM(S19:S26)&amp;"误差"&amp;ROUND(SUM(S19:S26)-E3,2))</f>
        <v>11523.91误差-233.28</v>
      </c>
    </row>
    <row r="28" spans="1:19">
      <c r="A28" s="2255"/>
      <c r="B28" s="50" t="s">
        <v>1955</v>
      </c>
      <c r="C28" s="1259" t="s">
        <v>1956</v>
      </c>
      <c r="D28" s="48">
        <f>ROUND($D$3*E28/$E$3,2)</f>
        <v>0</v>
      </c>
      <c r="E28" s="56">
        <f>SUM(F28:G28)</f>
        <v>1339.1299999999999</v>
      </c>
      <c r="F28" s="64">
        <f>'数据-基础表'!BQ5+'数据-基础表'!BS5</f>
        <v>0</v>
      </c>
      <c r="G28" s="65">
        <f>'数据-基础表'!BR5+'数据-基础表'!BT5</f>
        <v>1339.1299999999999</v>
      </c>
      <c r="H28" s="1392"/>
      <c r="I28" s="1392"/>
      <c r="J28" s="1392"/>
      <c r="K28" s="1392"/>
      <c r="L28" s="1392"/>
      <c r="M28" s="1392"/>
      <c r="N28" s="1392"/>
      <c r="O28" s="1392"/>
      <c r="P28" s="1392"/>
    </row>
    <row r="29" spans="1:19">
      <c r="A29" s="2255"/>
      <c r="B29" s="50" t="s">
        <v>1955</v>
      </c>
      <c r="C29" s="2259" t="s">
        <v>1957</v>
      </c>
      <c r="D29" s="48">
        <f>ROUND($D$3*E29/$E$3,2)</f>
        <v>0</v>
      </c>
      <c r="E29" s="56">
        <f>SUM(F29:G29)</f>
        <v>72.33</v>
      </c>
      <c r="F29" s="66">
        <f>'数据-基础表'!BM5+'数据-基础表'!BO5</f>
        <v>72.33</v>
      </c>
      <c r="G29" s="67">
        <f>'数据-基础表'!BN5+'数据-基础表'!BP5</f>
        <v>0</v>
      </c>
      <c r="H29" s="1392"/>
      <c r="I29" s="1392"/>
      <c r="J29" s="1392"/>
      <c r="K29" s="1392"/>
      <c r="L29" s="1392"/>
      <c r="M29" s="1392"/>
      <c r="N29" s="1392"/>
      <c r="O29" s="1392"/>
      <c r="P29" s="1392"/>
    </row>
    <row r="30" spans="1:19" ht="15">
      <c r="A30" s="2255"/>
      <c r="B30" s="50"/>
      <c r="C30" s="2260" t="s">
        <v>1954</v>
      </c>
      <c r="D30" s="1393">
        <f>SUM(D28:D29)</f>
        <v>0</v>
      </c>
      <c r="E30" s="1393">
        <f>SUM(E28:E29)</f>
        <v>1411.4599999999998</v>
      </c>
      <c r="F30" s="1393">
        <f>SUM(F28:F29)</f>
        <v>72.33</v>
      </c>
      <c r="G30" s="1395">
        <f>SUM(G28:G29)</f>
        <v>1339.1299999999999</v>
      </c>
      <c r="H30" s="1392"/>
      <c r="I30" s="1392"/>
      <c r="J30" s="1392"/>
      <c r="K30" s="1392"/>
      <c r="L30" s="1392"/>
      <c r="M30" s="1392"/>
      <c r="N30" s="1392"/>
      <c r="O30" s="1392"/>
      <c r="P30" s="1392"/>
    </row>
    <row r="31" spans="1:19" ht="15.75" thickBot="1">
      <c r="A31" s="2261"/>
      <c r="B31" s="2262"/>
      <c r="C31" s="1007" t="s">
        <v>1958</v>
      </c>
      <c r="D31" s="729">
        <f>D27+D30</f>
        <v>0</v>
      </c>
      <c r="E31" s="729">
        <f>E27+E30</f>
        <v>11757.189999999999</v>
      </c>
      <c r="F31" s="730">
        <f>F27+F30</f>
        <v>10024.959999999999</v>
      </c>
      <c r="G31" s="731">
        <f>G27+G30</f>
        <v>1732.23</v>
      </c>
      <c r="H31" s="1392"/>
      <c r="I31" s="1392"/>
      <c r="J31" s="1392"/>
      <c r="K31" s="1392"/>
      <c r="L31" s="1392"/>
      <c r="M31" s="1392"/>
      <c r="N31" s="1392"/>
      <c r="O31" s="1392"/>
      <c r="P31" s="1392"/>
    </row>
    <row r="32" spans="1:19">
      <c r="A32" s="2225"/>
      <c r="B32" s="2225" t="s">
        <v>1959</v>
      </c>
      <c r="C32" s="2225"/>
      <c r="D32" s="2225"/>
      <c r="E32" s="1274">
        <f>SUMIF(C19:C26,"*住宅*",E19:E26)</f>
        <v>9952.6299999999992</v>
      </c>
      <c r="F32" s="2225"/>
      <c r="G32" s="2225"/>
      <c r="H32" s="1392"/>
      <c r="I32" s="1392"/>
      <c r="J32" s="1392"/>
      <c r="K32" s="1392"/>
      <c r="L32" s="1392"/>
      <c r="M32" s="1392"/>
      <c r="N32" s="1392"/>
      <c r="O32" s="1392"/>
      <c r="P32" s="1392"/>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H30" activePane="bottomRight" state="frozen"/>
      <selection activeCell="C50" sqref="C50"/>
      <selection pane="topRight" activeCell="C50" sqref="C50"/>
      <selection pane="bottomLeft" activeCell="C50" sqref="C50"/>
      <selection pane="bottomRight" activeCell="B41" sqref="B41"/>
    </sheetView>
  </sheetViews>
  <sheetFormatPr defaultColWidth="13.875" defaultRowHeight="12.75"/>
  <cols>
    <col min="1" max="1" width="20.875" style="2337" customWidth="1"/>
    <col min="2" max="2" width="12" style="2267" customWidth="1"/>
    <col min="3" max="3" width="10.8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875" style="2267" customWidth="1"/>
    <col min="31" max="31" width="8" style="2267" customWidth="1"/>
    <col min="32" max="34" width="7.125" style="2267" customWidth="1"/>
    <col min="35" max="39" width="8" style="2267" customWidth="1"/>
    <col min="40" max="40" width="13.875" style="2266"/>
    <col min="41" max="41" width="11.625" style="2266" customWidth="1"/>
    <col min="42" max="42" width="9.875" style="2266" customWidth="1"/>
    <col min="43" max="67" width="13.875" style="2266"/>
    <col min="68" max="16384" width="13.875" style="2267"/>
  </cols>
  <sheetData>
    <row r="1" spans="1:67" ht="19.5" thickBot="1">
      <c r="A1" s="2264" t="s">
        <v>1960</v>
      </c>
      <c r="B1" s="732"/>
      <c r="C1" s="1581"/>
      <c r="D1" s="2265"/>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8" t="s">
        <v>1961</v>
      </c>
      <c r="B2" s="1266">
        <f>项目基本情况!D3</f>
        <v>44425</v>
      </c>
      <c r="C2" s="2269"/>
      <c r="D2" s="2270"/>
      <c r="E2" s="2269"/>
      <c r="F2" s="2269"/>
      <c r="G2" s="2269"/>
      <c r="H2" s="2269"/>
      <c r="I2" s="2269"/>
      <c r="J2" s="2269"/>
      <c r="K2" s="1427"/>
      <c r="L2" s="1427"/>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2" customFormat="1" ht="15" thickBot="1">
      <c r="A3" s="2020"/>
      <c r="B3" s="2272"/>
      <c r="C3" s="2269"/>
      <c r="D3" s="2270"/>
      <c r="E3" s="2269"/>
      <c r="F3" s="2269"/>
      <c r="G3" s="2269"/>
      <c r="H3" s="2269"/>
      <c r="I3" s="2269"/>
      <c r="J3" s="2269"/>
      <c r="K3" s="1427"/>
      <c r="L3" s="1427"/>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2" customFormat="1" ht="15" thickBot="1">
      <c r="A4" s="68" t="s">
        <v>1962</v>
      </c>
      <c r="B4" s="2273"/>
      <c r="C4" s="2274"/>
      <c r="D4" s="2275"/>
      <c r="E4" s="2274" t="s">
        <v>1963</v>
      </c>
      <c r="F4" s="2274"/>
      <c r="G4" s="2274"/>
      <c r="H4" s="2274"/>
      <c r="I4" s="2274"/>
      <c r="J4" s="2276"/>
      <c r="K4" s="2277"/>
      <c r="L4" s="2278"/>
      <c r="M4" s="2274"/>
      <c r="N4" s="2274" t="s">
        <v>1964</v>
      </c>
      <c r="O4" s="2274"/>
      <c r="P4" s="2274"/>
      <c r="Q4" s="2274"/>
      <c r="R4" s="2274"/>
      <c r="S4" s="2276"/>
      <c r="T4" s="2279" t="str">
        <f>'数据-汇总表'!I17</f>
        <v>自定义</v>
      </c>
      <c r="U4" s="2273" t="s">
        <v>1965</v>
      </c>
      <c r="V4" s="2274"/>
      <c r="W4" s="2274"/>
      <c r="X4" s="2274"/>
      <c r="Y4" s="2276"/>
      <c r="Z4" s="2236" t="s">
        <v>1966</v>
      </c>
      <c r="AA4" s="2236"/>
      <c r="AB4" s="2236"/>
      <c r="AC4" s="2236"/>
      <c r="AD4" s="2236"/>
      <c r="AE4" s="2234" t="s">
        <v>1967</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3" customFormat="1" ht="42">
      <c r="A5" s="2281" t="s">
        <v>1968</v>
      </c>
      <c r="B5" s="2282" t="s">
        <v>1969</v>
      </c>
      <c r="C5" s="2283" t="s">
        <v>1970</v>
      </c>
      <c r="D5" s="2284" t="s">
        <v>1971</v>
      </c>
      <c r="E5" s="1268" t="s">
        <v>1972</v>
      </c>
      <c r="F5" s="2285" t="s">
        <v>1973</v>
      </c>
      <c r="G5" s="1268" t="s">
        <v>1974</v>
      </c>
      <c r="H5" s="1268" t="s">
        <v>1975</v>
      </c>
      <c r="I5" s="1268" t="s">
        <v>1976</v>
      </c>
      <c r="J5" s="2286" t="s">
        <v>1977</v>
      </c>
      <c r="K5" s="2287" t="s">
        <v>1978</v>
      </c>
      <c r="L5" s="2288" t="s">
        <v>1979</v>
      </c>
      <c r="M5" s="2289" t="s">
        <v>1980</v>
      </c>
      <c r="N5" s="2290" t="s">
        <v>3123</v>
      </c>
      <c r="O5" s="2288" t="s">
        <v>1981</v>
      </c>
      <c r="P5" s="2291" t="s">
        <v>1982</v>
      </c>
      <c r="Q5" s="69" t="s">
        <v>1983</v>
      </c>
      <c r="R5" s="2292" t="s">
        <v>1984</v>
      </c>
      <c r="S5" s="2293" t="s">
        <v>1985</v>
      </c>
      <c r="T5" s="2294" t="s">
        <v>1986</v>
      </c>
      <c r="U5" s="1267" t="s">
        <v>1987</v>
      </c>
      <c r="V5" s="1268" t="s">
        <v>1988</v>
      </c>
      <c r="W5" s="1268" t="s">
        <v>1989</v>
      </c>
      <c r="X5" s="71"/>
      <c r="Y5" s="70" t="s">
        <v>1990</v>
      </c>
      <c r="Z5" s="2295" t="s">
        <v>1987</v>
      </c>
      <c r="AA5" s="1268" t="s">
        <v>1988</v>
      </c>
      <c r="AB5" s="1268" t="s">
        <v>1989</v>
      </c>
      <c r="AC5" s="71"/>
      <c r="AD5" s="71" t="s">
        <v>1990</v>
      </c>
      <c r="AE5" s="1267" t="s">
        <v>1991</v>
      </c>
      <c r="AF5" s="1268" t="s">
        <v>1992</v>
      </c>
      <c r="AG5" s="70" t="s">
        <v>1993</v>
      </c>
      <c r="AH5" s="1267" t="s">
        <v>1994</v>
      </c>
      <c r="AI5" s="2295" t="s">
        <v>1995</v>
      </c>
      <c r="AJ5" s="2295" t="s">
        <v>1996</v>
      </c>
      <c r="AK5" s="1268" t="s">
        <v>1997</v>
      </c>
      <c r="AL5" s="1268" t="s">
        <v>1998</v>
      </c>
      <c r="AM5" s="70" t="s">
        <v>1999</v>
      </c>
      <c r="AN5" s="2296" t="s">
        <v>2000</v>
      </c>
      <c r="AO5" s="2066" t="s">
        <v>2001</v>
      </c>
      <c r="AP5" s="1249" t="s">
        <v>2002</v>
      </c>
      <c r="AQ5" s="2297" t="s">
        <v>2003</v>
      </c>
      <c r="AR5" s="2297" t="s">
        <v>2004</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2" customFormat="1" ht="14.25">
      <c r="A6" s="2298" t="str">
        <f>'数据-汇总表'!C19</f>
        <v>住宅</v>
      </c>
      <c r="B6" s="2299" t="str">
        <f>IF(A6=0,"","经营性")</f>
        <v>经营性</v>
      </c>
      <c r="C6" s="2300" t="s">
        <v>3113</v>
      </c>
      <c r="D6" s="1051">
        <f>SUMIF(项目基本情况!D$12:I$12,C6,项目基本情况!D$14:I$14)</f>
        <v>70</v>
      </c>
      <c r="E6" s="1048">
        <f>IF(B6="","",SUMIF(项目基本情况!D$12:I$12,C6,项目基本情况!D$13:I$13))</f>
        <v>70358</v>
      </c>
      <c r="F6" s="72">
        <f>SUMIF(项目基本情况!D$12:I$12,C6,项目基本情况!D$15:I$15)</f>
        <v>70</v>
      </c>
      <c r="G6" s="73">
        <f>IF(ISERROR(ROUND(POWER(1+H6,D6-F6)*(POWER(1+H6,F6)-1)/(POWER(1+H6,D6)-1),3)),0,ROUND(POWER(1+H6,D6-F6)*(POWER(1+H6,F6)-1)/(POWER(1+H6,D6)-1),3))</f>
        <v>1</v>
      </c>
      <c r="H6" s="802">
        <v>3.5000000000000003E-2</v>
      </c>
      <c r="I6" s="3108">
        <v>5.5E-2</v>
      </c>
      <c r="J6" s="74">
        <v>0.08</v>
      </c>
      <c r="K6" s="1251">
        <f>SUMIF('数据-汇总表'!C$19:C$33,A6,'数据-汇总表'!E$19:E$33)</f>
        <v>9952.6299999999992</v>
      </c>
      <c r="L6" s="3005">
        <f>3000+800+1500+250</f>
        <v>5550</v>
      </c>
      <c r="M6" s="75">
        <f t="shared" ref="M6:M14" si="0">ROUND(K6*L6/10000,0)</f>
        <v>5524</v>
      </c>
      <c r="N6" s="801">
        <v>1</v>
      </c>
      <c r="O6" s="75" t="str">
        <f>IF($N$5="成新度","——",ROUND(M6*N6,0))</f>
        <v>——</v>
      </c>
      <c r="P6" s="76" t="str">
        <f>IF($N$5="成新度","——",M6-O6)</f>
        <v>——</v>
      </c>
      <c r="Q6" s="804">
        <v>0.03</v>
      </c>
      <c r="R6" s="77">
        <f ca="1">SUMIF('数据-汇总表'!C$19:C$33,A6,'数据-汇总表'!R$19:R$27)</f>
        <v>0</v>
      </c>
      <c r="S6" s="54">
        <f>IF('数据-汇总表'!$I$17="按面积比例",SUMIF('数据-汇总表'!C$19:C$33,A6,'数据-汇总表'!K$19:K$33),SUMIF('数据-汇总表'!C$19:C$33,A6,'数据-汇总表'!N$19:N$33))</f>
        <v>1105.8499999999999</v>
      </c>
      <c r="T6" s="1443">
        <f>ROUND($L$14*S6/10000,0)</f>
        <v>442</v>
      </c>
      <c r="U6" s="78">
        <v>50</v>
      </c>
      <c r="V6" s="79">
        <v>3.1E-2</v>
      </c>
      <c r="W6" s="79">
        <v>0.1</v>
      </c>
      <c r="X6" s="1261"/>
      <c r="Y6" s="80">
        <v>1</v>
      </c>
      <c r="Z6" s="81"/>
      <c r="AA6" s="74"/>
      <c r="AB6" s="74"/>
      <c r="AC6" s="1261"/>
      <c r="AD6" s="82"/>
      <c r="AE6" s="1262">
        <f t="shared" ref="AE6:AE13" ca="1" si="1">IF(AN6="",0,SUMIF(INDIRECT("'"&amp;AN6&amp;"'"&amp;"!E:E"),$AE$5,INDIRECT("'"&amp;AN6&amp;"'"&amp;"!F:F")))</f>
        <v>70</v>
      </c>
      <c r="AF6" s="1796"/>
      <c r="AG6" s="147">
        <f>IF(AF6="",0,AE6-AF6)</f>
        <v>0</v>
      </c>
      <c r="AH6" s="83">
        <f>'数据-汇总表'!F19</f>
        <v>9952.6299999999992</v>
      </c>
      <c r="AI6" s="85">
        <v>12</v>
      </c>
      <c r="AJ6" s="86"/>
      <c r="AK6" s="87">
        <v>1.7000000000000001E-2</v>
      </c>
      <c r="AL6" s="88">
        <v>1.5E-3</v>
      </c>
      <c r="AM6" s="89">
        <v>0.01</v>
      </c>
      <c r="AN6" s="2301" t="s">
        <v>3132</v>
      </c>
      <c r="AO6" s="55">
        <f t="shared" ref="AO6:AO13" ca="1" si="2">SUMIF(INDIRECT("'"&amp;AN6&amp;"'"&amp;"!A:A"),"总价",INDIRECT("'"&amp;AN6&amp;"'"&amp;"!B:B"))</f>
        <v>10770</v>
      </c>
      <c r="AP6" s="2302">
        <f>IF(C6="住宅",K6*L6,0)</f>
        <v>55237096.499999993</v>
      </c>
      <c r="AQ6" s="55">
        <f>ROUND($L$14*$N$14*S6/10000,0)</f>
        <v>442</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2" customFormat="1" ht="14.25">
      <c r="A7" s="2298" t="str">
        <f>'数据-汇总表'!C20</f>
        <v>仓储</v>
      </c>
      <c r="B7" s="2299" t="str">
        <f t="shared" ref="B7:B13" si="3">IF(A7=0,"","经营性")</f>
        <v>经营性</v>
      </c>
      <c r="C7" s="2300" t="s">
        <v>3196</v>
      </c>
      <c r="D7" s="1051">
        <f>SUMIF(项目基本情况!D$12:I$12,C7,项目基本情况!D$14:I$14)</f>
        <v>50</v>
      </c>
      <c r="E7" s="1048">
        <f>IF(B7="","",SUMIF(项目基本情况!D$12:I$12,C7,项目基本情况!D$13:I$13))</f>
        <v>63053</v>
      </c>
      <c r="F7" s="72">
        <f>SUMIF(项目基本情况!D$12:I$12,C7,项目基本情况!D$15:I$15)</f>
        <v>50</v>
      </c>
      <c r="G7" s="73">
        <f t="shared" ref="G7:G11" si="4">IF(ISERROR(ROUND(POWER(1+H7,D7-F7)*(POWER(1+H7,F7)-1)/(POWER(1+H7,D7)-1),3)),0,ROUND(POWER(1+H7,D7-F7)*(POWER(1+H7,F7)-1)/(POWER(1+H7,D7)-1),3))</f>
        <v>1</v>
      </c>
      <c r="H7" s="802">
        <f>H6</f>
        <v>3.5000000000000003E-2</v>
      </c>
      <c r="I7" s="3109">
        <v>5.5E-2</v>
      </c>
      <c r="J7" s="802">
        <f t="shared" ref="J7" si="5">J6</f>
        <v>0.08</v>
      </c>
      <c r="K7" s="1251">
        <f>SUMIF('数据-汇总表'!C$19:C$33,A7,'数据-汇总表'!E$19:E$33)</f>
        <v>393.1</v>
      </c>
      <c r="L7" s="3005">
        <f>Sheet1!H25</f>
        <v>3500</v>
      </c>
      <c r="M7" s="75">
        <f t="shared" si="0"/>
        <v>138</v>
      </c>
      <c r="N7" s="801">
        <f>N6</f>
        <v>1</v>
      </c>
      <c r="O7" s="75" t="str">
        <f t="shared" ref="O7:O14" si="6">IF($N$5="成新度","——",ROUND(M7*N7,0))</f>
        <v>——</v>
      </c>
      <c r="P7" s="76" t="str">
        <f t="shared" ref="P7:P14" si="7">IF($N$5="成新度","——",M7-O7)</f>
        <v>——</v>
      </c>
      <c r="Q7" s="804">
        <v>0.01</v>
      </c>
      <c r="R7" s="77">
        <f ca="1">SUMIF('数据-汇总表'!C$19:C$33,A7,'数据-汇总表'!R$19:R$27)</f>
        <v>0</v>
      </c>
      <c r="S7" s="54">
        <f>IF('数据-汇总表'!$I$17="按面积比例",SUMIF('数据-汇总表'!C$19:C$33,A7,'数据-汇总表'!K$19:K$33),SUMIF('数据-汇总表'!C$19:C$33,A7,'数据-汇总表'!N$19:N$33))</f>
        <v>0</v>
      </c>
      <c r="T7" s="1443">
        <f t="shared" ref="T7:T13" si="8">ROUND($L$14*S7/10000,0)</f>
        <v>0</v>
      </c>
      <c r="U7" s="78">
        <v>30</v>
      </c>
      <c r="V7" s="79">
        <v>0.01</v>
      </c>
      <c r="W7" s="79">
        <v>0.1</v>
      </c>
      <c r="X7" s="1261"/>
      <c r="Y7" s="80">
        <v>1</v>
      </c>
      <c r="Z7" s="81"/>
      <c r="AA7" s="74"/>
      <c r="AB7" s="74"/>
      <c r="AC7" s="1261"/>
      <c r="AD7" s="82"/>
      <c r="AE7" s="1262">
        <f t="shared" ca="1" si="1"/>
        <v>50</v>
      </c>
      <c r="AF7" s="1796"/>
      <c r="AG7" s="147">
        <f t="shared" ref="AG7:AG13" si="9">IF(AF7="",0,AE7-AF7)</f>
        <v>0</v>
      </c>
      <c r="AH7" s="83">
        <f>Sheet1!C25</f>
        <v>2574.5100000000002</v>
      </c>
      <c r="AI7" s="85">
        <v>12</v>
      </c>
      <c r="AJ7" s="86"/>
      <c r="AK7" s="87">
        <v>1.2999999999999999E-2</v>
      </c>
      <c r="AL7" s="87">
        <f t="shared" ref="AL7:AM7" si="10">AL6</f>
        <v>1.5E-3</v>
      </c>
      <c r="AM7" s="87">
        <f t="shared" si="10"/>
        <v>0.01</v>
      </c>
      <c r="AN7" s="2301" t="s">
        <v>3204</v>
      </c>
      <c r="AO7" s="55">
        <f t="shared" ca="1" si="2"/>
        <v>177</v>
      </c>
      <c r="AP7" s="2302">
        <f t="shared" ref="AP7:AP13" si="11">IF(C7="住宅",K7*L7,0)</f>
        <v>0</v>
      </c>
      <c r="AQ7" s="55">
        <f t="shared" ref="AQ7:AQ13" si="12">ROUND($L$14*$N$14*S7/10000,0)</f>
        <v>0</v>
      </c>
      <c r="AR7" s="55">
        <f t="shared" ref="AR7:AR13" si="13">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2" customFormat="1" ht="14.25">
      <c r="A8" s="2298">
        <f>'数据-汇总表'!C21</f>
        <v>0</v>
      </c>
      <c r="B8" s="2299" t="str">
        <f t="shared" si="3"/>
        <v/>
      </c>
      <c r="C8" s="2300"/>
      <c r="D8" s="1051">
        <f>SUMIF(项目基本情况!D$12:I$12,C8,项目基本情况!D$14:I$14)</f>
        <v>0</v>
      </c>
      <c r="E8" s="1048" t="str">
        <f>IF(B8="","",SUMIF(项目基本情况!D$12:I$12,C8,项目基本情况!D$13:I$13))</f>
        <v/>
      </c>
      <c r="F8" s="72">
        <f>SUMIF(项目基本情况!D$12:I$12,C8,项目基本情况!D$15:I$15)</f>
        <v>0</v>
      </c>
      <c r="G8" s="73">
        <f t="shared" si="4"/>
        <v>0</v>
      </c>
      <c r="H8" s="802"/>
      <c r="I8" s="802"/>
      <c r="J8" s="74"/>
      <c r="K8" s="1251">
        <f>SUMIF('数据-汇总表'!C$19:C$33,A8,'数据-汇总表'!E$19:E$33)</f>
        <v>0</v>
      </c>
      <c r="L8" s="803"/>
      <c r="M8" s="75">
        <f>ROUND(K8*L8/10000,0)</f>
        <v>0</v>
      </c>
      <c r="N8" s="801"/>
      <c r="O8" s="75" t="str">
        <f t="shared" si="6"/>
        <v>——</v>
      </c>
      <c r="P8" s="76" t="str">
        <f t="shared" si="7"/>
        <v>——</v>
      </c>
      <c r="Q8" s="804"/>
      <c r="R8" s="77">
        <f ca="1">SUMIF('数据-汇总表'!C$19:C$33,A8,'数据-汇总表'!R$19:R$27)</f>
        <v>0</v>
      </c>
      <c r="S8" s="54">
        <f>IF('数据-汇总表'!$I$17="按面积比例",SUMIF('数据-汇总表'!C$19:C$33,A8,'数据-汇总表'!K$19:K$33),SUMIF('数据-汇总表'!C$19:C$33,A8,'数据-汇总表'!N$19:N$33))</f>
        <v>0</v>
      </c>
      <c r="T8" s="1443">
        <f t="shared" si="8"/>
        <v>0</v>
      </c>
      <c r="U8" s="805"/>
      <c r="V8" s="806"/>
      <c r="W8" s="806"/>
      <c r="X8" s="1261"/>
      <c r="Y8" s="807"/>
      <c r="Z8" s="81"/>
      <c r="AA8" s="74"/>
      <c r="AB8" s="74"/>
      <c r="AC8" s="1261"/>
      <c r="AD8" s="82"/>
      <c r="AE8" s="1262">
        <f t="shared" ca="1" si="1"/>
        <v>0</v>
      </c>
      <c r="AF8" s="1796"/>
      <c r="AG8" s="147">
        <f t="shared" si="9"/>
        <v>0</v>
      </c>
      <c r="AH8" s="808"/>
      <c r="AI8" s="85"/>
      <c r="AJ8" s="86"/>
      <c r="AK8" s="809"/>
      <c r="AL8" s="810"/>
      <c r="AM8" s="811"/>
      <c r="AN8" s="2301"/>
      <c r="AO8" s="55" t="e">
        <f t="shared" ca="1" si="2"/>
        <v>#REF!</v>
      </c>
      <c r="AP8" s="2302">
        <f t="shared" si="11"/>
        <v>0</v>
      </c>
      <c r="AQ8" s="55">
        <f t="shared" si="12"/>
        <v>0</v>
      </c>
      <c r="AR8" s="55">
        <f t="shared" si="13"/>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2" customFormat="1" ht="14.25">
      <c r="A9" s="2298">
        <f>'数据-汇总表'!C22</f>
        <v>0</v>
      </c>
      <c r="B9" s="2299" t="str">
        <f t="shared" si="3"/>
        <v/>
      </c>
      <c r="C9" s="2300"/>
      <c r="D9" s="1051">
        <f>SUMIF(项目基本情况!D$12:I$12,C9,项目基本情况!D$14:I$14)</f>
        <v>0</v>
      </c>
      <c r="E9" s="1048" t="str">
        <f>IF(B9="","",SUMIF(项目基本情况!D$12:I$12,C9,项目基本情况!D$13:I$13))</f>
        <v/>
      </c>
      <c r="F9" s="72">
        <f>SUMIF(项目基本情况!D$12:I$12,C9,项目基本情况!D$15:I$15)</f>
        <v>0</v>
      </c>
      <c r="G9" s="73">
        <f t="shared" si="4"/>
        <v>0</v>
      </c>
      <c r="H9" s="74"/>
      <c r="I9" s="74"/>
      <c r="J9" s="74"/>
      <c r="K9" s="1251">
        <f>SUMIF('数据-汇总表'!C$19:C$33,A9,'数据-汇总表'!E$19:E$33)</f>
        <v>0</v>
      </c>
      <c r="L9" s="803"/>
      <c r="M9" s="75">
        <f t="shared" si="0"/>
        <v>0</v>
      </c>
      <c r="N9" s="801"/>
      <c r="O9" s="75" t="str">
        <f t="shared" si="6"/>
        <v>——</v>
      </c>
      <c r="P9" s="76" t="str">
        <f t="shared" si="7"/>
        <v>——</v>
      </c>
      <c r="Q9" s="90"/>
      <c r="R9" s="77">
        <f ca="1">SUMIF('数据-汇总表'!C$19:C$33,A9,'数据-汇总表'!R$19:R$27)</f>
        <v>0</v>
      </c>
      <c r="S9" s="54">
        <f>IF('数据-汇总表'!$I$17="按面积比例",SUMIF('数据-汇总表'!C$19:C$33,A9,'数据-汇总表'!K$19:K$33),SUMIF('数据-汇总表'!C$19:C$33,A9,'数据-汇总表'!N$19:N$33))</f>
        <v>0</v>
      </c>
      <c r="T9" s="1443">
        <f t="shared" si="8"/>
        <v>0</v>
      </c>
      <c r="U9" s="78"/>
      <c r="V9" s="79"/>
      <c r="W9" s="79"/>
      <c r="X9" s="1261"/>
      <c r="Y9" s="80"/>
      <c r="Z9" s="81"/>
      <c r="AA9" s="74"/>
      <c r="AB9" s="74"/>
      <c r="AC9" s="1261"/>
      <c r="AD9" s="82"/>
      <c r="AE9" s="1262">
        <f t="shared" ca="1" si="1"/>
        <v>0</v>
      </c>
      <c r="AF9" s="1796"/>
      <c r="AG9" s="147">
        <f t="shared" si="9"/>
        <v>0</v>
      </c>
      <c r="AH9" s="83"/>
      <c r="AI9" s="85"/>
      <c r="AJ9" s="86"/>
      <c r="AK9" s="87"/>
      <c r="AL9" s="88"/>
      <c r="AM9" s="89"/>
      <c r="AN9" s="2301"/>
      <c r="AO9" s="55" t="e">
        <f t="shared" ca="1" si="2"/>
        <v>#REF!</v>
      </c>
      <c r="AP9" s="2302">
        <f t="shared" si="11"/>
        <v>0</v>
      </c>
      <c r="AQ9" s="55">
        <f t="shared" si="12"/>
        <v>0</v>
      </c>
      <c r="AR9" s="55">
        <f t="shared" si="13"/>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2" customFormat="1" ht="14.25">
      <c r="A10" s="2298">
        <f>'数据-汇总表'!C23</f>
        <v>0</v>
      </c>
      <c r="B10" s="2299" t="str">
        <f t="shared" si="3"/>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4"/>
        <v>0</v>
      </c>
      <c r="H10" s="74"/>
      <c r="I10" s="74"/>
      <c r="J10" s="74"/>
      <c r="K10" s="1251">
        <f>SUMIF('数据-汇总表'!C$19:C$33,A10,'数据-汇总表'!E$19:E$33)</f>
        <v>0</v>
      </c>
      <c r="L10" s="803"/>
      <c r="M10" s="75">
        <f t="shared" si="0"/>
        <v>0</v>
      </c>
      <c r="N10" s="801"/>
      <c r="O10" s="75" t="str">
        <f t="shared" si="6"/>
        <v>——</v>
      </c>
      <c r="P10" s="76" t="str">
        <f t="shared" si="7"/>
        <v>——</v>
      </c>
      <c r="Q10" s="90"/>
      <c r="R10" s="77">
        <f ca="1">SUMIF('数据-汇总表'!C$19:C$33,A10,'数据-汇总表'!R$19:R$27)</f>
        <v>0</v>
      </c>
      <c r="S10" s="54">
        <f>IF('数据-汇总表'!$I$17="按面积比例",SUMIF('数据-汇总表'!C$19:C$33,A10,'数据-汇总表'!K$19:K$33),SUMIF('数据-汇总表'!C$19:C$33,A10,'数据-汇总表'!N$19:N$33))</f>
        <v>0</v>
      </c>
      <c r="T10" s="1443">
        <f t="shared" si="8"/>
        <v>0</v>
      </c>
      <c r="U10" s="78"/>
      <c r="V10" s="79"/>
      <c r="W10" s="79"/>
      <c r="X10" s="1261"/>
      <c r="Y10" s="80"/>
      <c r="Z10" s="81"/>
      <c r="AA10" s="74"/>
      <c r="AB10" s="74"/>
      <c r="AC10" s="1261"/>
      <c r="AD10" s="82"/>
      <c r="AE10" s="1262">
        <f t="shared" ca="1" si="1"/>
        <v>0</v>
      </c>
      <c r="AF10" s="1796"/>
      <c r="AG10" s="147">
        <f t="shared" si="9"/>
        <v>0</v>
      </c>
      <c r="AH10" s="83"/>
      <c r="AI10" s="85"/>
      <c r="AJ10" s="86"/>
      <c r="AK10" s="87"/>
      <c r="AL10" s="88"/>
      <c r="AM10" s="89"/>
      <c r="AN10" s="2301"/>
      <c r="AO10" s="55" t="e">
        <f t="shared" ca="1" si="2"/>
        <v>#REF!</v>
      </c>
      <c r="AP10" s="2302">
        <f t="shared" si="11"/>
        <v>0</v>
      </c>
      <c r="AQ10" s="55">
        <f t="shared" si="12"/>
        <v>0</v>
      </c>
      <c r="AR10" s="55">
        <f t="shared" si="13"/>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2" customFormat="1" ht="14.25">
      <c r="A11" s="2298">
        <f>'数据-汇总表'!C24</f>
        <v>0</v>
      </c>
      <c r="B11" s="2299" t="str">
        <f t="shared" si="3"/>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4"/>
        <v>0</v>
      </c>
      <c r="H11" s="74"/>
      <c r="I11" s="74"/>
      <c r="J11" s="74"/>
      <c r="K11" s="1251">
        <f>SUMIF('数据-汇总表'!C$19:C$33,A11,'数据-汇总表'!E$19:E$33)</f>
        <v>0</v>
      </c>
      <c r="L11" s="91"/>
      <c r="M11" s="75">
        <f t="shared" si="0"/>
        <v>0</v>
      </c>
      <c r="N11" s="92"/>
      <c r="O11" s="75" t="str">
        <f t="shared" si="6"/>
        <v>——</v>
      </c>
      <c r="P11" s="76" t="str">
        <f t="shared" si="7"/>
        <v>——</v>
      </c>
      <c r="Q11" s="90"/>
      <c r="R11" s="77">
        <f ca="1">SUMIF('数据-汇总表'!C$19:C$33,A11,'数据-汇总表'!R$19:R$27)</f>
        <v>0</v>
      </c>
      <c r="S11" s="54">
        <f>IF('数据-汇总表'!$I$17="按面积比例",SUMIF('数据-汇总表'!C$19:C$33,A11,'数据-汇总表'!K$19:K$33),SUMIF('数据-汇总表'!C$19:C$33,A11,'数据-汇总表'!N$19:N$33))</f>
        <v>0</v>
      </c>
      <c r="T11" s="1443">
        <f t="shared" si="8"/>
        <v>0</v>
      </c>
      <c r="U11" s="83"/>
      <c r="V11" s="74"/>
      <c r="W11" s="74"/>
      <c r="X11" s="1261"/>
      <c r="Y11" s="80"/>
      <c r="Z11" s="93"/>
      <c r="AA11" s="74"/>
      <c r="AB11" s="74"/>
      <c r="AC11" s="1261"/>
      <c r="AD11" s="82"/>
      <c r="AE11" s="1262">
        <f t="shared" ca="1" si="1"/>
        <v>0</v>
      </c>
      <c r="AF11" s="1796"/>
      <c r="AG11" s="147">
        <f t="shared" si="9"/>
        <v>0</v>
      </c>
      <c r="AH11" s="83"/>
      <c r="AI11" s="85"/>
      <c r="AJ11" s="86"/>
      <c r="AK11" s="94"/>
      <c r="AL11" s="95"/>
      <c r="AM11" s="96"/>
      <c r="AN11" s="2301"/>
      <c r="AO11" s="55" t="e">
        <f t="shared" ca="1" si="2"/>
        <v>#REF!</v>
      </c>
      <c r="AP11" s="2302">
        <f t="shared" si="11"/>
        <v>0</v>
      </c>
      <c r="AQ11" s="55">
        <f t="shared" si="12"/>
        <v>0</v>
      </c>
      <c r="AR11" s="55">
        <f t="shared" si="13"/>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2" customFormat="1" ht="14.25">
      <c r="A12" s="2298">
        <f>'数据-汇总表'!C25</f>
        <v>0</v>
      </c>
      <c r="B12" s="2299" t="str">
        <f t="shared" si="3"/>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6"/>
        <v>——</v>
      </c>
      <c r="P12" s="76" t="str">
        <f t="shared" si="7"/>
        <v>——</v>
      </c>
      <c r="Q12" s="90"/>
      <c r="R12" s="77">
        <f ca="1">SUMIF('数据-汇总表'!C$19:C$33,A12,'数据-汇总表'!R$19:R$27)</f>
        <v>0</v>
      </c>
      <c r="S12" s="54">
        <f>IF('数据-汇总表'!$I$17="按面积比例",SUMIF('数据-汇总表'!C$19:C$33,A12,'数据-汇总表'!K$19:K$33),SUMIF('数据-汇总表'!C$19:C$33,A12,'数据-汇总表'!N$19:N$33))</f>
        <v>0</v>
      </c>
      <c r="T12" s="1443">
        <f t="shared" si="8"/>
        <v>0</v>
      </c>
      <c r="U12" s="83"/>
      <c r="V12" s="74"/>
      <c r="W12" s="74"/>
      <c r="X12" s="1261"/>
      <c r="Y12" s="80"/>
      <c r="Z12" s="93"/>
      <c r="AA12" s="74"/>
      <c r="AB12" s="74"/>
      <c r="AC12" s="1261"/>
      <c r="AD12" s="82"/>
      <c r="AE12" s="1262">
        <f t="shared" ca="1" si="1"/>
        <v>0</v>
      </c>
      <c r="AF12" s="1796"/>
      <c r="AG12" s="147">
        <f t="shared" si="9"/>
        <v>0</v>
      </c>
      <c r="AH12" s="83"/>
      <c r="AI12" s="85"/>
      <c r="AJ12" s="86"/>
      <c r="AK12" s="94"/>
      <c r="AL12" s="95"/>
      <c r="AM12" s="96"/>
      <c r="AN12" s="2301"/>
      <c r="AO12" s="55" t="e">
        <f t="shared" ca="1" si="2"/>
        <v>#REF!</v>
      </c>
      <c r="AP12" s="2302">
        <f t="shared" si="11"/>
        <v>0</v>
      </c>
      <c r="AQ12" s="55">
        <f t="shared" si="12"/>
        <v>0</v>
      </c>
      <c r="AR12" s="55">
        <f t="shared" si="13"/>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2" customFormat="1" ht="14.25">
      <c r="A13" s="2298">
        <f>'数据-汇总表'!C26</f>
        <v>0</v>
      </c>
      <c r="B13" s="2299" t="str">
        <f t="shared" si="3"/>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6"/>
        <v>——</v>
      </c>
      <c r="P13" s="76" t="str">
        <f t="shared" si="7"/>
        <v>——</v>
      </c>
      <c r="Q13" s="90"/>
      <c r="R13" s="77">
        <f ca="1">SUMIF('数据-汇总表'!C$19:C$33,A13,'数据-汇总表'!R$19:R$27)</f>
        <v>0</v>
      </c>
      <c r="S13" s="54">
        <f>IF('数据-汇总表'!$I$17="按面积比例",SUMIF('数据-汇总表'!C$19:C$33,A13,'数据-汇总表'!K$19:K$33),SUMIF('数据-汇总表'!C$19:C$33,A13,'数据-汇总表'!N$19:N$33))</f>
        <v>0</v>
      </c>
      <c r="T13" s="1443">
        <f t="shared" si="8"/>
        <v>0</v>
      </c>
      <c r="U13" s="78"/>
      <c r="V13" s="79"/>
      <c r="W13" s="79"/>
      <c r="X13" s="1261"/>
      <c r="Y13" s="80"/>
      <c r="Z13" s="81"/>
      <c r="AA13" s="74"/>
      <c r="AB13" s="74"/>
      <c r="AC13" s="1261"/>
      <c r="AD13" s="82"/>
      <c r="AE13" s="1262">
        <f t="shared" ca="1" si="1"/>
        <v>0</v>
      </c>
      <c r="AF13" s="1796"/>
      <c r="AG13" s="147">
        <f t="shared" si="9"/>
        <v>0</v>
      </c>
      <c r="AH13" s="83"/>
      <c r="AI13" s="85"/>
      <c r="AJ13" s="86"/>
      <c r="AK13" s="87"/>
      <c r="AL13" s="88"/>
      <c r="AM13" s="89"/>
      <c r="AN13" s="2301"/>
      <c r="AO13" s="55" t="e">
        <f t="shared" ca="1" si="2"/>
        <v>#REF!</v>
      </c>
      <c r="AP13" s="2302">
        <f t="shared" si="11"/>
        <v>0</v>
      </c>
      <c r="AQ13" s="55">
        <f t="shared" si="12"/>
        <v>0</v>
      </c>
      <c r="AR13" s="55">
        <f t="shared" si="13"/>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2" customFormat="1" ht="14.25">
      <c r="A14" s="2303" t="s">
        <v>2005</v>
      </c>
      <c r="B14" s="2299" t="s">
        <v>2006</v>
      </c>
      <c r="C14" s="2304" t="s">
        <v>2005</v>
      </c>
      <c r="D14" s="1051"/>
      <c r="E14" s="1048"/>
      <c r="F14" s="72"/>
      <c r="G14" s="73"/>
      <c r="H14" s="1250"/>
      <c r="I14" s="1250"/>
      <c r="J14" s="1250"/>
      <c r="K14" s="1251">
        <f>SUMIF('数据-汇总表'!C$19:C$33,A14,'数据-汇总表'!E$19:E$33)</f>
        <v>1339.1299999999999</v>
      </c>
      <c r="L14" s="91">
        <v>4000</v>
      </c>
      <c r="M14" s="75">
        <f t="shared" si="0"/>
        <v>536</v>
      </c>
      <c r="N14" s="92">
        <f>N6</f>
        <v>1</v>
      </c>
      <c r="O14" s="75" t="str">
        <f t="shared" si="6"/>
        <v>——</v>
      </c>
      <c r="P14" s="76" t="str">
        <f t="shared" si="7"/>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2" customFormat="1" ht="27">
      <c r="A15" s="2303" t="s">
        <v>2007</v>
      </c>
      <c r="B15" s="2299" t="s">
        <v>2006</v>
      </c>
      <c r="C15" s="2304" t="s">
        <v>2008</v>
      </c>
      <c r="D15" s="1051"/>
      <c r="E15" s="1048"/>
      <c r="F15" s="72"/>
      <c r="G15" s="73"/>
      <c r="H15" s="1250"/>
      <c r="I15" s="1250"/>
      <c r="J15" s="1250"/>
      <c r="K15" s="1251">
        <f>SUMIF('数据-汇总表'!C$19:C$33,A15,'数据-汇总表'!E$19:E$33)</f>
        <v>72.33</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2" customFormat="1" ht="15.75" thickBot="1">
      <c r="A16" s="2305" t="s">
        <v>2009</v>
      </c>
      <c r="B16" s="97"/>
      <c r="C16" s="1005"/>
      <c r="D16" s="2306"/>
      <c r="E16" s="97"/>
      <c r="F16" s="97"/>
      <c r="G16" s="98">
        <f>ROUND(SUMPRODUCT(G6:G13,K6:K13)/SUMPRODUCT((G6:G13&gt;0)*(K6:K13)),3)</f>
        <v>1</v>
      </c>
      <c r="H16" s="99">
        <f>ROUND(SUMPRODUCT(H6:H13,K6:K13)/SUMPRODUCT((H6:H13&gt;0)*(K6:K13)),3)</f>
        <v>3.5000000000000003E-2</v>
      </c>
      <c r="I16" s="100"/>
      <c r="J16" s="100"/>
      <c r="K16" s="101">
        <f>SUM(K6:K15)</f>
        <v>11757.189999999999</v>
      </c>
      <c r="L16" s="102">
        <f>ROUND(M16*10000/SUM(K6:K14),0)</f>
        <v>5304</v>
      </c>
      <c r="M16" s="102">
        <f>SUM(M6:M14)</f>
        <v>6198</v>
      </c>
      <c r="N16" s="103">
        <f>ROUND(SUMPRODUCT(M6:M14,N6:N14)/M16,3)</f>
        <v>1</v>
      </c>
      <c r="O16" s="102">
        <f>SUM(O6:O14)</f>
        <v>0</v>
      </c>
      <c r="P16" s="102">
        <f>SUM(P6:P14)</f>
        <v>0</v>
      </c>
      <c r="Q16" s="104">
        <f>ROUND(SUMPRODUCT(Q6:Q13,K6:K13)/SUMPRODUCT((Q6:Q13&gt;0)*(K6:K13)),2)</f>
        <v>0.03</v>
      </c>
      <c r="R16" s="1255">
        <f ca="1">SUM(R6:R13)</f>
        <v>0</v>
      </c>
      <c r="S16" s="105">
        <f>SUM(S6:S13)</f>
        <v>1105.8499999999999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81"/>
      <c r="D17" s="2265"/>
      <c r="E17" s="2265"/>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2"/>
      <c r="C18" s="2269"/>
      <c r="D18" s="2270"/>
      <c r="E18" s="2269"/>
      <c r="F18" s="2269"/>
      <c r="G18" s="2269"/>
      <c r="H18" s="2269"/>
      <c r="I18" s="2269"/>
      <c r="J18" s="2269"/>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8" t="s">
        <v>2011</v>
      </c>
      <c r="B19" s="112">
        <v>0</v>
      </c>
      <c r="C19" s="2269" t="s">
        <v>2012</v>
      </c>
      <c r="D19" s="2270"/>
      <c r="E19" s="2269"/>
      <c r="F19" s="2269"/>
      <c r="G19" s="2269"/>
      <c r="H19" s="2269"/>
      <c r="I19" s="2269"/>
      <c r="J19" s="2269"/>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9" t="s">
        <v>2013</v>
      </c>
      <c r="B20" s="113">
        <v>2</v>
      </c>
      <c r="C20" s="2269" t="s">
        <v>2014</v>
      </c>
      <c r="D20" s="2270"/>
      <c r="E20" s="2269"/>
      <c r="F20" s="2269"/>
      <c r="G20" s="2269"/>
      <c r="H20" s="2269"/>
      <c r="I20" s="2269"/>
      <c r="J20" s="2269"/>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0" t="s">
        <v>2015</v>
      </c>
      <c r="B21" s="113">
        <v>2</v>
      </c>
      <c r="C21" s="2269"/>
      <c r="D21" s="2270"/>
      <c r="E21" s="2269"/>
      <c r="F21" s="2269"/>
      <c r="G21" s="2269"/>
      <c r="H21" s="2269"/>
      <c r="I21" s="2269"/>
      <c r="J21" s="2269"/>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9" t="s">
        <v>2016</v>
      </c>
      <c r="B22" s="114">
        <f>B19+B20</f>
        <v>2</v>
      </c>
      <c r="C22" s="2269"/>
      <c r="D22" s="2270"/>
      <c r="E22" s="2269"/>
      <c r="F22" s="2269"/>
      <c r="G22" s="2269"/>
      <c r="H22" s="2269"/>
      <c r="I22" s="2269"/>
      <c r="J22" s="2269"/>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0" t="s">
        <v>2017</v>
      </c>
      <c r="B23" s="114">
        <f>B19+B21</f>
        <v>2</v>
      </c>
      <c r="C23" s="2269"/>
      <c r="D23" s="2270"/>
      <c r="E23" s="2269"/>
      <c r="F23" s="2269"/>
      <c r="G23" s="2269"/>
      <c r="H23" s="2269"/>
      <c r="I23" s="2266"/>
      <c r="J23" s="2269"/>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1" t="s">
        <v>2018</v>
      </c>
      <c r="B24" s="115">
        <f>B20-B21</f>
        <v>0</v>
      </c>
      <c r="C24" s="2269"/>
      <c r="D24" s="2270"/>
      <c r="E24" s="2269"/>
      <c r="F24" s="2269"/>
      <c r="G24" s="2269"/>
      <c r="H24" s="2269"/>
      <c r="I24" s="2269"/>
      <c r="J24" s="2269"/>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2"/>
      <c r="C25" s="2269"/>
      <c r="D25" s="2270"/>
      <c r="E25" s="2269"/>
      <c r="F25" s="2269"/>
      <c r="G25" s="2269"/>
      <c r="H25" s="2269"/>
      <c r="I25" s="2269"/>
      <c r="J25" s="2269"/>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8" t="s">
        <v>2019</v>
      </c>
      <c r="B26" s="2312" t="s">
        <v>2020</v>
      </c>
      <c r="C26" s="2313" t="s">
        <v>2021</v>
      </c>
      <c r="D26" s="2270"/>
      <c r="E26" s="2269"/>
      <c r="F26" s="2269"/>
      <c r="G26" s="2269"/>
      <c r="H26" s="2269"/>
      <c r="I26" s="2269"/>
      <c r="J26" s="2269"/>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3122"/>
      <c r="AL26" s="1581"/>
      <c r="AM26" s="1581"/>
    </row>
    <row r="27" spans="1:67" s="2316" customFormat="1" ht="27.75">
      <c r="A27" s="2314" t="s">
        <v>2022</v>
      </c>
      <c r="B27" s="116">
        <v>160</v>
      </c>
      <c r="C27" s="1756" t="s">
        <v>2023</v>
      </c>
      <c r="D27" s="2315"/>
      <c r="E27" s="1427"/>
      <c r="F27" s="1427"/>
      <c r="G27" s="2269"/>
      <c r="H27" s="2269"/>
      <c r="I27" s="2269"/>
      <c r="J27" s="2269"/>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2024</v>
      </c>
      <c r="B28" s="119">
        <v>200</v>
      </c>
      <c r="C28" s="2318"/>
      <c r="D28" s="2315"/>
      <c r="E28" s="1427"/>
      <c r="F28" s="1427"/>
      <c r="G28" s="2269"/>
      <c r="H28" s="2269"/>
      <c r="I28" s="2269"/>
      <c r="J28" s="2269"/>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2025</v>
      </c>
      <c r="B29" s="121"/>
      <c r="C29" s="1756" t="s">
        <v>2026</v>
      </c>
      <c r="D29" s="2315"/>
      <c r="E29" s="1427"/>
      <c r="F29" s="1427"/>
      <c r="G29" s="2269"/>
      <c r="H29" s="2269"/>
      <c r="I29" s="2269"/>
      <c r="J29" s="2269"/>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2027</v>
      </c>
      <c r="B30" s="724">
        <v>200</v>
      </c>
      <c r="C30" s="2318"/>
      <c r="D30" s="2315"/>
      <c r="E30" s="1427"/>
      <c r="F30" s="1427"/>
      <c r="G30" s="2269"/>
      <c r="H30" s="2269"/>
      <c r="I30" s="2269"/>
      <c r="J30" s="2269"/>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2028</v>
      </c>
      <c r="B31" s="120">
        <f>B30-B32</f>
        <v>200</v>
      </c>
      <c r="C31" s="1756"/>
      <c r="D31" s="2315"/>
      <c r="E31" s="1427"/>
      <c r="F31" s="1427"/>
      <c r="G31" s="2269"/>
      <c r="H31" s="2269"/>
      <c r="I31" s="2269"/>
      <c r="J31" s="2269"/>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2029</v>
      </c>
      <c r="B32" s="725">
        <v>0</v>
      </c>
      <c r="C32" s="2318"/>
      <c r="D32" s="2270"/>
      <c r="E32" s="2269"/>
      <c r="F32" s="2269"/>
      <c r="G32" s="2269"/>
      <c r="H32" s="2269"/>
      <c r="I32" s="2269"/>
      <c r="J32" s="2269"/>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2030</v>
      </c>
      <c r="B33" s="726">
        <v>0.03</v>
      </c>
      <c r="C33" s="1755" t="s">
        <v>2031</v>
      </c>
      <c r="D33" s="2270"/>
      <c r="E33" s="2269"/>
      <c r="F33" s="2269"/>
      <c r="G33" s="2269"/>
      <c r="H33" s="2269"/>
      <c r="I33" s="2269"/>
      <c r="J33" s="2269"/>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2032</v>
      </c>
      <c r="B34" s="122">
        <v>0.05</v>
      </c>
      <c r="C34" s="1755" t="s">
        <v>2033</v>
      </c>
      <c r="D34" s="2270" t="s">
        <v>2034</v>
      </c>
      <c r="E34" s="732"/>
      <c r="F34" s="2269"/>
      <c r="G34" s="2269"/>
      <c r="H34" s="2269"/>
      <c r="I34" s="2269"/>
      <c r="J34" s="2269"/>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2035</v>
      </c>
      <c r="B35" s="119">
        <f>200+160</f>
        <v>360</v>
      </c>
      <c r="C35" s="1755" t="s">
        <v>2036</v>
      </c>
      <c r="D35" s="2315"/>
      <c r="E35" s="1427"/>
      <c r="F35" s="1427"/>
      <c r="G35" s="2269"/>
      <c r="H35" s="2269"/>
      <c r="I35" s="2269"/>
      <c r="J35" s="2269"/>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2037</v>
      </c>
      <c r="B36" s="123">
        <v>1.4999999999999999E-2</v>
      </c>
      <c r="C36" s="1755" t="s">
        <v>2038</v>
      </c>
      <c r="D36" s="2270"/>
      <c r="E36" s="2269"/>
      <c r="F36" s="2269"/>
      <c r="G36" s="2269"/>
      <c r="H36" s="2269"/>
      <c r="I36" s="2269"/>
      <c r="J36" s="2269"/>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0" t="s">
        <v>2039</v>
      </c>
      <c r="B37" s="124">
        <v>0.02</v>
      </c>
      <c r="C37" s="1755" t="s">
        <v>2040</v>
      </c>
      <c r="D37" s="2270"/>
      <c r="E37" s="2269"/>
      <c r="F37" s="2269"/>
      <c r="G37" s="2269"/>
      <c r="H37" s="2269"/>
      <c r="I37" s="2269"/>
      <c r="J37" s="2269"/>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7" t="s">
        <v>2041</v>
      </c>
      <c r="B38" s="122">
        <v>0</v>
      </c>
      <c r="C38" s="1755" t="s">
        <v>2040</v>
      </c>
      <c r="D38" s="3107" t="s">
        <v>3186</v>
      </c>
      <c r="E38" s="2269"/>
      <c r="F38" s="2269"/>
      <c r="G38" s="2269"/>
      <c r="H38" s="2269"/>
      <c r="I38" s="2269"/>
      <c r="J38" s="2269"/>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1" t="s">
        <v>2042</v>
      </c>
      <c r="B39" s="362">
        <f ca="1">存贷款利率!I1</f>
        <v>1.4999999999999999E-2</v>
      </c>
      <c r="C39" s="1755"/>
      <c r="D39" s="2270"/>
      <c r="E39" s="2269"/>
      <c r="F39" s="2269"/>
      <c r="G39" s="2269"/>
      <c r="H39" s="2269"/>
      <c r="I39" s="2269"/>
      <c r="J39" s="2269"/>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1" t="s">
        <v>2043</v>
      </c>
      <c r="B40" s="1300">
        <v>3.85E-2</v>
      </c>
      <c r="C40" s="1755" t="s">
        <v>2044</v>
      </c>
      <c r="D40" s="1581"/>
      <c r="E40" s="2270"/>
      <c r="F40" s="2269"/>
      <c r="G40" s="2269"/>
      <c r="H40" s="2269"/>
      <c r="I40" s="2269"/>
      <c r="J40" s="2269"/>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4" t="s">
        <v>2045</v>
      </c>
      <c r="B41" s="125">
        <f>B42+B43</f>
        <v>0.09</v>
      </c>
      <c r="C41" s="1756"/>
      <c r="D41" s="1581"/>
      <c r="E41" s="2270"/>
      <c r="F41" s="2269"/>
      <c r="G41" s="2269"/>
      <c r="H41" s="2269"/>
      <c r="I41" s="2269"/>
      <c r="J41" s="2269"/>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2" t="s">
        <v>2046</v>
      </c>
      <c r="B42" s="126">
        <v>0.09</v>
      </c>
      <c r="C42" s="2323">
        <f>IF(B2&lt;DATE(2016,5,1),0,B42)</f>
        <v>0.09</v>
      </c>
      <c r="D42" s="2270"/>
      <c r="E42" s="2269"/>
      <c r="F42" s="2269"/>
      <c r="G42" s="2269"/>
      <c r="H42" s="2269"/>
      <c r="I42" s="2269"/>
      <c r="J42" s="2269"/>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2" t="s">
        <v>2047</v>
      </c>
      <c r="B43" s="127">
        <f>B42*(B44+B45+B46)+B47</f>
        <v>0</v>
      </c>
      <c r="C43" s="1756"/>
      <c r="D43" s="2270"/>
      <c r="E43" s="2269"/>
      <c r="F43" s="2269"/>
      <c r="G43" s="2269"/>
      <c r="H43" s="2269"/>
      <c r="I43" s="2269"/>
      <c r="J43" s="2269"/>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4" t="s">
        <v>2048</v>
      </c>
      <c r="B44" s="128"/>
      <c r="C44" s="1755" t="s">
        <v>2049</v>
      </c>
      <c r="D44" s="2270"/>
      <c r="E44" s="2269"/>
      <c r="F44" s="2269"/>
      <c r="G44" s="2269"/>
      <c r="H44" s="2269"/>
      <c r="I44" s="2269"/>
      <c r="J44" s="2269"/>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4" t="s">
        <v>2050</v>
      </c>
      <c r="B45" s="126"/>
      <c r="C45" s="1756" t="s">
        <v>2051</v>
      </c>
      <c r="D45" s="2270"/>
      <c r="E45" s="2269"/>
      <c r="F45" s="2269"/>
      <c r="G45" s="2269"/>
      <c r="H45" s="2269"/>
      <c r="I45" s="2269"/>
      <c r="J45" s="2269"/>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4" t="s">
        <v>2052</v>
      </c>
      <c r="B46" s="126"/>
      <c r="C46" s="1756" t="s">
        <v>2053</v>
      </c>
      <c r="D46" s="2270"/>
      <c r="E46" s="2269"/>
      <c r="F46" s="2269"/>
      <c r="G46" s="2269"/>
      <c r="H46" s="2269"/>
      <c r="I46" s="2269"/>
      <c r="J46" s="2269"/>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5" t="s">
        <v>2054</v>
      </c>
      <c r="B47" s="129"/>
      <c r="C47" s="1756" t="s">
        <v>2055</v>
      </c>
      <c r="D47" s="2270"/>
      <c r="E47" s="2269"/>
      <c r="F47" s="2269"/>
      <c r="G47" s="2269"/>
      <c r="H47" s="2269"/>
      <c r="I47" s="2269"/>
      <c r="J47" s="2269"/>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6" t="s">
        <v>2056</v>
      </c>
      <c r="B48" s="130">
        <v>0.03</v>
      </c>
      <c r="C48" s="1763" t="s">
        <v>2057</v>
      </c>
      <c r="D48" s="2270"/>
      <c r="E48" s="2269"/>
      <c r="F48" s="2269"/>
      <c r="G48" s="2269"/>
      <c r="H48" s="2269"/>
      <c r="I48" s="2269"/>
      <c r="J48" s="2269"/>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1" t="s">
        <v>2058</v>
      </c>
      <c r="B49" s="126">
        <v>5.0000000000000001E-4</v>
      </c>
      <c r="C49" s="1763" t="s">
        <v>2059</v>
      </c>
      <c r="D49" s="2270"/>
      <c r="E49" s="2269"/>
      <c r="F49" s="2269"/>
      <c r="G49" s="2269"/>
      <c r="H49" s="2269"/>
      <c r="I49" s="2269"/>
      <c r="J49" s="2269"/>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7" t="s">
        <v>2060</v>
      </c>
      <c r="B50" s="131">
        <v>1.2E-2</v>
      </c>
      <c r="C50" s="1427"/>
      <c r="D50" s="2270"/>
      <c r="E50" s="2269"/>
      <c r="F50" s="2269"/>
      <c r="G50" s="2269"/>
      <c r="H50" s="2269"/>
      <c r="I50" s="2269"/>
      <c r="J50" s="2269"/>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9" t="s">
        <v>2061</v>
      </c>
      <c r="B51" s="132">
        <v>0.12</v>
      </c>
      <c r="C51" s="1427"/>
      <c r="D51" s="2270"/>
      <c r="E51" s="2269"/>
      <c r="F51" s="2269"/>
      <c r="G51" s="2269"/>
      <c r="H51" s="2269"/>
      <c r="I51" s="2269"/>
      <c r="J51" s="2269"/>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7" t="s">
        <v>2062</v>
      </c>
      <c r="B52" s="133">
        <f>SUMIF(A54:A63,B53,B54:B63)</f>
        <v>1.5</v>
      </c>
      <c r="C52" s="1427"/>
      <c r="D52" s="2270"/>
      <c r="E52" s="2269"/>
      <c r="F52" s="2269"/>
      <c r="G52" s="2269"/>
      <c r="H52" s="2269"/>
      <c r="I52" s="2269"/>
      <c r="J52" s="2269"/>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7" t="s">
        <v>2063</v>
      </c>
      <c r="B53" s="2328" t="s">
        <v>56</v>
      </c>
      <c r="C53" s="1427" t="s">
        <v>2064</v>
      </c>
      <c r="D53" s="2329" t="s">
        <v>2065</v>
      </c>
      <c r="E53" s="2269"/>
      <c r="F53" s="2269"/>
      <c r="G53" s="2269"/>
      <c r="H53" s="2269"/>
      <c r="I53" s="2269"/>
      <c r="J53" s="2269"/>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0" t="s">
        <v>2066</v>
      </c>
      <c r="B54" s="84"/>
      <c r="C54" s="1427">
        <v>30</v>
      </c>
      <c r="D54" s="2270"/>
      <c r="E54" s="2269"/>
      <c r="F54" s="2269"/>
      <c r="G54" s="2269"/>
      <c r="H54" s="2269"/>
      <c r="I54" s="2269"/>
      <c r="J54" s="2269"/>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0" t="s">
        <v>2067</v>
      </c>
      <c r="B55" s="84"/>
      <c r="C55" s="1427">
        <v>24</v>
      </c>
      <c r="D55" s="2270"/>
      <c r="E55" s="2269"/>
      <c r="F55" s="2269"/>
      <c r="G55" s="2269"/>
      <c r="H55" s="2269"/>
      <c r="I55" s="2331"/>
      <c r="J55" s="2269"/>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0" t="s">
        <v>2068</v>
      </c>
      <c r="B56" s="84"/>
      <c r="C56" s="1427">
        <v>18</v>
      </c>
      <c r="D56" s="2270"/>
      <c r="E56" s="2269"/>
      <c r="F56" s="2269"/>
      <c r="G56" s="2269"/>
      <c r="H56" s="2269"/>
      <c r="I56" s="2269"/>
      <c r="J56" s="2269"/>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0" t="s">
        <v>2069</v>
      </c>
      <c r="B57" s="84"/>
      <c r="C57" s="1427">
        <v>12</v>
      </c>
      <c r="D57" s="2270"/>
      <c r="E57" s="2269"/>
      <c r="F57" s="2269"/>
      <c r="G57" s="2269"/>
      <c r="H57" s="2269"/>
      <c r="I57" s="2269"/>
      <c r="J57" s="2269"/>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0" t="s">
        <v>2070</v>
      </c>
      <c r="B58" s="84"/>
      <c r="C58" s="1427">
        <v>3</v>
      </c>
      <c r="D58" s="2270"/>
      <c r="E58" s="2269"/>
      <c r="F58" s="2269"/>
      <c r="G58" s="2269"/>
      <c r="H58" s="2269"/>
      <c r="I58" s="2269"/>
      <c r="J58" s="2269"/>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0" t="s">
        <v>2071</v>
      </c>
      <c r="B59" s="84">
        <v>1.5</v>
      </c>
      <c r="C59" s="1427">
        <v>1.5</v>
      </c>
      <c r="D59" s="2270"/>
      <c r="E59" s="2269"/>
      <c r="F59" s="2269"/>
      <c r="G59" s="2269"/>
      <c r="H59" s="2269"/>
      <c r="I59" s="2269"/>
      <c r="J59" s="2269"/>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0" t="s">
        <v>2072</v>
      </c>
      <c r="B60" s="84"/>
      <c r="C60" s="2269"/>
      <c r="D60" s="2270"/>
      <c r="E60" s="2269"/>
      <c r="F60" s="2269"/>
      <c r="G60" s="2269"/>
      <c r="H60" s="2269"/>
      <c r="I60" s="2269"/>
      <c r="J60" s="2269"/>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0" t="s">
        <v>2073</v>
      </c>
      <c r="B61" s="84"/>
      <c r="C61" s="2269"/>
      <c r="D61" s="2270"/>
      <c r="E61" s="2269"/>
      <c r="F61" s="2269"/>
      <c r="G61" s="2269"/>
      <c r="H61" s="2269"/>
      <c r="I61" s="2269"/>
      <c r="J61" s="2269"/>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0" t="s">
        <v>2074</v>
      </c>
      <c r="B62" s="84"/>
      <c r="C62" s="2269"/>
      <c r="D62" s="2270"/>
      <c r="E62" s="2269"/>
      <c r="F62" s="2269"/>
      <c r="G62" s="2269"/>
      <c r="H62" s="2269"/>
      <c r="I62" s="2269"/>
      <c r="J62" s="2269"/>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2" t="s">
        <v>2075</v>
      </c>
      <c r="B63" s="134"/>
      <c r="C63" s="2269"/>
      <c r="D63" s="2270"/>
      <c r="E63" s="2269"/>
      <c r="F63" s="2269"/>
      <c r="G63" s="2269"/>
      <c r="H63" s="2269"/>
      <c r="I63" s="2269"/>
      <c r="J63" s="2269"/>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3"/>
      <c r="D64" s="2334"/>
      <c r="K64" s="798"/>
      <c r="L64" s="798"/>
    </row>
    <row r="65" spans="1:12" s="964" customFormat="1">
      <c r="A65" s="2333"/>
      <c r="D65" s="2334"/>
      <c r="K65" s="798"/>
      <c r="L65" s="798"/>
    </row>
    <row r="66" spans="1:12" s="964" customFormat="1">
      <c r="A66" s="2333"/>
      <c r="D66" s="2334"/>
      <c r="K66" s="798"/>
      <c r="L66" s="798"/>
    </row>
    <row r="67" spans="1:12" s="964" customFormat="1">
      <c r="A67" s="2333"/>
      <c r="D67" s="2334"/>
      <c r="K67" s="798"/>
      <c r="L67" s="798"/>
    </row>
    <row r="68" spans="1:12" s="964" customFormat="1">
      <c r="A68" s="2333"/>
      <c r="D68" s="2334"/>
      <c r="K68" s="798"/>
      <c r="L68" s="798"/>
    </row>
    <row r="69" spans="1:12" s="964" customFormat="1">
      <c r="A69" s="2333"/>
      <c r="D69" s="2334"/>
      <c r="K69" s="798"/>
      <c r="L69" s="798"/>
    </row>
    <row r="70" spans="1:12" s="964" customFormat="1">
      <c r="A70" s="2333"/>
      <c r="D70" s="2334"/>
      <c r="K70" s="798"/>
      <c r="L70" s="798"/>
    </row>
    <row r="71" spans="1:12" s="964" customFormat="1">
      <c r="A71" s="2333"/>
      <c r="D71" s="2334"/>
      <c r="K71" s="798"/>
      <c r="L71" s="798"/>
    </row>
    <row r="72" spans="1:12" s="964" customFormat="1">
      <c r="A72" s="2333"/>
      <c r="D72" s="2334"/>
      <c r="K72" s="798"/>
      <c r="L72" s="798"/>
    </row>
    <row r="73" spans="1:12" s="964" customFormat="1">
      <c r="A73" s="2333"/>
      <c r="D73" s="2334"/>
      <c r="K73" s="798"/>
      <c r="L73" s="798"/>
    </row>
    <row r="74" spans="1:12" s="964" customFormat="1">
      <c r="A74" s="2333"/>
      <c r="D74" s="2334"/>
      <c r="K74" s="798"/>
      <c r="L74" s="798"/>
    </row>
    <row r="75" spans="1:12" s="964" customFormat="1">
      <c r="A75" s="2333"/>
      <c r="D75" s="2334"/>
      <c r="K75" s="798"/>
      <c r="L75" s="798"/>
    </row>
    <row r="76" spans="1:12" s="964" customFormat="1">
      <c r="A76" s="2333"/>
      <c r="D76" s="2334"/>
      <c r="K76" s="798"/>
      <c r="L76" s="798"/>
    </row>
    <row r="77" spans="1:12" s="964" customFormat="1">
      <c r="A77" s="2333"/>
      <c r="D77" s="2334"/>
      <c r="K77" s="798"/>
      <c r="L77" s="798"/>
    </row>
    <row r="78" spans="1:12" s="964" customFormat="1">
      <c r="A78" s="2333"/>
      <c r="D78" s="2334"/>
      <c r="K78" s="798"/>
      <c r="L78" s="798"/>
    </row>
    <row r="79" spans="1:12" s="964" customFormat="1">
      <c r="A79" s="2333"/>
      <c r="D79" s="2334"/>
      <c r="K79" s="798"/>
      <c r="L79" s="798"/>
    </row>
    <row r="80" spans="1:12" s="964" customFormat="1">
      <c r="A80" s="2333"/>
      <c r="D80" s="2334"/>
      <c r="K80" s="798"/>
      <c r="L80" s="798"/>
    </row>
    <row r="81" spans="1:12" s="964" customFormat="1">
      <c r="A81" s="2333"/>
      <c r="D81" s="2334"/>
      <c r="K81" s="798"/>
      <c r="L81" s="798"/>
    </row>
    <row r="82" spans="1:12" s="964" customFormat="1">
      <c r="A82" s="2333"/>
      <c r="D82" s="2334"/>
      <c r="K82" s="798"/>
      <c r="L82" s="798"/>
    </row>
    <row r="83" spans="1:12" s="964" customFormat="1">
      <c r="A83" s="2333"/>
      <c r="D83" s="2334"/>
      <c r="K83" s="798"/>
      <c r="L83" s="798"/>
    </row>
    <row r="84" spans="1:12" s="964" customFormat="1">
      <c r="A84" s="2333"/>
      <c r="D84" s="2334"/>
      <c r="K84" s="798"/>
      <c r="L84" s="798"/>
    </row>
    <row r="85" spans="1:12" s="964" customFormat="1">
      <c r="A85" s="2333"/>
      <c r="D85" s="2334"/>
      <c r="K85" s="798"/>
      <c r="L85" s="798"/>
    </row>
    <row r="86" spans="1:12" s="964" customFormat="1">
      <c r="A86" s="2333"/>
      <c r="D86" s="2334"/>
      <c r="K86" s="798"/>
      <c r="L86" s="798"/>
    </row>
    <row r="87" spans="1:12" s="964" customFormat="1">
      <c r="A87" s="2333"/>
      <c r="D87" s="2334"/>
      <c r="K87" s="798"/>
      <c r="L87" s="798"/>
    </row>
    <row r="88" spans="1:12" s="964" customFormat="1">
      <c r="A88" s="2333"/>
      <c r="D88" s="2334"/>
      <c r="K88" s="798"/>
      <c r="L88" s="798"/>
    </row>
    <row r="89" spans="1:12" s="964" customFormat="1">
      <c r="A89" s="2333"/>
      <c r="D89" s="2334"/>
      <c r="K89" s="798"/>
      <c r="L89" s="798"/>
    </row>
    <row r="90" spans="1:12" s="964" customFormat="1">
      <c r="A90" s="2333"/>
      <c r="D90" s="2334"/>
      <c r="K90" s="798"/>
      <c r="L90" s="798"/>
    </row>
    <row r="91" spans="1:12" s="964" customFormat="1">
      <c r="A91" s="2333"/>
      <c r="D91" s="2334"/>
      <c r="K91" s="798"/>
      <c r="L91" s="798"/>
    </row>
    <row r="92" spans="1:12" s="964" customFormat="1">
      <c r="A92" s="2333"/>
      <c r="D92" s="2334"/>
      <c r="K92" s="798"/>
      <c r="L92" s="798"/>
    </row>
    <row r="93" spans="1:12" s="964" customFormat="1">
      <c r="A93" s="2333"/>
      <c r="D93" s="2334"/>
      <c r="K93" s="798"/>
      <c r="L93" s="798"/>
    </row>
    <row r="94" spans="1:12" s="964" customFormat="1">
      <c r="A94" s="2333"/>
      <c r="D94" s="2334"/>
      <c r="K94" s="798"/>
      <c r="L94" s="798"/>
    </row>
    <row r="95" spans="1:12" s="964" customFormat="1">
      <c r="A95" s="2333"/>
      <c r="D95" s="2334"/>
      <c r="K95" s="798"/>
      <c r="L95" s="798"/>
    </row>
    <row r="96" spans="1:12" s="964" customFormat="1">
      <c r="A96" s="2333"/>
      <c r="D96" s="2334"/>
      <c r="K96" s="798"/>
      <c r="L96" s="798"/>
    </row>
    <row r="97" spans="1:12" s="964" customFormat="1">
      <c r="A97" s="2333"/>
      <c r="D97" s="2334"/>
      <c r="K97" s="798"/>
      <c r="L97" s="798"/>
    </row>
    <row r="98" spans="1:12" s="964" customFormat="1">
      <c r="A98" s="2333"/>
      <c r="D98" s="2334"/>
      <c r="K98" s="798"/>
      <c r="L98" s="798"/>
    </row>
    <row r="99" spans="1:12" s="964" customFormat="1">
      <c r="A99" s="2333"/>
      <c r="D99" s="2334"/>
      <c r="K99" s="798"/>
      <c r="L99" s="798"/>
    </row>
    <row r="100" spans="1:12" s="964" customFormat="1">
      <c r="A100" s="2333"/>
      <c r="D100" s="2334"/>
      <c r="K100" s="798"/>
      <c r="L100" s="798"/>
    </row>
    <row r="101" spans="1:12" s="964" customFormat="1">
      <c r="A101" s="2333"/>
      <c r="D101" s="2334"/>
      <c r="K101" s="798"/>
      <c r="L101" s="798"/>
    </row>
    <row r="102" spans="1:12" s="964" customFormat="1">
      <c r="A102" s="2333"/>
      <c r="D102" s="2334"/>
      <c r="K102" s="798"/>
      <c r="L102" s="798"/>
    </row>
    <row r="103" spans="1:12" s="964" customFormat="1">
      <c r="A103" s="2333"/>
      <c r="D103" s="2334"/>
      <c r="K103" s="798"/>
      <c r="L103" s="798"/>
    </row>
    <row r="104" spans="1:12" s="964" customFormat="1">
      <c r="A104" s="2333"/>
      <c r="D104" s="2334"/>
      <c r="K104" s="798"/>
      <c r="L104" s="798"/>
    </row>
    <row r="105" spans="1:12" s="964" customFormat="1">
      <c r="A105" s="2333"/>
      <c r="D105" s="2334"/>
      <c r="K105" s="798"/>
      <c r="L105" s="798"/>
    </row>
    <row r="106" spans="1:12" s="964" customFormat="1">
      <c r="A106" s="2333"/>
      <c r="D106" s="2334"/>
      <c r="K106" s="798"/>
      <c r="L106" s="798"/>
    </row>
    <row r="107" spans="1:12" s="964" customFormat="1">
      <c r="A107" s="2333"/>
      <c r="D107" s="2334"/>
      <c r="K107" s="798"/>
      <c r="L107" s="798"/>
    </row>
    <row r="108" spans="1:12" s="964" customFormat="1">
      <c r="A108" s="2333"/>
      <c r="D108" s="2334"/>
      <c r="K108" s="798"/>
      <c r="L108" s="798"/>
    </row>
    <row r="109" spans="1:12" s="964" customFormat="1">
      <c r="A109" s="2333"/>
      <c r="D109" s="2334"/>
      <c r="K109" s="798"/>
      <c r="L109" s="798"/>
    </row>
    <row r="110" spans="1:12" s="964" customFormat="1">
      <c r="A110" s="2333"/>
      <c r="D110" s="2334"/>
      <c r="K110" s="798"/>
      <c r="L110" s="798"/>
    </row>
    <row r="111" spans="1:12" s="964" customFormat="1">
      <c r="A111" s="2333"/>
      <c r="D111" s="2334"/>
      <c r="K111" s="798"/>
      <c r="L111" s="798"/>
    </row>
    <row r="112" spans="1:12" s="964" customFormat="1">
      <c r="A112" s="2333"/>
      <c r="D112" s="2334"/>
      <c r="K112" s="798"/>
      <c r="L112" s="798"/>
    </row>
    <row r="113" spans="1:12" s="964" customFormat="1">
      <c r="A113" s="2333"/>
      <c r="D113" s="2334"/>
      <c r="K113" s="798"/>
      <c r="L113" s="798"/>
    </row>
    <row r="114" spans="1:12" s="964" customFormat="1">
      <c r="A114" s="2333"/>
      <c r="D114" s="2334"/>
      <c r="K114" s="798"/>
      <c r="L114" s="798"/>
    </row>
    <row r="115" spans="1:12" s="964" customFormat="1">
      <c r="A115" s="2333"/>
      <c r="D115" s="2334"/>
      <c r="K115" s="798"/>
      <c r="L115" s="798"/>
    </row>
    <row r="116" spans="1:12" s="964" customFormat="1">
      <c r="A116" s="2333"/>
      <c r="D116" s="2334"/>
      <c r="K116" s="798"/>
      <c r="L116" s="798"/>
    </row>
    <row r="117" spans="1:12" s="964" customFormat="1">
      <c r="A117" s="2333"/>
      <c r="D117" s="2334"/>
      <c r="K117" s="798"/>
      <c r="L117" s="798"/>
    </row>
    <row r="118" spans="1:12" s="964" customFormat="1">
      <c r="A118" s="2333"/>
      <c r="D118" s="2334"/>
      <c r="K118" s="798"/>
      <c r="L118" s="798"/>
    </row>
    <row r="119" spans="1:12" s="964" customFormat="1">
      <c r="A119" s="2333"/>
      <c r="D119" s="2334"/>
      <c r="K119" s="798"/>
      <c r="L119" s="798"/>
    </row>
    <row r="120" spans="1:12" s="964" customFormat="1">
      <c r="A120" s="2333"/>
      <c r="D120" s="2334"/>
      <c r="K120" s="798"/>
      <c r="L120" s="798"/>
    </row>
    <row r="121" spans="1:12" s="964" customFormat="1">
      <c r="A121" s="2333"/>
      <c r="D121" s="2334"/>
      <c r="K121" s="798"/>
      <c r="L121" s="798"/>
    </row>
    <row r="122" spans="1:12" s="964" customFormat="1">
      <c r="A122" s="2333"/>
      <c r="D122" s="2334"/>
      <c r="K122" s="798"/>
      <c r="L122" s="798"/>
    </row>
    <row r="123" spans="1:12" s="964" customFormat="1">
      <c r="A123" s="2333"/>
      <c r="D123" s="2334"/>
      <c r="K123" s="798"/>
      <c r="L123" s="798"/>
    </row>
    <row r="124" spans="1:12" s="964" customFormat="1">
      <c r="A124" s="2333"/>
      <c r="D124" s="2334"/>
      <c r="K124" s="798"/>
      <c r="L124" s="798"/>
    </row>
    <row r="125" spans="1:12" s="964" customFormat="1">
      <c r="A125" s="2333"/>
      <c r="D125" s="2334"/>
      <c r="K125" s="798"/>
      <c r="L125" s="798"/>
    </row>
    <row r="126" spans="1:12" s="964" customFormat="1">
      <c r="A126" s="2333"/>
      <c r="D126" s="2334"/>
      <c r="K126" s="798"/>
      <c r="L126" s="798"/>
    </row>
    <row r="127" spans="1:12" s="964" customFormat="1">
      <c r="A127" s="2333"/>
      <c r="D127" s="2334"/>
      <c r="K127" s="798"/>
      <c r="L127" s="798"/>
    </row>
    <row r="128" spans="1:12" s="964" customFormat="1">
      <c r="A128" s="2333"/>
      <c r="D128" s="2334"/>
      <c r="K128" s="798"/>
      <c r="L128" s="798"/>
    </row>
    <row r="129" spans="1:12" s="964" customFormat="1">
      <c r="A129" s="2333"/>
      <c r="D129" s="2334"/>
      <c r="K129" s="798"/>
      <c r="L129" s="798"/>
    </row>
    <row r="130" spans="1:12" s="964" customFormat="1">
      <c r="A130" s="2333"/>
      <c r="D130" s="2334"/>
      <c r="K130" s="798"/>
      <c r="L130" s="798"/>
    </row>
    <row r="131" spans="1:12" s="964" customFormat="1">
      <c r="A131" s="2333"/>
      <c r="D131" s="2334"/>
      <c r="K131" s="798"/>
      <c r="L131" s="798"/>
    </row>
    <row r="132" spans="1:12" s="964" customFormat="1">
      <c r="A132" s="2333"/>
      <c r="D132" s="2334"/>
      <c r="K132" s="798"/>
      <c r="L132" s="798"/>
    </row>
    <row r="133" spans="1:12" s="964"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formatCells="0" formatColumns="0" formatRows="0"/>
  <phoneticPr fontId="4" type="noConversion"/>
  <dataValidations disablePrompts="1"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9:J70"/>
  <sheetViews>
    <sheetView topLeftCell="C45" zoomScaleNormal="100" workbookViewId="0">
      <selection activeCell="I52" sqref="I52:I61"/>
    </sheetView>
  </sheetViews>
  <sheetFormatPr defaultColWidth="9" defaultRowHeight="14.25"/>
  <cols>
    <col min="1" max="1" width="9" style="3181" customWidth="1"/>
    <col min="2" max="2" width="25.125" style="3174" customWidth="1"/>
    <col min="3" max="3" width="14.125" style="3182" customWidth="1"/>
    <col min="4" max="4" width="12.5" style="3182" customWidth="1"/>
    <col min="5" max="5" width="15.125" style="3174" customWidth="1"/>
    <col min="6" max="6" width="13.125" style="3174" customWidth="1"/>
    <col min="7" max="7" width="14.125" style="3174" customWidth="1"/>
    <col min="8" max="9" width="13.125" style="3174" customWidth="1"/>
    <col min="10" max="16384" width="9" style="3174"/>
  </cols>
  <sheetData>
    <row r="19" spans="1:9">
      <c r="A19" s="3171" t="s">
        <v>3240</v>
      </c>
      <c r="B19" s="3172" t="s">
        <v>3241</v>
      </c>
      <c r="C19" s="3173" t="s">
        <v>3242</v>
      </c>
      <c r="D19" s="3173" t="s">
        <v>3243</v>
      </c>
    </row>
    <row r="20" spans="1:9">
      <c r="A20" s="3175">
        <v>1</v>
      </c>
      <c r="B20" s="3176" t="s">
        <v>3234</v>
      </c>
      <c r="C20" s="3177">
        <v>72.33</v>
      </c>
      <c r="D20" s="3178">
        <f>C20/C$26</f>
        <v>5.8853827207506733E-3</v>
      </c>
    </row>
    <row r="21" spans="1:9">
      <c r="A21" s="3171">
        <v>2</v>
      </c>
      <c r="B21" s="3172" t="s">
        <v>3238</v>
      </c>
      <c r="C21" s="3173">
        <v>101.89</v>
      </c>
      <c r="D21" s="3179">
        <f t="shared" ref="D21:D25" si="0">C21/C$26</f>
        <v>8.2906352193735117E-3</v>
      </c>
      <c r="F21" s="3174">
        <f>11054.57-C23-C22-C20</f>
        <v>9952.6299999999992</v>
      </c>
    </row>
    <row r="22" spans="1:9">
      <c r="A22" s="3171">
        <v>3</v>
      </c>
      <c r="B22" s="3172" t="s">
        <v>3239</v>
      </c>
      <c r="C22" s="3173">
        <v>20.170000000000002</v>
      </c>
      <c r="D22" s="3179">
        <f t="shared" si="0"/>
        <v>1.6412023984175459E-3</v>
      </c>
    </row>
    <row r="23" spans="1:9">
      <c r="A23" s="3171">
        <v>4</v>
      </c>
      <c r="B23" s="3172" t="s">
        <v>3237</v>
      </c>
      <c r="C23" s="3173">
        <v>1009.44</v>
      </c>
      <c r="D23" s="3179">
        <f t="shared" si="0"/>
        <v>8.2136606299385601E-2</v>
      </c>
    </row>
    <row r="24" spans="1:9">
      <c r="A24" s="3175">
        <v>5</v>
      </c>
      <c r="B24" s="3176" t="s">
        <v>3244</v>
      </c>
      <c r="C24" s="3177">
        <v>9952.6299999999992</v>
      </c>
      <c r="D24" s="3178">
        <f t="shared" si="0"/>
        <v>0.80983045248202368</v>
      </c>
    </row>
    <row r="25" spans="1:9">
      <c r="A25" s="3171">
        <v>6</v>
      </c>
      <c r="B25" s="3172" t="s">
        <v>3236</v>
      </c>
      <c r="C25" s="3173">
        <v>1133.31</v>
      </c>
      <c r="D25" s="3179">
        <f t="shared" si="0"/>
        <v>9.2215720880049021E-2</v>
      </c>
      <c r="F25" s="3180">
        <f>C27-H38</f>
        <v>9848.49</v>
      </c>
      <c r="G25" s="3180">
        <f>10000-F25</f>
        <v>151.51000000000022</v>
      </c>
    </row>
    <row r="26" spans="1:9">
      <c r="A26" s="3308" t="s">
        <v>3245</v>
      </c>
      <c r="B26" s="3309"/>
      <c r="C26" s="3173">
        <f>SUM(C20:C25)</f>
        <v>12289.769999999999</v>
      </c>
      <c r="D26" s="3179">
        <f>SUM(D20:D25)</f>
        <v>1</v>
      </c>
    </row>
    <row r="27" spans="1:9">
      <c r="C27" s="3182">
        <f>C20+C24</f>
        <v>10024.959999999999</v>
      </c>
    </row>
    <row r="29" spans="1:9" ht="15.75">
      <c r="A29" s="3183" t="s">
        <v>3246</v>
      </c>
      <c r="B29" s="3184" t="s">
        <v>3247</v>
      </c>
      <c r="C29" s="3185" t="s">
        <v>3248</v>
      </c>
      <c r="D29" s="3310" t="s">
        <v>3249</v>
      </c>
      <c r="E29" s="3311"/>
      <c r="F29" s="3183" t="s">
        <v>3250</v>
      </c>
      <c r="G29" s="3183" t="s">
        <v>3251</v>
      </c>
      <c r="H29" s="3183" t="s">
        <v>3252</v>
      </c>
    </row>
    <row r="30" spans="1:9" ht="37.5" customHeight="1">
      <c r="A30" s="3183">
        <v>1</v>
      </c>
      <c r="B30" s="3186" t="s">
        <v>3253</v>
      </c>
      <c r="C30" s="3187">
        <v>19.05</v>
      </c>
      <c r="D30" s="3312" t="s">
        <v>3254</v>
      </c>
      <c r="E30" s="3313"/>
      <c r="F30" s="3183">
        <f>C20+C24</f>
        <v>10024.959999999999</v>
      </c>
      <c r="G30" s="3188">
        <v>1</v>
      </c>
      <c r="H30" s="3183">
        <f>ROUND(C30*G30,2)</f>
        <v>19.05</v>
      </c>
      <c r="I30" s="3314" t="s">
        <v>3255</v>
      </c>
    </row>
    <row r="31" spans="1:9" ht="37.5" customHeight="1">
      <c r="A31" s="3183">
        <v>2</v>
      </c>
      <c r="B31" s="3186" t="s">
        <v>3256</v>
      </c>
      <c r="C31" s="3187">
        <v>7.08</v>
      </c>
      <c r="D31" s="3312" t="s">
        <v>3257</v>
      </c>
      <c r="E31" s="3313"/>
      <c r="F31" s="3183">
        <f>C21+C22+C23</f>
        <v>1131.5</v>
      </c>
      <c r="G31" s="3188">
        <v>0</v>
      </c>
      <c r="H31" s="3183">
        <f t="shared" ref="H31:H37" si="1">ROUND(C31*G31,2)</f>
        <v>0</v>
      </c>
      <c r="I31" s="3314"/>
    </row>
    <row r="32" spans="1:9" ht="37.5" customHeight="1">
      <c r="A32" s="3183">
        <v>3</v>
      </c>
      <c r="B32" s="3186" t="s">
        <v>3258</v>
      </c>
      <c r="C32" s="3187">
        <v>49.56</v>
      </c>
      <c r="D32" s="3312" t="s">
        <v>3259</v>
      </c>
      <c r="E32" s="3313"/>
      <c r="F32" s="3183">
        <f>SUM(C20:C24)</f>
        <v>11156.46</v>
      </c>
      <c r="G32" s="3188">
        <f>F$30/F32</f>
        <v>0.89857893991463245</v>
      </c>
      <c r="H32" s="3183">
        <f t="shared" si="1"/>
        <v>44.53</v>
      </c>
      <c r="I32" s="3314"/>
    </row>
    <row r="33" spans="1:9" ht="37.5" customHeight="1">
      <c r="A33" s="3183">
        <v>4</v>
      </c>
      <c r="B33" s="3186" t="s">
        <v>3260</v>
      </c>
      <c r="C33" s="3187">
        <v>73.48</v>
      </c>
      <c r="D33" s="3312" t="s">
        <v>3261</v>
      </c>
      <c r="E33" s="3313"/>
      <c r="F33" s="3183">
        <f>C26</f>
        <v>12289.769999999999</v>
      </c>
      <c r="G33" s="3188">
        <f t="shared" ref="G33:G37" si="2">F$30/F33</f>
        <v>0.81571583520277435</v>
      </c>
      <c r="H33" s="3183">
        <f t="shared" si="1"/>
        <v>59.94</v>
      </c>
      <c r="I33" s="3314"/>
    </row>
    <row r="34" spans="1:9" ht="37.5" customHeight="1">
      <c r="A34" s="3183">
        <v>5</v>
      </c>
      <c r="B34" s="3186" t="s">
        <v>3262</v>
      </c>
      <c r="C34" s="3187">
        <v>8.64</v>
      </c>
      <c r="D34" s="3312" t="s">
        <v>3261</v>
      </c>
      <c r="E34" s="3313"/>
      <c r="F34" s="3183">
        <f>C26</f>
        <v>12289.769999999999</v>
      </c>
      <c r="G34" s="3188">
        <f t="shared" si="2"/>
        <v>0.81571583520277435</v>
      </c>
      <c r="H34" s="3183">
        <f t="shared" si="1"/>
        <v>7.05</v>
      </c>
      <c r="I34" s="3314"/>
    </row>
    <row r="35" spans="1:9" ht="37.5" customHeight="1">
      <c r="A35" s="3183">
        <v>6</v>
      </c>
      <c r="B35" s="3186" t="s">
        <v>3263</v>
      </c>
      <c r="C35" s="3187">
        <v>17.89</v>
      </c>
      <c r="D35" s="3312" t="s">
        <v>3264</v>
      </c>
      <c r="E35" s="3313"/>
      <c r="F35" s="3183">
        <f>C24+C20+C21+C22</f>
        <v>10147.019999999999</v>
      </c>
      <c r="G35" s="3188">
        <f t="shared" si="2"/>
        <v>0.98797085252616046</v>
      </c>
      <c r="H35" s="3183">
        <f t="shared" si="1"/>
        <v>17.670000000000002</v>
      </c>
      <c r="I35" s="3314" t="s">
        <v>3265</v>
      </c>
    </row>
    <row r="36" spans="1:9" ht="37.5" customHeight="1">
      <c r="A36" s="3183">
        <v>7</v>
      </c>
      <c r="B36" s="3186" t="s">
        <v>3266</v>
      </c>
      <c r="C36" s="3187">
        <v>17.420000000000002</v>
      </c>
      <c r="D36" s="3312" t="s">
        <v>3267</v>
      </c>
      <c r="E36" s="3313"/>
      <c r="F36" s="3183">
        <f>C24+C20+C21+C22+C23</f>
        <v>11156.46</v>
      </c>
      <c r="G36" s="3188">
        <f t="shared" si="2"/>
        <v>0.89857893991463245</v>
      </c>
      <c r="H36" s="3183">
        <f t="shared" si="1"/>
        <v>15.65</v>
      </c>
      <c r="I36" s="3314"/>
    </row>
    <row r="37" spans="1:9" ht="37.5" customHeight="1">
      <c r="A37" s="3183">
        <v>8</v>
      </c>
      <c r="B37" s="3186" t="s">
        <v>3268</v>
      </c>
      <c r="C37" s="3189">
        <v>14</v>
      </c>
      <c r="D37" s="3312" t="s">
        <v>3267</v>
      </c>
      <c r="E37" s="3313"/>
      <c r="F37" s="3183">
        <f>F36</f>
        <v>11156.46</v>
      </c>
      <c r="G37" s="3188">
        <f t="shared" si="2"/>
        <v>0.89857893991463245</v>
      </c>
      <c r="H37" s="3183">
        <f t="shared" si="1"/>
        <v>12.58</v>
      </c>
      <c r="I37" s="3314"/>
    </row>
    <row r="38" spans="1:9">
      <c r="A38" s="3174"/>
      <c r="C38" s="3181">
        <f>SUM(C30:C37)</f>
        <v>207.12</v>
      </c>
      <c r="D38" s="3181"/>
      <c r="E38" s="3181"/>
      <c r="F38" s="3181"/>
      <c r="G38" s="3181"/>
      <c r="H38" s="3190">
        <f>SUM(H30:H37)</f>
        <v>176.47000000000003</v>
      </c>
    </row>
    <row r="40" spans="1:9">
      <c r="C40" s="3191">
        <f>C38-H38</f>
        <v>30.649999999999977</v>
      </c>
      <c r="H40" s="3180">
        <f>C24-H38+C20</f>
        <v>9848.49</v>
      </c>
    </row>
    <row r="42" spans="1:9">
      <c r="H42" s="3174">
        <v>10000</v>
      </c>
    </row>
    <row r="43" spans="1:9">
      <c r="G43" s="3181" t="s">
        <v>3224</v>
      </c>
      <c r="H43" s="3192">
        <f>H42-H40</f>
        <v>151.51000000000022</v>
      </c>
    </row>
    <row r="45" spans="1:9">
      <c r="B45" s="3194" t="s">
        <v>3271</v>
      </c>
    </row>
    <row r="46" spans="1:9">
      <c r="B46" s="3194" t="s">
        <v>3270</v>
      </c>
      <c r="C46" s="3182">
        <v>12866.05</v>
      </c>
    </row>
    <row r="47" spans="1:9">
      <c r="B47" s="3194" t="s">
        <v>3269</v>
      </c>
      <c r="C47" s="3182">
        <v>5208</v>
      </c>
    </row>
    <row r="49" spans="1:10">
      <c r="B49" s="3194" t="s">
        <v>3272</v>
      </c>
      <c r="C49" s="3182">
        <v>47811.519999999997</v>
      </c>
      <c r="D49" s="3195" t="s">
        <v>3102</v>
      </c>
      <c r="E49" s="3194" t="s">
        <v>3273</v>
      </c>
      <c r="F49" s="3174">
        <v>10000</v>
      </c>
      <c r="G49" s="3174">
        <f>F49/C49</f>
        <v>0.20915461378345637</v>
      </c>
    </row>
    <row r="50" spans="1:10">
      <c r="G50" s="3174">
        <f>C47*G49</f>
        <v>1089.2772285842407</v>
      </c>
    </row>
    <row r="51" spans="1:10" ht="15">
      <c r="A51" s="3307" t="s">
        <v>3289</v>
      </c>
      <c r="B51" s="3307" t="s">
        <v>3290</v>
      </c>
      <c r="C51" s="3307"/>
      <c r="D51" s="3307"/>
      <c r="E51" s="3307"/>
      <c r="F51" s="3307"/>
      <c r="G51" s="3307" t="s">
        <v>3291</v>
      </c>
      <c r="H51" s="3307"/>
      <c r="I51" s="3307"/>
    </row>
    <row r="52" spans="1:10" ht="28.5">
      <c r="A52" s="3307"/>
      <c r="B52" s="3205" t="s">
        <v>3292</v>
      </c>
      <c r="C52" s="3205" t="s">
        <v>3293</v>
      </c>
      <c r="D52" s="3205" t="s">
        <v>3294</v>
      </c>
      <c r="E52" s="3205" t="s">
        <v>3295</v>
      </c>
      <c r="F52" s="3205" t="s">
        <v>3296</v>
      </c>
      <c r="G52" s="3205" t="s">
        <v>3297</v>
      </c>
      <c r="H52" s="3205" t="s">
        <v>3298</v>
      </c>
      <c r="I52" s="3214" t="s">
        <v>3299</v>
      </c>
    </row>
    <row r="53" spans="1:10" ht="15">
      <c r="A53" s="3205" t="s">
        <v>3288</v>
      </c>
      <c r="B53" s="3205">
        <v>5783.53</v>
      </c>
      <c r="C53" s="3205" t="s">
        <v>3284</v>
      </c>
      <c r="D53" s="3205" t="s">
        <v>3284</v>
      </c>
      <c r="E53" s="3205" t="s">
        <v>3284</v>
      </c>
      <c r="F53" s="3205" t="s">
        <v>3284</v>
      </c>
      <c r="G53" s="3307">
        <v>5372.47</v>
      </c>
      <c r="H53" s="3205">
        <v>478.66</v>
      </c>
      <c r="I53" s="3214" t="s">
        <v>3285</v>
      </c>
      <c r="J53" s="3171">
        <v>5593.05</v>
      </c>
    </row>
    <row r="54" spans="1:10" ht="15">
      <c r="A54" s="3205" t="s">
        <v>3286</v>
      </c>
      <c r="B54" s="3205">
        <v>5807.95</v>
      </c>
      <c r="C54" s="3205" t="s">
        <v>3284</v>
      </c>
      <c r="D54" s="3205" t="s">
        <v>3284</v>
      </c>
      <c r="E54" s="3205" t="s">
        <v>3284</v>
      </c>
      <c r="F54" s="3205" t="s">
        <v>3284</v>
      </c>
      <c r="G54" s="3307"/>
      <c r="H54" s="3205">
        <v>471</v>
      </c>
      <c r="I54" s="3214" t="s">
        <v>3285</v>
      </c>
      <c r="J54" s="3171">
        <v>5600.28</v>
      </c>
    </row>
    <row r="55" spans="1:10" ht="15">
      <c r="A55" s="3205" t="s">
        <v>3287</v>
      </c>
      <c r="B55" s="3205">
        <v>5269.79</v>
      </c>
      <c r="C55" s="3205" t="s">
        <v>3284</v>
      </c>
      <c r="D55" s="3205" t="s">
        <v>3284</v>
      </c>
      <c r="E55" s="3205" t="s">
        <v>3284</v>
      </c>
      <c r="F55" s="3205" t="s">
        <v>3284</v>
      </c>
      <c r="G55" s="3307"/>
      <c r="H55" s="3205">
        <v>556.34</v>
      </c>
      <c r="I55" s="3214" t="s">
        <v>3285</v>
      </c>
      <c r="J55" s="3171">
        <v>5091.5600000000004</v>
      </c>
    </row>
    <row r="56" spans="1:10" ht="15">
      <c r="A56" s="3205" t="s">
        <v>3274</v>
      </c>
      <c r="B56" s="3205">
        <v>8444.6</v>
      </c>
      <c r="C56" s="3205" t="s">
        <v>3284</v>
      </c>
      <c r="D56" s="3205" t="s">
        <v>3284</v>
      </c>
      <c r="E56" s="3205" t="s">
        <v>3284</v>
      </c>
      <c r="F56" s="3205" t="s">
        <v>3284</v>
      </c>
      <c r="G56" s="3307"/>
      <c r="H56" s="3205">
        <v>111.03</v>
      </c>
      <c r="I56" s="3214" t="s">
        <v>3285</v>
      </c>
      <c r="J56" s="3171">
        <v>8230.76</v>
      </c>
    </row>
    <row r="57" spans="1:10" ht="15">
      <c r="A57" s="3205" t="s">
        <v>3275</v>
      </c>
      <c r="B57" s="3205">
        <v>4749.8900000000003</v>
      </c>
      <c r="C57" s="3205" t="s">
        <v>3284</v>
      </c>
      <c r="D57" s="3205" t="s">
        <v>3284</v>
      </c>
      <c r="E57" s="3205" t="s">
        <v>3284</v>
      </c>
      <c r="F57" s="3205" t="s">
        <v>3284</v>
      </c>
      <c r="G57" s="3307"/>
      <c r="H57" s="3205" t="s">
        <v>3284</v>
      </c>
      <c r="I57" s="3214" t="s">
        <v>3285</v>
      </c>
      <c r="J57" s="3171">
        <v>4567.26</v>
      </c>
    </row>
    <row r="58" spans="1:10" ht="15">
      <c r="A58" s="3205" t="s">
        <v>3276</v>
      </c>
      <c r="B58" s="3205">
        <v>7491.36</v>
      </c>
      <c r="C58" s="3205" t="s">
        <v>3284</v>
      </c>
      <c r="D58" s="3205" t="s">
        <v>3284</v>
      </c>
      <c r="E58" s="3205" t="s">
        <v>3284</v>
      </c>
      <c r="F58" s="3205" t="s">
        <v>3284</v>
      </c>
      <c r="G58" s="3307"/>
      <c r="H58" s="3205">
        <v>292.74</v>
      </c>
      <c r="I58" s="3214" t="s">
        <v>3285</v>
      </c>
      <c r="J58" s="3171">
        <v>7340.71</v>
      </c>
    </row>
    <row r="59" spans="1:10" ht="15">
      <c r="A59" s="3205" t="s">
        <v>3277</v>
      </c>
      <c r="B59" s="3205">
        <v>9952.6299999999992</v>
      </c>
      <c r="C59" s="3205">
        <v>72.33</v>
      </c>
      <c r="D59" s="3205" t="s">
        <v>3284</v>
      </c>
      <c r="E59" s="3205" t="s">
        <v>3284</v>
      </c>
      <c r="F59" s="3205" t="s">
        <v>3284</v>
      </c>
      <c r="G59" s="3307"/>
      <c r="H59" s="3205" t="s">
        <v>3284</v>
      </c>
      <c r="I59" s="3214">
        <v>1133.31</v>
      </c>
      <c r="J59" s="3315">
        <v>10914.58</v>
      </c>
    </row>
    <row r="60" spans="1:10" ht="15">
      <c r="A60" s="3205" t="s">
        <v>3278</v>
      </c>
      <c r="B60" s="3205" t="s">
        <v>3284</v>
      </c>
      <c r="C60" s="3205" t="s">
        <v>3284</v>
      </c>
      <c r="D60" s="3205">
        <v>1009.44</v>
      </c>
      <c r="E60" s="3205">
        <v>101.89</v>
      </c>
      <c r="F60" s="3205">
        <v>20.170000000000002</v>
      </c>
      <c r="G60" s="3307"/>
      <c r="H60" s="3205" t="s">
        <v>3284</v>
      </c>
      <c r="I60" s="3214" t="s">
        <v>3285</v>
      </c>
      <c r="J60" s="3315"/>
    </row>
    <row r="61" spans="1:10" ht="15">
      <c r="A61" s="3205" t="s">
        <v>3300</v>
      </c>
      <c r="B61" s="3205">
        <f>SUM(B53:B60)</f>
        <v>47499.75</v>
      </c>
      <c r="C61" s="3205">
        <f t="shared" ref="C61:I61" si="3">SUM(C53:C60)</f>
        <v>72.33</v>
      </c>
      <c r="D61" s="3205">
        <f t="shared" si="3"/>
        <v>1009.44</v>
      </c>
      <c r="E61" s="3205">
        <f t="shared" si="3"/>
        <v>101.89</v>
      </c>
      <c r="F61" s="3205">
        <f t="shared" si="3"/>
        <v>20.170000000000002</v>
      </c>
      <c r="G61" s="3205">
        <f t="shared" si="3"/>
        <v>5372.47</v>
      </c>
      <c r="H61" s="3205">
        <f t="shared" si="3"/>
        <v>1909.77</v>
      </c>
      <c r="I61" s="3214">
        <f t="shared" si="3"/>
        <v>1133.31</v>
      </c>
      <c r="J61" s="3171">
        <f>SUM(J53:J60)</f>
        <v>47338.200000000004</v>
      </c>
    </row>
    <row r="62" spans="1:10">
      <c r="A62" s="3206" t="s">
        <v>3301</v>
      </c>
      <c r="B62" s="3306">
        <f>SUM(B61:F61)</f>
        <v>48703.58</v>
      </c>
      <c r="C62" s="3306"/>
      <c r="D62" s="3306"/>
      <c r="E62" s="3306"/>
      <c r="F62" s="3306"/>
      <c r="G62" s="3306">
        <f>SUM(G61:I61)</f>
        <v>8415.5499999999993</v>
      </c>
      <c r="H62" s="3306"/>
      <c r="I62" s="3306"/>
    </row>
    <row r="63" spans="1:10">
      <c r="B63" s="3181"/>
      <c r="C63" s="3196">
        <f>(B59+C59)/B62</f>
        <v>0.20583620341666872</v>
      </c>
      <c r="D63" s="3207"/>
      <c r="E63" s="3207"/>
      <c r="F63" s="3181"/>
      <c r="G63" s="3209">
        <f>ROUND(G61*$C63,2)</f>
        <v>1105.8499999999999</v>
      </c>
      <c r="H63" s="3209">
        <f t="shared" ref="H63:I63" si="4">ROUND(H61*$C63,2)</f>
        <v>393.1</v>
      </c>
      <c r="I63" s="3209">
        <f t="shared" si="4"/>
        <v>233.28</v>
      </c>
    </row>
    <row r="64" spans="1:10">
      <c r="B64" s="3210">
        <f>B59+C59</f>
        <v>10024.959999999999</v>
      </c>
      <c r="C64" s="3181"/>
    </row>
    <row r="65" spans="1:4">
      <c r="A65" s="3212" t="s">
        <v>3305</v>
      </c>
      <c r="B65" s="3203">
        <f>B59/B64</f>
        <v>0.99278500861848828</v>
      </c>
      <c r="C65" s="3203">
        <f>C59/B64</f>
        <v>7.2149913815117471E-3</v>
      </c>
    </row>
    <row r="66" spans="1:4">
      <c r="A66" s="3212" t="s">
        <v>3303</v>
      </c>
      <c r="B66" s="3203">
        <f>ROUND(B65*H38,2)</f>
        <v>175.2</v>
      </c>
      <c r="C66" s="3203">
        <f>ROUND(H38*C65,2)</f>
        <v>1.27</v>
      </c>
    </row>
    <row r="67" spans="1:4">
      <c r="A67" s="3212" t="s">
        <v>3304</v>
      </c>
      <c r="B67" s="3213">
        <f>B59-B66</f>
        <v>9777.4299999999985</v>
      </c>
      <c r="C67" s="3213">
        <f>C59-C66</f>
        <v>71.06</v>
      </c>
    </row>
    <row r="68" spans="1:4">
      <c r="A68" s="3211"/>
      <c r="B68" s="3210"/>
      <c r="C68" s="3210"/>
    </row>
    <row r="69" spans="1:4">
      <c r="B69" s="3194" t="s">
        <v>3281</v>
      </c>
      <c r="C69" s="3182">
        <v>60</v>
      </c>
      <c r="D69" s="3195" t="s">
        <v>3282</v>
      </c>
    </row>
    <row r="70" spans="1:4">
      <c r="D70" s="3195" t="s">
        <v>3283</v>
      </c>
    </row>
  </sheetData>
  <mergeCells count="19">
    <mergeCell ref="J59:J60"/>
    <mergeCell ref="D35:E35"/>
    <mergeCell ref="I35:I37"/>
    <mergeCell ref="D36:E36"/>
    <mergeCell ref="D37:E37"/>
    <mergeCell ref="G53:G60"/>
    <mergeCell ref="A26:B26"/>
    <mergeCell ref="D29:E29"/>
    <mergeCell ref="D30:E30"/>
    <mergeCell ref="I30:I34"/>
    <mergeCell ref="D31:E31"/>
    <mergeCell ref="D32:E32"/>
    <mergeCell ref="D33:E33"/>
    <mergeCell ref="D34:E34"/>
    <mergeCell ref="B62:F62"/>
    <mergeCell ref="G62:I62"/>
    <mergeCell ref="A51:A52"/>
    <mergeCell ref="B51:F51"/>
    <mergeCell ref="G51:I51"/>
  </mergeCells>
  <phoneticPr fontId="143"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875" style="2388" customWidth="1"/>
    <col min="10" max="10" width="2.625" style="2387" customWidth="1"/>
    <col min="11" max="11" width="11.875" style="2387" customWidth="1"/>
    <col min="12" max="12" width="16.875" style="2388" customWidth="1"/>
    <col min="13" max="13" width="2.625" style="2387" customWidth="1"/>
    <col min="14" max="14" width="11.875" style="2387" customWidth="1"/>
    <col min="15" max="15" width="16.875" style="2388" customWidth="1"/>
    <col min="16" max="16" width="2.625" style="2387" customWidth="1"/>
    <col min="17" max="17" width="11.875" style="2387" customWidth="1"/>
    <col min="18" max="18" width="16.875" style="2389" customWidth="1"/>
    <col min="19" max="29" width="9" style="2359"/>
    <col min="30" max="16384" width="9" style="2360"/>
  </cols>
  <sheetData>
    <row r="1" spans="1:29" s="2353" customFormat="1" ht="19.5" thickBot="1">
      <c r="A1" s="3316" t="s">
        <v>2076</v>
      </c>
      <c r="B1" s="3317"/>
      <c r="C1" s="3317"/>
      <c r="D1" s="3317"/>
      <c r="E1" s="3317"/>
      <c r="F1" s="3317"/>
      <c r="G1" s="3317"/>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2077</v>
      </c>
      <c r="D2" s="2357"/>
      <c r="E2" s="2358"/>
      <c r="F2" s="2278"/>
      <c r="G2" s="2356" t="s">
        <v>2078</v>
      </c>
      <c r="H2" s="2359"/>
      <c r="I2" s="2359"/>
      <c r="J2" s="2359"/>
      <c r="K2" s="2359"/>
      <c r="L2" s="2359"/>
      <c r="M2" s="2359"/>
      <c r="N2" s="2359"/>
      <c r="O2" s="2359"/>
      <c r="P2" s="2359"/>
      <c r="Q2" s="2359"/>
      <c r="R2" s="2359"/>
    </row>
    <row r="3" spans="1:29" ht="54">
      <c r="A3" s="415" t="s">
        <v>2079</v>
      </c>
      <c r="B3" s="1268" t="s">
        <v>2080</v>
      </c>
      <c r="C3" s="2361" t="s">
        <v>2081</v>
      </c>
      <c r="D3" s="2362"/>
      <c r="E3" s="431" t="s">
        <v>2079</v>
      </c>
      <c r="F3" s="2363" t="s">
        <v>2082</v>
      </c>
      <c r="G3" s="2364" t="s">
        <v>2083</v>
      </c>
      <c r="H3" s="2359"/>
      <c r="I3" s="2359"/>
      <c r="J3" s="2359"/>
      <c r="K3" s="2359"/>
      <c r="L3" s="2359"/>
      <c r="M3" s="2359"/>
      <c r="N3" s="2359"/>
      <c r="O3" s="2359"/>
      <c r="P3" s="2359"/>
      <c r="Q3" s="2359"/>
      <c r="R3" s="2359"/>
    </row>
    <row r="4" spans="1:29" ht="41.25">
      <c r="A4" s="431"/>
      <c r="B4" s="1787" t="s">
        <v>2084</v>
      </c>
      <c r="C4" s="2365" t="s">
        <v>2085</v>
      </c>
      <c r="D4" s="2362"/>
      <c r="E4" s="2366"/>
      <c r="F4" s="42" t="s">
        <v>2086</v>
      </c>
      <c r="G4" s="2367" t="s">
        <v>2087</v>
      </c>
      <c r="H4" s="2359"/>
      <c r="I4" s="2359"/>
      <c r="J4" s="2359"/>
      <c r="K4" s="2359"/>
      <c r="L4" s="2359"/>
      <c r="M4" s="2359"/>
      <c r="N4" s="2359"/>
      <c r="O4" s="2359"/>
      <c r="P4" s="2359"/>
      <c r="Q4" s="2359"/>
      <c r="R4" s="2359"/>
    </row>
    <row r="5" spans="1:29" ht="41.25">
      <c r="A5" s="431"/>
      <c r="B5" s="1787" t="s">
        <v>2088</v>
      </c>
      <c r="C5" s="2365" t="s">
        <v>2089</v>
      </c>
      <c r="D5" s="2362"/>
      <c r="E5" s="2366"/>
      <c r="F5" s="1787" t="s">
        <v>2090</v>
      </c>
      <c r="G5" s="2367" t="s">
        <v>2091</v>
      </c>
      <c r="H5" s="2359"/>
      <c r="I5" s="2359"/>
      <c r="J5" s="2359"/>
      <c r="K5" s="2359"/>
      <c r="L5" s="2359"/>
      <c r="M5" s="2359"/>
      <c r="N5" s="2359"/>
      <c r="O5" s="2359"/>
      <c r="P5" s="2359"/>
      <c r="Q5" s="2359"/>
      <c r="R5" s="2359"/>
    </row>
    <row r="6" spans="1:29" ht="54">
      <c r="A6" s="431"/>
      <c r="B6" s="1787" t="s">
        <v>2092</v>
      </c>
      <c r="C6" s="2367" t="s">
        <v>2087</v>
      </c>
      <c r="D6" s="2362"/>
      <c r="E6" s="2366"/>
      <c r="F6" s="1787" t="s">
        <v>2093</v>
      </c>
      <c r="G6" s="2367" t="s">
        <v>2094</v>
      </c>
      <c r="H6" s="2359"/>
      <c r="I6" s="2359"/>
      <c r="J6" s="2359"/>
      <c r="K6" s="2359"/>
      <c r="L6" s="2359"/>
      <c r="M6" s="2359"/>
      <c r="N6" s="2359"/>
      <c r="O6" s="2359"/>
      <c r="P6" s="2359"/>
      <c r="Q6" s="2359"/>
      <c r="R6" s="2359"/>
    </row>
    <row r="7" spans="1:29" ht="41.25" thickBot="1">
      <c r="A7" s="431"/>
      <c r="B7" s="1787" t="s">
        <v>2090</v>
      </c>
      <c r="C7" s="2367" t="s">
        <v>2091</v>
      </c>
      <c r="D7" s="2368"/>
      <c r="E7" s="2369"/>
      <c r="F7" s="2370" t="s">
        <v>2095</v>
      </c>
      <c r="G7" s="2371" t="s">
        <v>2096</v>
      </c>
      <c r="H7" s="2359"/>
      <c r="I7" s="2359"/>
      <c r="J7" s="2359"/>
      <c r="K7" s="2359"/>
      <c r="L7" s="2359"/>
      <c r="M7" s="2359"/>
      <c r="N7" s="2359"/>
      <c r="O7" s="2359"/>
      <c r="P7" s="2359"/>
      <c r="Q7" s="2359"/>
      <c r="R7" s="2359"/>
    </row>
    <row r="8" spans="1:29" ht="27">
      <c r="A8" s="431"/>
      <c r="B8" s="1787" t="s">
        <v>2093</v>
      </c>
      <c r="C8" s="2367" t="s">
        <v>2094</v>
      </c>
      <c r="D8" s="2368"/>
      <c r="E8" s="2368"/>
      <c r="F8" s="1133"/>
      <c r="G8" s="1133"/>
      <c r="H8" s="2359"/>
      <c r="I8" s="2359"/>
      <c r="J8" s="2359"/>
      <c r="K8" s="2359"/>
      <c r="L8" s="2359"/>
      <c r="M8" s="2359"/>
      <c r="N8" s="2359"/>
      <c r="O8" s="2359"/>
      <c r="P8" s="2359"/>
      <c r="Q8" s="2359"/>
      <c r="R8" s="2359"/>
    </row>
    <row r="9" spans="1:29" ht="27">
      <c r="A9" s="431"/>
      <c r="B9" s="1787" t="s">
        <v>2097</v>
      </c>
      <c r="C9" s="2365" t="s">
        <v>2098</v>
      </c>
      <c r="D9" s="2362"/>
      <c r="E9" s="2368"/>
      <c r="F9" s="1133"/>
      <c r="G9" s="1133"/>
      <c r="H9" s="2359"/>
      <c r="I9" s="2359"/>
      <c r="J9" s="2359"/>
      <c r="K9" s="2359"/>
      <c r="L9" s="2359"/>
      <c r="M9" s="2359"/>
      <c r="N9" s="2359"/>
      <c r="O9" s="2359"/>
      <c r="P9" s="2359"/>
      <c r="Q9" s="2359"/>
      <c r="R9" s="2359"/>
    </row>
    <row r="10" spans="1:29" s="117" customFormat="1" ht="15.75" thickBot="1">
      <c r="A10" s="2372"/>
      <c r="B10" s="2373" t="s">
        <v>2099</v>
      </c>
      <c r="C10" s="2374"/>
      <c r="D10" s="2362"/>
      <c r="E10" s="2362"/>
      <c r="F10" s="1133"/>
      <c r="G10" s="1133"/>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51"/>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51"/>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2100</v>
      </c>
      <c r="B13" s="2379"/>
      <c r="C13" s="2379"/>
      <c r="D13" s="2386"/>
      <c r="E13" s="2379"/>
      <c r="F13" s="2379"/>
      <c r="G13" s="2379"/>
    </row>
    <row r="14" spans="1:29" ht="15.75" thickBot="1">
      <c r="A14" s="2390"/>
      <c r="B14" s="2391"/>
      <c r="C14" s="2392" t="s">
        <v>2101</v>
      </c>
      <c r="D14" s="2362"/>
      <c r="E14" s="2393"/>
      <c r="F14" s="2393"/>
      <c r="G14" s="2356" t="s">
        <v>2102</v>
      </c>
    </row>
    <row r="15" spans="1:29" ht="57">
      <c r="A15" s="68" t="s">
        <v>2103</v>
      </c>
      <c r="B15" s="1267" t="s">
        <v>2080</v>
      </c>
      <c r="C15" s="2394" t="str">
        <f>C3</f>
        <v>估价对象周边居住用地比例、居住小区规模和社区发展完善程度，综合评价居住社区成熟度一般</v>
      </c>
      <c r="D15" s="2362"/>
      <c r="E15" s="2395" t="s">
        <v>2104</v>
      </c>
      <c r="F15" s="1267" t="s">
        <v>2105</v>
      </c>
      <c r="G15" s="135" t="str">
        <f>G3</f>
        <v>估价对象位于XX开发区，园区建设成熟度XX，产业集聚程度XX</v>
      </c>
    </row>
    <row r="16" spans="1:29" ht="42.75">
      <c r="A16" s="645"/>
      <c r="B16" s="2396" t="s">
        <v>2084</v>
      </c>
      <c r="C16" s="2397" t="str">
        <f>C4</f>
        <v>估价对象位于XX商圈，周边商业氛围成熟，人流量大，商业繁华度好</v>
      </c>
      <c r="D16" s="2362"/>
      <c r="E16" s="2398"/>
      <c r="F16" s="2399" t="s">
        <v>2086</v>
      </c>
      <c r="G16" s="136" t="str">
        <f>G4</f>
        <v>估价对象周边道路状况、公共交通通达情况、停车便捷程度，综合评价交通便捷度较好</v>
      </c>
    </row>
    <row r="17" spans="1:18" ht="42.75">
      <c r="A17" s="645"/>
      <c r="B17" s="2396" t="s">
        <v>2088</v>
      </c>
      <c r="C17" s="2397" t="str">
        <f>C5</f>
        <v>估价对象位于XX商圈，周边办公楼项目较多，入驻率高，办公集聚程度较好</v>
      </c>
      <c r="D17" s="2368"/>
      <c r="E17" s="2398"/>
      <c r="F17" s="2399" t="s">
        <v>2106</v>
      </c>
      <c r="G17" s="1569"/>
    </row>
    <row r="18" spans="1:18" ht="57">
      <c r="A18" s="645"/>
      <c r="B18" s="2399" t="s">
        <v>2092</v>
      </c>
      <c r="C18" s="136" t="str">
        <f>C6</f>
        <v>估价对象周边道路状况、公共交通通达情况、停车便捷程度，综合评价交通便捷度较好</v>
      </c>
      <c r="D18" s="2368"/>
      <c r="E18" s="2398"/>
      <c r="F18" s="2399" t="s">
        <v>2095</v>
      </c>
      <c r="G18" s="136" t="str">
        <f>G7</f>
        <v>该园区内是否有污染型企业，绿化情况，卫生条件，整体环境状况判断</v>
      </c>
    </row>
    <row r="19" spans="1:18" ht="28.5">
      <c r="A19" s="645"/>
      <c r="B19" s="2399" t="s">
        <v>2107</v>
      </c>
      <c r="C19" s="1569"/>
      <c r="D19" s="2362"/>
      <c r="E19" s="2398"/>
      <c r="F19" s="1787" t="s">
        <v>2090</v>
      </c>
      <c r="G19" s="136" t="str">
        <f>G5</f>
        <v>估价对象所在区域公共配套设施齐备情况</v>
      </c>
    </row>
    <row r="20" spans="1:18" ht="28.5">
      <c r="A20" s="645"/>
      <c r="B20" s="2399" t="s">
        <v>2108</v>
      </c>
      <c r="C20" s="2397" t="str">
        <f>C9</f>
        <v>区域自然环境：；人文环境；综合评价环境状况一般</v>
      </c>
      <c r="D20" s="2368"/>
      <c r="E20" s="2398"/>
      <c r="F20" s="1787" t="s">
        <v>2109</v>
      </c>
      <c r="G20" s="136" t="str">
        <f>G6</f>
        <v>估价对象所在区域基础设施水平</v>
      </c>
    </row>
    <row r="21" spans="1:18" ht="28.5">
      <c r="A21" s="645"/>
      <c r="B21" s="1787" t="s">
        <v>2090</v>
      </c>
      <c r="C21" s="136" t="str">
        <f>C7</f>
        <v>估价对象所在区域公共配套设施齐备情况</v>
      </c>
      <c r="D21" s="2362"/>
      <c r="E21" s="2398"/>
      <c r="F21" s="2399" t="s">
        <v>2110</v>
      </c>
      <c r="G21" s="2400"/>
    </row>
    <row r="22" spans="1:18" ht="13.5" customHeight="1">
      <c r="A22" s="645"/>
      <c r="B22" s="1787" t="s">
        <v>2093</v>
      </c>
      <c r="C22" s="136" t="str">
        <f>C8</f>
        <v>估价对象所在区域基础设施水平</v>
      </c>
      <c r="D22" s="2362"/>
      <c r="E22" s="2398"/>
      <c r="F22" s="2399" t="s">
        <v>2099</v>
      </c>
      <c r="G22" s="1569"/>
    </row>
    <row r="23" spans="1:18" s="2359" customFormat="1" ht="15.75" thickBot="1">
      <c r="A23" s="645"/>
      <c r="B23" s="2399" t="s">
        <v>2110</v>
      </c>
      <c r="C23" s="2400"/>
      <c r="D23" s="2387"/>
      <c r="E23" s="2401"/>
      <c r="F23" s="2402" t="s">
        <v>2111</v>
      </c>
      <c r="G23" s="2403"/>
      <c r="H23" s="2387"/>
      <c r="I23" s="2388"/>
      <c r="J23" s="2387"/>
      <c r="K23" s="2387"/>
      <c r="L23" s="2388"/>
      <c r="M23" s="2387"/>
      <c r="N23" s="2387"/>
      <c r="O23" s="2388"/>
      <c r="P23" s="2387"/>
      <c r="Q23" s="2387"/>
      <c r="R23" s="2389"/>
    </row>
    <row r="24" spans="1:18" s="2359" customFormat="1" ht="15.75" thickBot="1">
      <c r="A24" s="2404"/>
      <c r="B24" s="2402" t="s">
        <v>2112</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3"/>
  <sheetViews>
    <sheetView topLeftCell="A7" workbookViewId="0">
      <selection activeCell="D18" sqref="D18"/>
    </sheetView>
  </sheetViews>
  <sheetFormatPr defaultColWidth="9" defaultRowHeight="13.5"/>
  <cols>
    <col min="1" max="1" width="23.375" style="2952" customWidth="1"/>
    <col min="2" max="9" width="15.875" style="2952" customWidth="1"/>
    <col min="10" max="16384" width="9" style="2952"/>
  </cols>
  <sheetData>
    <row r="1" spans="1:10" ht="16.5">
      <c r="A1" s="2953" t="s">
        <v>1360</v>
      </c>
      <c r="B1" s="2953">
        <f>SUM(B14:B23)</f>
        <v>9952.6299999999992</v>
      </c>
      <c r="C1" s="2950"/>
      <c r="D1" s="2950"/>
      <c r="E1" s="2950"/>
      <c r="F1" s="2950"/>
      <c r="G1" s="2951"/>
    </row>
    <row r="2" spans="1:10" ht="16.5">
      <c r="A2" s="2953" t="s">
        <v>1348</v>
      </c>
      <c r="B2" s="2953">
        <f>SUM(C14:C23)</f>
        <v>0</v>
      </c>
      <c r="C2" s="2950"/>
      <c r="D2" s="2950"/>
      <c r="E2" s="2950"/>
      <c r="F2" s="2950"/>
      <c r="G2" s="2951"/>
    </row>
    <row r="3" spans="1:10" ht="16.5">
      <c r="A3" s="2953" t="s">
        <v>1357</v>
      </c>
      <c r="B3" s="2954">
        <f>项目基本情况!D3</f>
        <v>44425</v>
      </c>
      <c r="C3" s="2950"/>
      <c r="D3" s="2950"/>
      <c r="E3" s="2950"/>
      <c r="F3" s="2950"/>
      <c r="G3" s="2951"/>
    </row>
    <row r="4" spans="1:10" ht="33">
      <c r="A4" s="2953" t="s">
        <v>1356</v>
      </c>
      <c r="B4" s="2953" t="s">
        <v>1355</v>
      </c>
      <c r="C4" s="2953" t="s">
        <v>1354</v>
      </c>
      <c r="D4" s="2953" t="s">
        <v>1353</v>
      </c>
      <c r="E4" s="2950"/>
      <c r="F4" s="2951"/>
      <c r="G4" s="2951"/>
    </row>
    <row r="5" spans="1:10" ht="16.5">
      <c r="A5" s="2953" t="s">
        <v>1352</v>
      </c>
      <c r="B5" s="2953">
        <f ca="1">SUM(D14:D23)</f>
        <v>9741</v>
      </c>
      <c r="C5" s="2953">
        <f ca="1">ROUND(B5*10000/$B$1,0)</f>
        <v>9787</v>
      </c>
      <c r="D5" s="2953" t="e">
        <f ca="1">ROUND(B5*10000/$B$2,0)</f>
        <v>#DIV/0!</v>
      </c>
      <c r="E5" s="2950"/>
      <c r="F5" s="2951"/>
      <c r="G5" s="2951"/>
    </row>
    <row r="6" spans="1:10" ht="16.5">
      <c r="A6" s="2953" t="s">
        <v>1351</v>
      </c>
      <c r="B6" s="2953">
        <f ca="1">SUM(G14:G23)</f>
        <v>9741</v>
      </c>
      <c r="C6" s="2953">
        <f ca="1">ROUND(B6*10000/$B$1,0)</f>
        <v>9787</v>
      </c>
      <c r="D6" s="2953" t="e">
        <f ca="1">ROUND(B6*10000/$B$2,0)</f>
        <v>#DIV/0!</v>
      </c>
      <c r="E6" s="2950"/>
      <c r="F6" s="2951"/>
      <c r="G6" s="2951"/>
    </row>
    <row r="7" spans="1:10" ht="16.5">
      <c r="A7" s="2953" t="s">
        <v>1359</v>
      </c>
      <c r="B7" s="2953">
        <f>SUM(H14:H23)</f>
        <v>0</v>
      </c>
      <c r="C7" s="2953">
        <f>ROUND(B7*10000/$B$1,0)</f>
        <v>0</v>
      </c>
      <c r="D7" s="2953" t="e">
        <f>ROUND(B7*10000/$B$2,0)</f>
        <v>#DIV/0!</v>
      </c>
      <c r="E7" s="2950"/>
      <c r="F7" s="2951"/>
      <c r="G7" s="2951"/>
    </row>
    <row r="8" spans="1:10" ht="16.5">
      <c r="A8" s="2953" t="s">
        <v>1280</v>
      </c>
      <c r="B8" s="2953">
        <f>SUM(I14:I23)</f>
        <v>0</v>
      </c>
      <c r="C8" s="2953">
        <f>ROUND(B8*10000/$B$1,0)</f>
        <v>0</v>
      </c>
      <c r="D8" s="2953" t="e">
        <f>ROUND(B8*10000/$B$2,0)</f>
        <v>#DIV/0!</v>
      </c>
      <c r="E8" s="2950"/>
      <c r="F8" s="2951"/>
      <c r="G8" s="2951"/>
    </row>
    <row r="9" spans="1:10" ht="16.5">
      <c r="A9" s="2953" t="s">
        <v>1350</v>
      </c>
      <c r="B9" s="1738"/>
      <c r="C9" s="2950"/>
      <c r="D9" s="2950"/>
      <c r="E9" s="2950"/>
      <c r="F9" s="2951"/>
      <c r="G9" s="2951"/>
    </row>
    <row r="10" spans="1:10" ht="16.5">
      <c r="A10" s="2953" t="s">
        <v>1349</v>
      </c>
      <c r="B10" s="1738"/>
      <c r="C10" s="2950"/>
      <c r="D10" s="2950"/>
      <c r="E10" s="2950"/>
      <c r="F10" s="2951"/>
      <c r="G10" s="2951"/>
    </row>
    <row r="11" spans="1:10" ht="16.5">
      <c r="A11" s="2953" t="s">
        <v>1365</v>
      </c>
      <c r="B11" s="1738"/>
      <c r="C11" s="2950"/>
      <c r="D11" s="2950"/>
      <c r="E11" s="2950"/>
      <c r="F11" s="2951"/>
      <c r="G11" s="2951"/>
    </row>
    <row r="12" spans="1:10" ht="16.5">
      <c r="A12" s="2950"/>
      <c r="B12" s="2950"/>
      <c r="C12" s="2950"/>
      <c r="D12" s="2950"/>
      <c r="E12" s="2950"/>
      <c r="F12" s="2951"/>
      <c r="G12" s="2951"/>
    </row>
    <row r="13" spans="1:10" ht="33">
      <c r="A13" s="2955" t="s">
        <v>1364</v>
      </c>
      <c r="B13" s="2956" t="s">
        <v>1361</v>
      </c>
      <c r="C13" s="2956" t="s">
        <v>1363</v>
      </c>
      <c r="D13" s="2956" t="s">
        <v>1362</v>
      </c>
      <c r="E13" s="2953" t="s">
        <v>1354</v>
      </c>
      <c r="F13" s="2953" t="s">
        <v>1353</v>
      </c>
      <c r="G13" s="2956" t="s">
        <v>1347</v>
      </c>
      <c r="H13" s="2956" t="s">
        <v>1358</v>
      </c>
      <c r="I13" s="2956" t="s">
        <v>1346</v>
      </c>
      <c r="J13" s="2951"/>
    </row>
    <row r="14" spans="1:10" ht="16.5">
      <c r="A14" s="2957" t="s">
        <v>1345</v>
      </c>
      <c r="B14" s="2958">
        <f>结果表!B118</f>
        <v>9952.6299999999992</v>
      </c>
      <c r="C14" s="2958">
        <f>结果表!C118</f>
        <v>0</v>
      </c>
      <c r="D14" s="2958">
        <f ca="1">结果表!H118</f>
        <v>9741</v>
      </c>
      <c r="E14" s="2956">
        <f ca="1">ROUND(D14*10000/B14,0)</f>
        <v>9787</v>
      </c>
      <c r="F14" s="2956" t="e">
        <f ca="1">ROUND(D14*10000/C14,0)</f>
        <v>#DIV/0!</v>
      </c>
      <c r="G14" s="2958">
        <f ca="1">结果表!D122</f>
        <v>9741</v>
      </c>
      <c r="H14" s="2958" t="str">
        <f>结果表!D124</f>
        <v>——</v>
      </c>
      <c r="I14" s="2958" t="str">
        <f>结果表!D126</f>
        <v>——</v>
      </c>
      <c r="J14" s="2951"/>
    </row>
    <row r="15" spans="1:10" ht="16.5">
      <c r="A15" s="2957" t="s">
        <v>1344</v>
      </c>
      <c r="B15" s="1739"/>
      <c r="C15" s="1739"/>
      <c r="D15" s="1739"/>
      <c r="E15" s="2956" t="e">
        <f t="shared" ref="E15:E23" si="0">ROUND(D15*10000/B15,0)</f>
        <v>#DIV/0!</v>
      </c>
      <c r="F15" s="2956" t="e">
        <f t="shared" ref="F15:F23" si="1">ROUND(D15*10000/C15,0)</f>
        <v>#DIV/0!</v>
      </c>
      <c r="G15" s="1740"/>
      <c r="H15" s="1740"/>
      <c r="I15" s="1739"/>
      <c r="J15" s="2951"/>
    </row>
    <row r="16" spans="1:10" ht="16.5">
      <c r="A16" s="2957" t="s">
        <v>1343</v>
      </c>
      <c r="B16" s="1739"/>
      <c r="C16" s="1739"/>
      <c r="D16" s="1739"/>
      <c r="E16" s="2956" t="e">
        <f t="shared" si="0"/>
        <v>#DIV/0!</v>
      </c>
      <c r="F16" s="2956" t="e">
        <f t="shared" si="1"/>
        <v>#DIV/0!</v>
      </c>
      <c r="G16" s="1740"/>
      <c r="H16" s="1740"/>
      <c r="I16" s="1739"/>
    </row>
    <row r="17" spans="1:9" ht="16.5">
      <c r="A17" s="2957" t="s">
        <v>1342</v>
      </c>
      <c r="B17" s="1739"/>
      <c r="C17" s="1739"/>
      <c r="D17" s="1739"/>
      <c r="E17" s="2956" t="e">
        <f t="shared" si="0"/>
        <v>#DIV/0!</v>
      </c>
      <c r="F17" s="2956" t="e">
        <f t="shared" si="1"/>
        <v>#DIV/0!</v>
      </c>
      <c r="G17" s="1740"/>
      <c r="H17" s="1740"/>
      <c r="I17" s="1739"/>
    </row>
    <row r="18" spans="1:9" ht="16.5">
      <c r="A18" s="2957" t="s">
        <v>1341</v>
      </c>
      <c r="B18" s="1739"/>
      <c r="C18" s="1739"/>
      <c r="D18" s="1739"/>
      <c r="E18" s="2956" t="e">
        <f t="shared" si="0"/>
        <v>#DIV/0!</v>
      </c>
      <c r="F18" s="2956" t="e">
        <f t="shared" si="1"/>
        <v>#DIV/0!</v>
      </c>
      <c r="G18" s="1739"/>
      <c r="H18" s="1739"/>
      <c r="I18" s="1739"/>
    </row>
    <row r="19" spans="1:9" ht="16.5">
      <c r="A19" s="2957" t="s">
        <v>1340</v>
      </c>
      <c r="B19" s="1739"/>
      <c r="C19" s="1739"/>
      <c r="D19" s="1739"/>
      <c r="E19" s="2956" t="e">
        <f t="shared" si="0"/>
        <v>#DIV/0!</v>
      </c>
      <c r="F19" s="2956" t="e">
        <f t="shared" si="1"/>
        <v>#DIV/0!</v>
      </c>
      <c r="G19" s="1739"/>
      <c r="H19" s="1739"/>
      <c r="I19" s="1739"/>
    </row>
    <row r="20" spans="1:9" ht="16.5">
      <c r="A20" s="2957" t="s">
        <v>1339</v>
      </c>
      <c r="B20" s="1739"/>
      <c r="C20" s="1739"/>
      <c r="D20" s="1739"/>
      <c r="E20" s="2956" t="e">
        <f t="shared" si="0"/>
        <v>#DIV/0!</v>
      </c>
      <c r="F20" s="2956" t="e">
        <f t="shared" si="1"/>
        <v>#DIV/0!</v>
      </c>
      <c r="G20" s="1739"/>
      <c r="H20" s="1739"/>
      <c r="I20" s="1739"/>
    </row>
    <row r="21" spans="1:9" ht="16.5">
      <c r="A21" s="2957" t="s">
        <v>1338</v>
      </c>
      <c r="B21" s="1739"/>
      <c r="C21" s="1739"/>
      <c r="D21" s="1739"/>
      <c r="E21" s="2956" t="e">
        <f t="shared" si="0"/>
        <v>#DIV/0!</v>
      </c>
      <c r="F21" s="2956" t="e">
        <f t="shared" si="1"/>
        <v>#DIV/0!</v>
      </c>
      <c r="G21" s="1739"/>
      <c r="H21" s="1739"/>
      <c r="I21" s="1739"/>
    </row>
    <row r="22" spans="1:9" ht="16.5">
      <c r="A22" s="2957" t="s">
        <v>1337</v>
      </c>
      <c r="B22" s="1739"/>
      <c r="C22" s="1739"/>
      <c r="D22" s="1739"/>
      <c r="E22" s="2956" t="e">
        <f t="shared" si="0"/>
        <v>#DIV/0!</v>
      </c>
      <c r="F22" s="2956" t="e">
        <f t="shared" si="1"/>
        <v>#DIV/0!</v>
      </c>
      <c r="G22" s="1739"/>
      <c r="H22" s="1739"/>
      <c r="I22" s="1739"/>
    </row>
    <row r="23" spans="1:9" ht="16.5">
      <c r="A23" s="2957" t="s">
        <v>1336</v>
      </c>
      <c r="B23" s="1739"/>
      <c r="C23" s="1739"/>
      <c r="D23" s="1739"/>
      <c r="E23" s="2953" t="e">
        <f t="shared" si="0"/>
        <v>#DIV/0!</v>
      </c>
      <c r="F23" s="2953"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N46"/>
  <sheetViews>
    <sheetView workbookViewId="0">
      <selection activeCell="C17" sqref="C17"/>
    </sheetView>
  </sheetViews>
  <sheetFormatPr defaultColWidth="11" defaultRowHeight="13.5"/>
  <cols>
    <col min="1" max="1" width="16.5" style="2970" customWidth="1"/>
    <col min="2" max="2" width="16" style="2970" customWidth="1"/>
    <col min="3" max="16384" width="11" style="2970"/>
  </cols>
  <sheetData>
    <row r="2" spans="1:14">
      <c r="B2" s="2970" t="s">
        <v>3062</v>
      </c>
      <c r="C2" s="2970">
        <v>3.55</v>
      </c>
      <c r="D2" s="2970" t="s">
        <v>3063</v>
      </c>
    </row>
    <row r="3" spans="1:14">
      <c r="B3" s="2970" t="s">
        <v>3064</v>
      </c>
      <c r="C3" s="2970">
        <v>8.875</v>
      </c>
      <c r="D3" s="2970" t="s">
        <v>3065</v>
      </c>
    </row>
    <row r="4" spans="1:14">
      <c r="B4" s="2970" t="s">
        <v>3066</v>
      </c>
      <c r="C4" s="2970">
        <v>2.5</v>
      </c>
    </row>
    <row r="5" spans="1:14">
      <c r="B5" s="2970" t="s">
        <v>3067</v>
      </c>
      <c r="C5" s="2970">
        <v>60</v>
      </c>
      <c r="D5" s="2970" t="s">
        <v>3068</v>
      </c>
    </row>
    <row r="6" spans="1:14">
      <c r="B6" s="2970" t="s">
        <v>3069</v>
      </c>
      <c r="C6" s="2970">
        <v>0.51</v>
      </c>
      <c r="D6" s="2970" t="s">
        <v>3063</v>
      </c>
    </row>
    <row r="7" spans="1:14">
      <c r="B7" s="2970" t="s">
        <v>3064</v>
      </c>
      <c r="C7" s="2970">
        <v>0.41</v>
      </c>
      <c r="D7" s="2970" t="s">
        <v>3065</v>
      </c>
    </row>
    <row r="8" spans="1:14">
      <c r="B8" s="2970" t="s">
        <v>3066</v>
      </c>
      <c r="C8" s="2970">
        <v>0.8</v>
      </c>
    </row>
    <row r="9" spans="1:14">
      <c r="B9" s="2970" t="s">
        <v>3067</v>
      </c>
      <c r="C9" s="2970">
        <v>12</v>
      </c>
      <c r="D9" s="2970" t="s">
        <v>3068</v>
      </c>
    </row>
    <row r="11" spans="1:14">
      <c r="A11" s="2971" t="s">
        <v>3070</v>
      </c>
      <c r="B11" s="2970" t="s">
        <v>3071</v>
      </c>
      <c r="C11" s="2970">
        <v>35451.449999999997</v>
      </c>
      <c r="D11" s="2970" t="s">
        <v>3072</v>
      </c>
      <c r="H11" s="2970" t="s">
        <v>3073</v>
      </c>
      <c r="I11" s="2970" t="s">
        <v>3074</v>
      </c>
      <c r="J11" s="2970" t="s">
        <v>3075</v>
      </c>
      <c r="K11" s="2970" t="s">
        <v>3076</v>
      </c>
      <c r="L11" s="2970" t="s">
        <v>3077</v>
      </c>
    </row>
    <row r="12" spans="1:14">
      <c r="A12" s="2971"/>
      <c r="B12" s="2970" t="s">
        <v>3078</v>
      </c>
      <c r="C12" s="2970">
        <v>10635.434999999999</v>
      </c>
      <c r="D12" s="2970" t="str">
        <f>D11</f>
        <v>㎡</v>
      </c>
      <c r="E12" s="2972">
        <v>0.3</v>
      </c>
      <c r="F12" s="2970" t="s">
        <v>3079</v>
      </c>
      <c r="G12" s="2970" t="s">
        <v>3080</v>
      </c>
      <c r="H12" s="2970">
        <v>200</v>
      </c>
      <c r="I12" s="2970">
        <v>100</v>
      </c>
      <c r="K12" s="2970">
        <v>300</v>
      </c>
      <c r="L12" s="2970">
        <v>600</v>
      </c>
    </row>
    <row r="13" spans="1:14">
      <c r="A13" s="2971"/>
      <c r="B13" s="2970" t="s">
        <v>3081</v>
      </c>
      <c r="C13" s="2970">
        <v>24816.014999999999</v>
      </c>
      <c r="D13" s="2970" t="str">
        <f>D11</f>
        <v>㎡</v>
      </c>
      <c r="E13" s="2972">
        <v>0.7</v>
      </c>
      <c r="F13" s="2970" t="s">
        <v>3082</v>
      </c>
      <c r="G13" s="2970" t="s">
        <v>3083</v>
      </c>
      <c r="H13" s="2970">
        <v>366</v>
      </c>
      <c r="I13" s="2970">
        <v>228</v>
      </c>
      <c r="J13" s="2970">
        <v>90</v>
      </c>
      <c r="K13" s="2970">
        <v>753</v>
      </c>
      <c r="L13" s="2970">
        <v>1368</v>
      </c>
      <c r="N13" s="2970" t="s">
        <v>3084</v>
      </c>
    </row>
    <row r="14" spans="1:14">
      <c r="A14" s="2971"/>
      <c r="B14" s="2970" t="s">
        <v>3085</v>
      </c>
      <c r="E14" s="2972"/>
      <c r="K14" s="2970">
        <v>13</v>
      </c>
    </row>
    <row r="15" spans="1:14">
      <c r="A15" s="2971"/>
      <c r="E15" s="2972"/>
    </row>
    <row r="16" spans="1:14">
      <c r="A16" s="2971"/>
      <c r="C16" s="2970" t="s">
        <v>3086</v>
      </c>
      <c r="D16" s="2970" t="s">
        <v>3087</v>
      </c>
      <c r="E16" s="2970" t="s">
        <v>3088</v>
      </c>
    </row>
    <row r="17" spans="1:9">
      <c r="A17" s="2971"/>
      <c r="B17" s="2970" t="s">
        <v>3089</v>
      </c>
      <c r="C17" s="2970">
        <f>D17+E17</f>
        <v>138167.06</v>
      </c>
      <c r="D17" s="2970">
        <v>88579.74</v>
      </c>
      <c r="E17" s="2970">
        <v>49587.32</v>
      </c>
    </row>
    <row r="18" spans="1:9">
      <c r="A18" s="2971"/>
      <c r="B18" s="2970" t="s">
        <v>3090</v>
      </c>
      <c r="D18" s="2970">
        <v>25794.76</v>
      </c>
    </row>
    <row r="19" spans="1:9">
      <c r="A19" s="2971"/>
      <c r="B19" s="2970" t="s">
        <v>3091</v>
      </c>
      <c r="D19" s="2970">
        <v>61126.82</v>
      </c>
    </row>
    <row r="20" spans="1:9">
      <c r="A20" s="2971"/>
      <c r="B20" s="2970" t="s">
        <v>3092</v>
      </c>
      <c r="D20" s="2970">
        <v>1387.49</v>
      </c>
      <c r="E20" s="2970">
        <v>525</v>
      </c>
    </row>
    <row r="21" spans="1:9">
      <c r="A21" s="2971"/>
      <c r="B21" s="2970" t="s">
        <v>3093</v>
      </c>
      <c r="D21" s="2970">
        <v>3627</v>
      </c>
      <c r="E21" s="2970">
        <v>630</v>
      </c>
    </row>
    <row r="25" spans="1:9">
      <c r="D25" s="2970" t="s">
        <v>3087</v>
      </c>
      <c r="E25" s="2970" t="s">
        <v>3088</v>
      </c>
    </row>
    <row r="26" spans="1:9">
      <c r="A26" s="2973" t="s">
        <v>3094</v>
      </c>
      <c r="B26" s="2970" t="s">
        <v>3089</v>
      </c>
      <c r="C26" s="2970">
        <f>D26+E26</f>
        <v>88619</v>
      </c>
      <c r="D26" s="2970">
        <v>88619</v>
      </c>
    </row>
    <row r="27" spans="1:9">
      <c r="A27" s="2973"/>
      <c r="B27" s="2970" t="s">
        <v>3090</v>
      </c>
      <c r="D27" s="2970">
        <v>25736</v>
      </c>
      <c r="F27" s="2970">
        <f>D27/D26</f>
        <v>0.29041176271454205</v>
      </c>
    </row>
    <row r="28" spans="1:9">
      <c r="A28" s="2973"/>
      <c r="B28" s="2970" t="s">
        <v>3091</v>
      </c>
      <c r="D28" s="2970">
        <v>61214</v>
      </c>
    </row>
    <row r="29" spans="1:9">
      <c r="A29" s="2973"/>
      <c r="B29" s="2970" t="s">
        <v>3092</v>
      </c>
      <c r="D29" s="2970">
        <v>1399</v>
      </c>
    </row>
    <row r="30" spans="1:9">
      <c r="A30" s="2973"/>
      <c r="B30" s="2970" t="s">
        <v>3093</v>
      </c>
      <c r="I30" s="2970">
        <f>7160000/E35</f>
        <v>423.7438598567793</v>
      </c>
    </row>
    <row r="32" spans="1:9">
      <c r="A32" s="2974" t="s">
        <v>3095</v>
      </c>
      <c r="B32" s="2970" t="s">
        <v>3096</v>
      </c>
      <c r="C32" s="2970">
        <v>2.14</v>
      </c>
      <c r="D32" s="2970" t="s">
        <v>3097</v>
      </c>
      <c r="G32" s="2970">
        <v>21400</v>
      </c>
    </row>
    <row r="34" spans="1:10">
      <c r="C34" s="2970" t="s">
        <v>3086</v>
      </c>
      <c r="D34" s="2970" t="s">
        <v>3087</v>
      </c>
      <c r="E34" s="2970" t="s">
        <v>3088</v>
      </c>
    </row>
    <row r="35" spans="1:10">
      <c r="A35" s="2970" t="s">
        <v>3098</v>
      </c>
      <c r="B35" s="2970" t="str">
        <f>B18</f>
        <v>公租房（㎡）</v>
      </c>
      <c r="C35" s="2970">
        <v>42633</v>
      </c>
      <c r="D35" s="2970">
        <v>25795</v>
      </c>
      <c r="E35" s="2970">
        <v>16897</v>
      </c>
      <c r="H35" s="2970">
        <f>G32*F27</f>
        <v>6214.8117220912</v>
      </c>
      <c r="I35" s="2970">
        <f>E35/C35</f>
        <v>0.39633617151033235</v>
      </c>
      <c r="J35" s="2970">
        <f>I35*H35</f>
        <v>2463.1546845911616</v>
      </c>
    </row>
    <row r="36" spans="1:10">
      <c r="B36" s="2970" t="str">
        <f>B28</f>
        <v>共产房（㎡）</v>
      </c>
      <c r="C36" s="2970">
        <v>100349</v>
      </c>
      <c r="D36" s="2970">
        <v>61127</v>
      </c>
      <c r="E36" s="2970">
        <v>33839</v>
      </c>
    </row>
    <row r="38" spans="1:10" ht="18">
      <c r="B38" s="2970" t="s">
        <v>3099</v>
      </c>
      <c r="C38" s="2970">
        <v>6250</v>
      </c>
      <c r="D38" s="2970" t="s">
        <v>3100</v>
      </c>
      <c r="E38" s="2975" t="s">
        <v>3101</v>
      </c>
      <c r="G38" s="2970">
        <f>C38*D35</f>
        <v>161218750</v>
      </c>
    </row>
    <row r="39" spans="1:10" ht="18">
      <c r="A39" s="2970" t="s">
        <v>3102</v>
      </c>
      <c r="B39" s="2970" t="s">
        <v>3103</v>
      </c>
      <c r="C39" s="2970">
        <v>4050</v>
      </c>
      <c r="E39" s="2976" t="s">
        <v>3104</v>
      </c>
    </row>
    <row r="40" spans="1:10">
      <c r="B40" s="2970" t="s">
        <v>3105</v>
      </c>
      <c r="C40" s="2970">
        <v>1000</v>
      </c>
    </row>
    <row r="41" spans="1:10">
      <c r="B41" s="2970" t="s">
        <v>3106</v>
      </c>
      <c r="C41" s="2970">
        <v>1000</v>
      </c>
      <c r="H41" s="2970" t="s">
        <v>3116</v>
      </c>
      <c r="I41" s="2970">
        <v>16215.66</v>
      </c>
    </row>
    <row r="42" spans="1:10">
      <c r="B42" s="2970" t="s">
        <v>3107</v>
      </c>
      <c r="C42" s="2970">
        <v>150</v>
      </c>
      <c r="G42" s="2970" t="s">
        <v>3102</v>
      </c>
      <c r="H42" s="2970" t="s">
        <v>3117</v>
      </c>
      <c r="I42" s="2970">
        <v>12361.15</v>
      </c>
      <c r="J42" s="2970" t="s">
        <v>3118</v>
      </c>
    </row>
    <row r="43" spans="1:10">
      <c r="B43" s="2970" t="s">
        <v>3108</v>
      </c>
      <c r="C43" s="2970">
        <v>50</v>
      </c>
      <c r="H43" s="2970" t="s">
        <v>3119</v>
      </c>
      <c r="I43" s="2970">
        <v>1042.01</v>
      </c>
    </row>
    <row r="44" spans="1:10">
      <c r="H44" s="2970" t="s">
        <v>3120</v>
      </c>
      <c r="I44" s="2970">
        <v>2812.5</v>
      </c>
    </row>
    <row r="45" spans="1:10">
      <c r="B45" s="2970" t="s">
        <v>3109</v>
      </c>
      <c r="C45" s="2970">
        <v>4900</v>
      </c>
      <c r="E45" s="2970" t="s">
        <v>3110</v>
      </c>
      <c r="G45" s="2970">
        <f>E35*C45</f>
        <v>82795300</v>
      </c>
    </row>
    <row r="46" spans="1:10">
      <c r="H46" s="2970" t="s">
        <v>3121</v>
      </c>
    </row>
  </sheetData>
  <phoneticPr fontId="143" type="noConversion"/>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23" sqref="B23:C23"/>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215" t="str">
        <f>项目基本情况!B1</f>
        <v>北京市房地产市场价值预评估</v>
      </c>
      <c r="C37" s="3215"/>
      <c r="D37" s="3215"/>
      <c r="E37" s="3215"/>
      <c r="F37" s="3215"/>
      <c r="G37" s="3215"/>
      <c r="H37" s="3215"/>
      <c r="I37" s="3215"/>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项目基本情况!K4</f>
        <v>（注册号：0)、（注册号：0)</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topLeftCell="A7" workbookViewId="0"/>
  </sheetViews>
  <sheetFormatPr defaultColWidth="8.875" defaultRowHeight="13.5"/>
  <sheetData/>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K13"/>
  <sheetViews>
    <sheetView workbookViewId="0">
      <selection activeCell="H9" sqref="H9"/>
    </sheetView>
  </sheetViews>
  <sheetFormatPr defaultColWidth="9" defaultRowHeight="14.25"/>
  <cols>
    <col min="1" max="1" width="9" style="3168"/>
    <col min="2" max="2" width="25.125" style="3168" customWidth="1"/>
    <col min="3" max="3" width="10.875" style="3168" customWidth="1"/>
    <col min="4" max="5" width="9" style="3168"/>
    <col min="6" max="6" width="10.875" style="3168" customWidth="1"/>
    <col min="7" max="7" width="10" style="3168" bestFit="1" customWidth="1"/>
    <col min="8" max="12" width="9" style="3168"/>
    <col min="13" max="13" width="10" style="3168" bestFit="1" customWidth="1"/>
    <col min="14" max="16384" width="9" style="3168"/>
  </cols>
  <sheetData>
    <row r="1" spans="2:11">
      <c r="B1" s="3321" t="s">
        <v>3221</v>
      </c>
      <c r="C1" s="3321" t="s">
        <v>3222</v>
      </c>
      <c r="D1" s="3321"/>
      <c r="E1" s="3321"/>
      <c r="F1" s="3321" t="s">
        <v>3223</v>
      </c>
      <c r="G1" s="3321"/>
      <c r="H1" s="3321"/>
      <c r="I1" s="3322" t="s">
        <v>3224</v>
      </c>
      <c r="J1" s="3323"/>
      <c r="K1" s="3323"/>
    </row>
    <row r="2" spans="2:11" ht="47.25" customHeight="1">
      <c r="B2" s="3321"/>
      <c r="C2" s="3321" t="s">
        <v>3225</v>
      </c>
      <c r="D2" s="3321" t="s">
        <v>3226</v>
      </c>
      <c r="E2" s="3321"/>
      <c r="F2" s="3321" t="s">
        <v>3225</v>
      </c>
      <c r="G2" s="3324" t="s">
        <v>3226</v>
      </c>
      <c r="H2" s="3321"/>
      <c r="I2" s="3321" t="s">
        <v>3225</v>
      </c>
      <c r="J2" s="3321" t="s">
        <v>3226</v>
      </c>
      <c r="K2" s="3321"/>
    </row>
    <row r="3" spans="2:11">
      <c r="B3" s="3321"/>
      <c r="C3" s="3321"/>
      <c r="D3" s="3169" t="s">
        <v>3227</v>
      </c>
      <c r="E3" s="3169" t="s">
        <v>3228</v>
      </c>
      <c r="F3" s="3321"/>
      <c r="G3" s="3198" t="s">
        <v>3279</v>
      </c>
      <c r="H3" s="3169" t="s">
        <v>3228</v>
      </c>
      <c r="I3" s="3321"/>
      <c r="J3" s="3169" t="s">
        <v>3227</v>
      </c>
      <c r="K3" s="3169" t="s">
        <v>3228</v>
      </c>
    </row>
    <row r="4" spans="2:11" ht="28.5">
      <c r="B4" s="3169" t="s">
        <v>3229</v>
      </c>
      <c r="C4" s="3169">
        <f>SUM(D4:E4)</f>
        <v>22222.639999999999</v>
      </c>
      <c r="D4" s="3169">
        <f>SUM(D6:D13)</f>
        <v>21120</v>
      </c>
      <c r="E4" s="3169">
        <f>SUM(E6:E13)</f>
        <v>1102.6400000000001</v>
      </c>
      <c r="F4" s="3169">
        <f>SUM(G4:H4)</f>
        <v>22314.729999999996</v>
      </c>
      <c r="G4" s="3169">
        <f>SUM(G6:G13)</f>
        <v>21181.419999999995</v>
      </c>
      <c r="H4" s="3169">
        <f>H10</f>
        <v>1133.31</v>
      </c>
      <c r="I4" s="3169">
        <f>F4-C4</f>
        <v>92.089999999996508</v>
      </c>
      <c r="J4" s="3169">
        <f>G4-D4</f>
        <v>61.419999999994616</v>
      </c>
      <c r="K4" s="3169">
        <f>H4-E4</f>
        <v>30.669999999999845</v>
      </c>
    </row>
    <row r="5" spans="2:11">
      <c r="B5" s="3169" t="s">
        <v>3230</v>
      </c>
      <c r="C5" s="3169"/>
      <c r="D5" s="3169"/>
      <c r="E5" s="3169"/>
      <c r="F5" s="3169"/>
      <c r="G5" s="3169"/>
      <c r="H5" s="3169"/>
      <c r="I5" s="3169"/>
      <c r="J5" s="3169"/>
      <c r="K5" s="3169"/>
    </row>
    <row r="6" spans="2:11" ht="15.75" customHeight="1">
      <c r="B6" s="3197" t="s">
        <v>3231</v>
      </c>
      <c r="C6" s="3318" t="s">
        <v>3232</v>
      </c>
      <c r="D6" s="3320">
        <v>10000</v>
      </c>
      <c r="E6" s="3320" t="s">
        <v>3233</v>
      </c>
      <c r="F6" s="3197" t="s">
        <v>3232</v>
      </c>
      <c r="G6" s="3197">
        <v>9952.6299999999992</v>
      </c>
      <c r="H6" s="3325" t="s">
        <v>3280</v>
      </c>
      <c r="I6" s="3197" t="s">
        <v>3232</v>
      </c>
      <c r="J6" s="3318">
        <f>G6+G7-D6</f>
        <v>24.959999999999127</v>
      </c>
      <c r="K6" s="3197" t="s">
        <v>3232</v>
      </c>
    </row>
    <row r="7" spans="2:11">
      <c r="B7" s="3204" t="s">
        <v>3234</v>
      </c>
      <c r="C7" s="3319"/>
      <c r="D7" s="3320"/>
      <c r="E7" s="3320"/>
      <c r="F7" s="3197" t="s">
        <v>3232</v>
      </c>
      <c r="G7" s="3197">
        <v>72.33</v>
      </c>
      <c r="H7" s="3326"/>
      <c r="I7" s="3197" t="s">
        <v>3232</v>
      </c>
      <c r="J7" s="3319"/>
      <c r="K7" s="3197" t="s">
        <v>3232</v>
      </c>
    </row>
    <row r="8" spans="2:11">
      <c r="B8" s="3199"/>
      <c r="C8" s="3200"/>
      <c r="D8" s="3199">
        <v>10000</v>
      </c>
      <c r="E8" s="3199"/>
      <c r="F8" s="3199"/>
      <c r="G8" s="3199">
        <f>G6+G7</f>
        <v>10024.959999999999</v>
      </c>
      <c r="H8" s="3199">
        <f>9952.63+72.33-176.47</f>
        <v>9848.49</v>
      </c>
      <c r="I8" s="3199"/>
      <c r="J8" s="3200">
        <f>D6-G8</f>
        <v>-24.959999999999127</v>
      </c>
      <c r="K8" s="3199"/>
    </row>
    <row r="9" spans="2:11" ht="28.5">
      <c r="B9" s="3169" t="s">
        <v>3235</v>
      </c>
      <c r="C9" s="3169" t="s">
        <v>3232</v>
      </c>
      <c r="D9" s="3169" t="s">
        <v>3232</v>
      </c>
      <c r="E9" s="3169">
        <v>102.64</v>
      </c>
      <c r="F9" s="3169" t="s">
        <v>3232</v>
      </c>
      <c r="G9" s="3169" t="s">
        <v>3232</v>
      </c>
      <c r="H9" s="3170">
        <v>0</v>
      </c>
      <c r="I9" s="3169" t="s">
        <v>3232</v>
      </c>
      <c r="J9" s="3169" t="s">
        <v>3232</v>
      </c>
      <c r="K9" s="3170">
        <f>H9-E9</f>
        <v>-102.64</v>
      </c>
    </row>
    <row r="10" spans="2:11">
      <c r="B10" s="3169" t="s">
        <v>3236</v>
      </c>
      <c r="C10" s="3169" t="s">
        <v>3232</v>
      </c>
      <c r="D10" s="3169" t="s">
        <v>3232</v>
      </c>
      <c r="E10" s="3169">
        <v>1000</v>
      </c>
      <c r="F10" s="3169" t="s">
        <v>3232</v>
      </c>
      <c r="G10" s="3169" t="s">
        <v>3232</v>
      </c>
      <c r="H10" s="3169">
        <v>1133.31</v>
      </c>
      <c r="I10" s="3169" t="s">
        <v>3232</v>
      </c>
      <c r="J10" s="3169" t="s">
        <v>3232</v>
      </c>
      <c r="K10" s="3169">
        <f>H10-E10</f>
        <v>133.30999999999995</v>
      </c>
    </row>
    <row r="11" spans="2:11">
      <c r="B11" s="3169" t="s">
        <v>3237</v>
      </c>
      <c r="C11" s="3169" t="s">
        <v>3232</v>
      </c>
      <c r="D11" s="3169">
        <v>1000</v>
      </c>
      <c r="E11" s="3169" t="s">
        <v>3232</v>
      </c>
      <c r="F11" s="3169" t="s">
        <v>3232</v>
      </c>
      <c r="G11" s="3169">
        <v>1009.44</v>
      </c>
      <c r="H11" s="3169" t="s">
        <v>3232</v>
      </c>
      <c r="I11" s="3169" t="s">
        <v>3232</v>
      </c>
      <c r="J11" s="3169">
        <f>G11-D11</f>
        <v>9.4400000000000546</v>
      </c>
      <c r="K11" s="3169" t="s">
        <v>3232</v>
      </c>
    </row>
    <row r="12" spans="2:11">
      <c r="B12" s="3169" t="s">
        <v>3238</v>
      </c>
      <c r="C12" s="3169" t="s">
        <v>3232</v>
      </c>
      <c r="D12" s="3169">
        <v>100</v>
      </c>
      <c r="E12" s="3169" t="s">
        <v>3232</v>
      </c>
      <c r="F12" s="3169" t="s">
        <v>3232</v>
      </c>
      <c r="G12" s="3169">
        <v>101.89</v>
      </c>
      <c r="H12" s="3169" t="s">
        <v>3232</v>
      </c>
      <c r="I12" s="3169" t="s">
        <v>3232</v>
      </c>
      <c r="J12" s="3169">
        <f>G12-D12</f>
        <v>1.8900000000000006</v>
      </c>
      <c r="K12" s="3169" t="s">
        <v>3232</v>
      </c>
    </row>
    <row r="13" spans="2:11">
      <c r="B13" s="3169" t="s">
        <v>3239</v>
      </c>
      <c r="C13" s="3169" t="s">
        <v>3232</v>
      </c>
      <c r="D13" s="3169">
        <v>20</v>
      </c>
      <c r="E13" s="3169" t="s">
        <v>3232</v>
      </c>
      <c r="F13" s="3169" t="s">
        <v>3232</v>
      </c>
      <c r="G13" s="3169">
        <v>20.170000000000002</v>
      </c>
      <c r="H13" s="3169" t="s">
        <v>3232</v>
      </c>
      <c r="I13" s="3169" t="s">
        <v>3232</v>
      </c>
      <c r="J13" s="3169">
        <f>G13-D13</f>
        <v>0.17000000000000171</v>
      </c>
      <c r="K13" s="3169" t="s">
        <v>3232</v>
      </c>
    </row>
  </sheetData>
  <mergeCells count="15">
    <mergeCell ref="C6:C7"/>
    <mergeCell ref="D6:D7"/>
    <mergeCell ref="E6:E7"/>
    <mergeCell ref="J6:J7"/>
    <mergeCell ref="B1:B3"/>
    <mergeCell ref="C1:E1"/>
    <mergeCell ref="F1:H1"/>
    <mergeCell ref="I1:K1"/>
    <mergeCell ref="C2:C3"/>
    <mergeCell ref="D2:E2"/>
    <mergeCell ref="F2:F3"/>
    <mergeCell ref="G2:H2"/>
    <mergeCell ref="I2:I3"/>
    <mergeCell ref="J2:K2"/>
    <mergeCell ref="H6:H7"/>
  </mergeCells>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I512"/>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7" t="s">
        <v>2113</v>
      </c>
      <c r="B1" s="2410"/>
      <c r="C1" s="2411" t="s">
        <v>3113</v>
      </c>
      <c r="D1" s="2410"/>
      <c r="E1" s="2410"/>
      <c r="F1" s="2412" t="s">
        <v>2114</v>
      </c>
      <c r="G1" s="2062" t="s">
        <v>3124</v>
      </c>
      <c r="H1" s="2413" t="str">
        <f>IF(G1="现房","——","估价对象范围")</f>
        <v>——</v>
      </c>
      <c r="I1" s="2414"/>
    </row>
    <row r="2" spans="1:12" ht="21.75" customHeight="1" thickBot="1">
      <c r="A2" s="3360" t="str">
        <f>项目基本情况!S2</f>
        <v>北京市房地产</v>
      </c>
      <c r="B2" s="3361"/>
      <c r="C2" s="3361"/>
      <c r="D2" s="3361"/>
      <c r="E2" s="3361"/>
      <c r="F2" s="3361"/>
      <c r="G2" s="3361"/>
      <c r="H2" s="3361"/>
      <c r="I2" s="3362"/>
    </row>
    <row r="3" spans="1:12" ht="12.75">
      <c r="A3" s="3364" t="s">
        <v>2115</v>
      </c>
      <c r="B3" s="3365"/>
      <c r="C3" s="3365"/>
      <c r="D3" s="3365"/>
      <c r="E3" s="3365"/>
      <c r="F3" s="3365"/>
      <c r="G3" s="3365"/>
      <c r="H3" s="3365"/>
      <c r="I3" s="3365"/>
    </row>
    <row r="4" spans="1:12" ht="14.25">
      <c r="A4" s="2417" t="s">
        <v>2116</v>
      </c>
      <c r="B4" s="2418" t="s">
        <v>2117</v>
      </c>
      <c r="C4" s="2419" t="s">
        <v>3179</v>
      </c>
      <c r="D4" s="2419" t="s">
        <v>3132</v>
      </c>
      <c r="E4" s="3357" t="s">
        <v>2118</v>
      </c>
      <c r="F4" s="3358"/>
      <c r="G4" s="3358"/>
      <c r="H4" s="3358"/>
      <c r="I4" s="3366"/>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340" t="s">
        <v>2119</v>
      </c>
      <c r="B5" s="3259">
        <v>25</v>
      </c>
      <c r="C5" s="3343"/>
      <c r="D5" s="3363"/>
      <c r="E5" s="140" t="s">
        <v>2120</v>
      </c>
      <c r="F5" s="2421"/>
      <c r="G5" s="2421"/>
      <c r="H5" s="2421"/>
      <c r="I5" s="1823"/>
    </row>
    <row r="6" spans="1:12" ht="12.75">
      <c r="A6" s="3340"/>
      <c r="B6" s="3259"/>
      <c r="C6" s="3344"/>
      <c r="D6" s="3363"/>
      <c r="E6" s="140" t="s">
        <v>2121</v>
      </c>
      <c r="F6" s="2421"/>
      <c r="G6" s="2421"/>
      <c r="H6" s="2421"/>
      <c r="I6" s="1823"/>
    </row>
    <row r="7" spans="1:12" ht="12.75">
      <c r="A7" s="3340"/>
      <c r="B7" s="3259"/>
      <c r="C7" s="3345"/>
      <c r="D7" s="3363"/>
      <c r="E7" s="140" t="s">
        <v>2122</v>
      </c>
      <c r="F7" s="2421"/>
      <c r="G7" s="2421"/>
      <c r="H7" s="2421"/>
      <c r="I7" s="1823"/>
    </row>
    <row r="8" spans="1:12" ht="12.75">
      <c r="A8" s="3340" t="s">
        <v>2123</v>
      </c>
      <c r="B8" s="3259">
        <v>15</v>
      </c>
      <c r="C8" s="3343"/>
      <c r="D8" s="3363"/>
      <c r="E8" s="140" t="s">
        <v>2124</v>
      </c>
      <c r="F8" s="2421"/>
      <c r="G8" s="2421"/>
      <c r="H8" s="2421"/>
      <c r="I8" s="1823"/>
    </row>
    <row r="9" spans="1:12" ht="12.75">
      <c r="A9" s="3340"/>
      <c r="B9" s="3259"/>
      <c r="C9" s="3345"/>
      <c r="D9" s="3363"/>
      <c r="E9" s="140" t="s">
        <v>2125</v>
      </c>
      <c r="F9" s="2421"/>
      <c r="G9" s="2421"/>
      <c r="H9" s="2421"/>
      <c r="I9" s="1823"/>
    </row>
    <row r="10" spans="1:12" ht="12.75">
      <c r="A10" s="3340" t="s">
        <v>2126</v>
      </c>
      <c r="B10" s="3259">
        <v>15</v>
      </c>
      <c r="C10" s="3343"/>
      <c r="D10" s="3363"/>
      <c r="E10" s="140" t="s">
        <v>2127</v>
      </c>
      <c r="F10" s="2421"/>
      <c r="G10" s="2421"/>
      <c r="H10" s="2421"/>
      <c r="I10" s="1823"/>
    </row>
    <row r="11" spans="1:12" ht="12.75">
      <c r="A11" s="3340"/>
      <c r="B11" s="3259"/>
      <c r="C11" s="3345"/>
      <c r="D11" s="3363"/>
      <c r="E11" s="140" t="s">
        <v>2128</v>
      </c>
      <c r="F11" s="2421"/>
      <c r="G11" s="2421"/>
      <c r="H11" s="2421"/>
      <c r="I11" s="1823"/>
    </row>
    <row r="12" spans="1:12" ht="12.75">
      <c r="A12" s="3340" t="s">
        <v>2129</v>
      </c>
      <c r="B12" s="3259">
        <v>15</v>
      </c>
      <c r="C12" s="3343"/>
      <c r="D12" s="3363"/>
      <c r="E12" s="140" t="s">
        <v>2130</v>
      </c>
      <c r="F12" s="2421"/>
      <c r="G12" s="2421"/>
      <c r="H12" s="2421"/>
      <c r="I12" s="1823"/>
    </row>
    <row r="13" spans="1:12" ht="12.75">
      <c r="A13" s="3340"/>
      <c r="B13" s="3259"/>
      <c r="C13" s="3345"/>
      <c r="D13" s="3363"/>
      <c r="E13" s="140" t="s">
        <v>2131</v>
      </c>
      <c r="F13" s="2421"/>
      <c r="G13" s="2421"/>
      <c r="H13" s="2421"/>
      <c r="I13" s="1823"/>
    </row>
    <row r="14" spans="1:12" ht="12.75">
      <c r="A14" s="3340" t="s">
        <v>2132</v>
      </c>
      <c r="B14" s="3259">
        <v>30</v>
      </c>
      <c r="C14" s="3343">
        <v>1</v>
      </c>
      <c r="D14" s="3363">
        <v>1</v>
      </c>
      <c r="E14" s="140" t="s">
        <v>2133</v>
      </c>
      <c r="F14" s="2421"/>
      <c r="G14" s="2421"/>
      <c r="H14" s="2421"/>
      <c r="I14" s="1823"/>
    </row>
    <row r="15" spans="1:12" ht="12.75">
      <c r="A15" s="3340"/>
      <c r="B15" s="3259"/>
      <c r="C15" s="3344"/>
      <c r="D15" s="3363"/>
      <c r="E15" s="140" t="s">
        <v>2134</v>
      </c>
      <c r="F15" s="2421"/>
      <c r="G15" s="2421"/>
      <c r="H15" s="2421"/>
      <c r="I15" s="1823"/>
    </row>
    <row r="16" spans="1:12" ht="12.75">
      <c r="A16" s="3340"/>
      <c r="B16" s="3259"/>
      <c r="C16" s="3345"/>
      <c r="D16" s="3363"/>
      <c r="E16" s="140" t="s">
        <v>2135</v>
      </c>
      <c r="F16" s="2421"/>
      <c r="G16" s="2421"/>
      <c r="H16" s="2421"/>
      <c r="I16" s="1823"/>
    </row>
    <row r="17" spans="1:35" ht="15">
      <c r="A17" s="2422" t="s">
        <v>2136</v>
      </c>
      <c r="B17" s="64"/>
      <c r="C17" s="141">
        <f>SUM(C5:C16)</f>
        <v>1</v>
      </c>
      <c r="D17" s="141">
        <f>SUM(D5:D16)</f>
        <v>1</v>
      </c>
      <c r="E17" s="138"/>
      <c r="F17" s="138"/>
      <c r="G17" s="138"/>
      <c r="H17" s="138"/>
      <c r="I17" s="138"/>
      <c r="K17" s="2420"/>
      <c r="L17" s="2423" t="s">
        <v>2137</v>
      </c>
      <c r="M17" s="2423" t="s">
        <v>2138</v>
      </c>
    </row>
    <row r="18" spans="1:35" ht="15.75" thickBot="1">
      <c r="A18" s="2424" t="s">
        <v>2139</v>
      </c>
      <c r="B18" s="2425"/>
      <c r="C18" s="142">
        <f>ROUND(C17/SUM(C17:D17),2)</f>
        <v>0.5</v>
      </c>
      <c r="D18" s="142">
        <f>1-C18</f>
        <v>0.5</v>
      </c>
      <c r="E18" s="138"/>
      <c r="F18" s="138"/>
      <c r="G18" s="138"/>
      <c r="H18" s="138"/>
      <c r="I18" s="138"/>
      <c r="K18" s="2420" t="s">
        <v>2140</v>
      </c>
      <c r="L18" s="2420">
        <f>IF(C1="",'数据-汇总表'!E3,SUMIF(项目类型,C1,'数据-汇总表'!E17:E26)+SUMIF(项目类型,C1,'数据-汇总表'!I17:I26))</f>
        <v>11130.81</v>
      </c>
      <c r="M18" s="2420">
        <f>IF(C1="",'数据-汇总表'!E3,SUMIF(项目类型,C1,'数据-汇总表'!E17:E26))</f>
        <v>9952.6299999999992</v>
      </c>
    </row>
    <row r="19" spans="1:35" ht="15">
      <c r="A19" s="2426" t="s">
        <v>2141</v>
      </c>
      <c r="B19" s="2427" t="s">
        <v>2142</v>
      </c>
      <c r="C19" s="143">
        <f ca="1">SUMIF(INDIRECT("'"&amp;C4&amp;"'"&amp;"!A:A"),结果表!B19,INDIRECT("'"&amp;C4&amp;"'"&amp;"!B:B"))</f>
        <v>8711</v>
      </c>
      <c r="D19" s="144">
        <f ca="1">SUMIF(INDIRECT("'"&amp;D4&amp;"'"&amp;"!A:A"),结果表!B19,INDIRECT("'"&amp;D4&amp;"'"&amp;"!B:B"))</f>
        <v>10770</v>
      </c>
      <c r="E19" s="2426" t="s">
        <v>2143</v>
      </c>
      <c r="F19" s="2427" t="s">
        <v>2142</v>
      </c>
      <c r="G19" s="145">
        <f ca="1">ROUND(C19*$C$18+D19*$D$18,0)</f>
        <v>9741</v>
      </c>
      <c r="H19" s="2428" t="s">
        <v>2144</v>
      </c>
      <c r="I19" s="138"/>
      <c r="K19" s="2420" t="s">
        <v>2145</v>
      </c>
      <c r="L19" s="2420">
        <f>IF(C1="",'数据-汇总表'!D3,SUMIF(项目类型,C1,'数据-汇总表'!D17:D26)+SUMIF(项目类型,C1,'数据-汇总表'!H17:H27))</f>
        <v>0</v>
      </c>
      <c r="M19" s="2420">
        <f>IF(C1="",'数据-汇总表'!D3,SUMIF(项目类型,C1,'数据-汇总表'!D17:D26))</f>
        <v>0</v>
      </c>
    </row>
    <row r="20" spans="1:35" ht="15">
      <c r="A20" s="2429"/>
      <c r="B20" s="1247" t="s">
        <v>2146</v>
      </c>
      <c r="C20" s="2997">
        <f ca="1">C19*10000/'数据-汇总表'!F27</f>
        <v>8752.4604049381924</v>
      </c>
      <c r="D20" s="2996">
        <f ca="1">SUMIF(INDIRECT("'"&amp;D4&amp;"'"&amp;"!A:A"),结果表!B20,INDIRECT("'"&amp;D4&amp;"'"&amp;"!B:B"))</f>
        <v>10821</v>
      </c>
      <c r="E20" s="2429"/>
      <c r="F20" s="1247" t="s">
        <v>2146</v>
      </c>
      <c r="G20" s="148">
        <f ca="1">ROUND(C20*$C$18+D20*$D$18,0)</f>
        <v>9787</v>
      </c>
      <c r="H20" s="980" t="s">
        <v>2147</v>
      </c>
      <c r="I20" s="2998">
        <f ca="1">G19*10000/'数据-汇总表'!F27</f>
        <v>9787.3627372865267</v>
      </c>
    </row>
    <row r="21" spans="1:35" ht="15" customHeight="1" thickBot="1">
      <c r="A21" s="1000"/>
      <c r="B21" s="2430" t="s">
        <v>2148</v>
      </c>
      <c r="C21" s="789" t="e">
        <f ca="1">ROUND(C19*10000/L19,0)</f>
        <v>#DIV/0!</v>
      </c>
      <c r="D21" s="790" t="e">
        <f ca="1">ROUND(D19*10000/L19,0)</f>
        <v>#DIV/0!</v>
      </c>
      <c r="E21" s="1000"/>
      <c r="F21" s="2430" t="s">
        <v>2148</v>
      </c>
      <c r="G21" s="149" t="e">
        <f ca="1">ROUND(G19*10000/L19,0)</f>
        <v>#DIV/0!</v>
      </c>
      <c r="H21" s="2431" t="s">
        <v>2147</v>
      </c>
      <c r="I21" s="138"/>
    </row>
    <row r="22" spans="1:35" ht="15" thickBot="1">
      <c r="A22" s="2273" t="s">
        <v>2149</v>
      </c>
      <c r="B22" s="2432"/>
      <c r="C22" s="2433"/>
      <c r="D22" s="791">
        <f ca="1">IF(C19&lt;D19,D19/C19-1,C19/D19-1)</f>
        <v>0.23636781081391334</v>
      </c>
      <c r="E22" s="138"/>
      <c r="F22" s="138"/>
      <c r="G22" s="138"/>
      <c r="H22" s="138"/>
      <c r="I22" s="138"/>
    </row>
    <row r="23" spans="1:35" ht="13.5" thickBot="1">
      <c r="A23" s="2410"/>
      <c r="B23" s="2410"/>
      <c r="C23" s="2410"/>
      <c r="D23" s="2410"/>
      <c r="E23" s="138"/>
      <c r="F23" s="138"/>
      <c r="G23" s="138"/>
      <c r="H23" s="138"/>
      <c r="I23" s="138"/>
    </row>
    <row r="24" spans="1:35" ht="14.25">
      <c r="A24" s="3334" t="s">
        <v>2150</v>
      </c>
      <c r="B24" s="2427" t="s">
        <v>2142</v>
      </c>
      <c r="C24" s="145">
        <f>IF(B30=0,0,D30)</f>
        <v>0</v>
      </c>
      <c r="D24" s="2434"/>
      <c r="E24" s="138"/>
      <c r="F24" s="138"/>
      <c r="G24" s="138"/>
      <c r="H24" s="138"/>
      <c r="I24" s="138"/>
      <c r="J24" s="2999"/>
      <c r="K24" s="3000" t="s">
        <v>3180</v>
      </c>
      <c r="L24" s="3000" t="s">
        <v>3184</v>
      </c>
    </row>
    <row r="25" spans="1:35" ht="14.25">
      <c r="A25" s="3335"/>
      <c r="B25" s="1247" t="s">
        <v>2146</v>
      </c>
      <c r="C25" s="150">
        <f>IF(B30=0,0,C30)</f>
        <v>0</v>
      </c>
      <c r="D25" s="2435"/>
      <c r="E25" s="138"/>
      <c r="F25" s="138"/>
      <c r="G25" s="138"/>
      <c r="H25" s="138"/>
      <c r="I25" s="138"/>
      <c r="J25" s="3000" t="s">
        <v>3181</v>
      </c>
      <c r="K25" s="3001">
        <f ca="1">C20</f>
        <v>8752.4604049381924</v>
      </c>
      <c r="L25" s="3002">
        <f>[3]结果表!$C$20</f>
        <v>6682.2990460731016</v>
      </c>
    </row>
    <row r="26" spans="1:35" ht="13.5" customHeight="1">
      <c r="A26" s="2436" t="s">
        <v>2151</v>
      </c>
      <c r="B26" s="151" t="s">
        <v>2152</v>
      </c>
      <c r="C26" s="151" t="s">
        <v>2153</v>
      </c>
      <c r="D26" s="152" t="s">
        <v>2154</v>
      </c>
      <c r="E26" s="138"/>
      <c r="F26" s="138"/>
      <c r="G26" s="138"/>
      <c r="H26" s="138"/>
      <c r="I26" s="138"/>
      <c r="J26" s="3000" t="s">
        <v>3182</v>
      </c>
      <c r="K26" s="3001">
        <f ca="1">D20</f>
        <v>10821</v>
      </c>
      <c r="L26" s="2999">
        <f>[3]结果表!$D$20</f>
        <v>8466</v>
      </c>
    </row>
    <row r="27" spans="1:35" ht="14.25">
      <c r="A27" s="2436"/>
      <c r="B27" s="151">
        <v>0</v>
      </c>
      <c r="C27" s="151">
        <v>0</v>
      </c>
      <c r="D27" s="152">
        <f>ROUND(C27*B27/10000,0)</f>
        <v>0</v>
      </c>
      <c r="E27" s="138"/>
      <c r="F27" s="138"/>
      <c r="G27" s="138"/>
      <c r="H27" s="138"/>
      <c r="I27" s="138"/>
      <c r="J27" s="3003" t="s">
        <v>3183</v>
      </c>
      <c r="K27" s="3004">
        <f ca="1">G20</f>
        <v>9787</v>
      </c>
      <c r="L27" s="3004">
        <f>[3]结果表!$G$20</f>
        <v>7574</v>
      </c>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2155</v>
      </c>
      <c r="B30" s="151"/>
      <c r="C30" s="151"/>
      <c r="D30" s="151"/>
      <c r="E30" s="2909" t="s">
        <v>3030</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2156</v>
      </c>
      <c r="B32" s="2440"/>
      <c r="C32" s="153">
        <f ca="1">IF(D32="总价",G19-C24,G20-C25)</f>
        <v>9741</v>
      </c>
      <c r="D32" s="2441" t="s">
        <v>2157</v>
      </c>
      <c r="E32" s="138"/>
      <c r="F32" s="138"/>
      <c r="G32" s="138"/>
      <c r="H32" s="138"/>
      <c r="I32" s="138"/>
    </row>
    <row r="33" spans="1:15" ht="15">
      <c r="A33" s="957" t="s">
        <v>2158</v>
      </c>
      <c r="B33" s="2442"/>
      <c r="C33" s="2443"/>
      <c r="D33" s="2444"/>
      <c r="E33" s="2445" t="s">
        <v>2159</v>
      </c>
      <c r="F33" s="2446" t="str">
        <f>IF(D32="楼面单价","取值（单价）","取值（总价）")</f>
        <v>取值（总价）</v>
      </c>
      <c r="G33" s="138"/>
      <c r="H33" s="138"/>
      <c r="I33" s="138"/>
    </row>
    <row r="34" spans="1:15" ht="15">
      <c r="A34" s="2447"/>
      <c r="B34" s="2448" t="s">
        <v>2160</v>
      </c>
      <c r="C34" s="157" t="e">
        <f ca="1">IF(C33="自定义",F34,C32-C35)</f>
        <v>#REF!</v>
      </c>
      <c r="D34" s="1055" t="e">
        <f ca="1">IF(C33="自定义",ROUND(C34/C32,3),IF(C33="收益比率",SUMIF(INDIRECT("'"&amp;D33&amp;"'"&amp;"!b:b"),"土地收益比率",INDIRECT("'"&amp;D33&amp;"'"&amp;"!c:c")),SUMIF(INDIRECT("'"&amp;D33&amp;"'"&amp;"!b:b"),"土地成本比率",INDIRECT("'"&amp;D33&amp;"'"&amp;"!c:c"))))</f>
        <v>#REF!</v>
      </c>
      <c r="E34" s="2449" t="s">
        <v>2161</v>
      </c>
      <c r="F34" s="1736"/>
      <c r="G34" s="138"/>
      <c r="H34" s="138"/>
      <c r="I34" s="138"/>
    </row>
    <row r="35" spans="1:15" ht="15.75" thickBot="1">
      <c r="A35" s="2450"/>
      <c r="B35" s="2451" t="s">
        <v>2162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2" t="s">
        <v>2163</v>
      </c>
      <c r="F35" s="163"/>
      <c r="G35" s="138"/>
      <c r="H35" s="138"/>
      <c r="I35" s="138"/>
    </row>
    <row r="36" spans="1:15" ht="15.75" thickBot="1">
      <c r="A36" s="3352" t="s">
        <v>2164</v>
      </c>
      <c r="B36" s="2453" t="s">
        <v>2165</v>
      </c>
      <c r="C36" s="154"/>
      <c r="D36" s="2454"/>
      <c r="E36" s="2455"/>
      <c r="F36" s="2456"/>
      <c r="G36" s="138"/>
      <c r="H36" s="138"/>
      <c r="I36" s="138"/>
    </row>
    <row r="37" spans="1:15" ht="15.75" thickBot="1">
      <c r="A37" s="3353"/>
      <c r="B37" s="2259" t="s">
        <v>2166</v>
      </c>
      <c r="C37" s="156"/>
      <c r="D37" s="1392"/>
      <c r="E37" s="1392"/>
      <c r="F37" s="2456"/>
      <c r="G37" s="138"/>
      <c r="H37" s="138"/>
      <c r="I37" s="138"/>
    </row>
    <row r="38" spans="1:15" ht="15.75" thickBot="1">
      <c r="A38" s="3354"/>
      <c r="B38" s="2457" t="s">
        <v>2167</v>
      </c>
      <c r="C38" s="727"/>
      <c r="D38" s="2458" t="s">
        <v>2168</v>
      </c>
      <c r="E38" s="1392"/>
      <c r="F38" s="2456"/>
      <c r="G38" s="138"/>
      <c r="H38" s="138"/>
      <c r="I38" s="138"/>
    </row>
    <row r="39" spans="1:15" ht="15">
      <c r="A39" s="2429" t="s">
        <v>2169</v>
      </c>
      <c r="B39" s="2459" t="s">
        <v>2170</v>
      </c>
      <c r="C39" s="2460" t="s">
        <v>2171</v>
      </c>
      <c r="D39" s="2460" t="s">
        <v>2172</v>
      </c>
      <c r="E39" s="2461" t="s">
        <v>2173</v>
      </c>
      <c r="F39" s="2456"/>
      <c r="G39" s="138"/>
      <c r="H39" s="138"/>
      <c r="I39" s="138"/>
    </row>
    <row r="40" spans="1:15" ht="14.25">
      <c r="A40" s="2462" t="s">
        <v>2174</v>
      </c>
      <c r="B40" s="158"/>
      <c r="C40" s="159"/>
      <c r="D40" s="159"/>
      <c r="E40" s="160"/>
      <c r="F40" s="2456"/>
      <c r="G40" s="138"/>
      <c r="H40" s="138"/>
      <c r="I40" s="138"/>
    </row>
    <row r="41" spans="1:15" ht="14.25">
      <c r="A41" s="2462" t="s">
        <v>2175</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7"/>
      <c r="B43" s="2157"/>
      <c r="C43" s="2157"/>
      <c r="D43" s="2157"/>
      <c r="E43" s="2157"/>
      <c r="F43" s="2464"/>
      <c r="G43" s="2464"/>
      <c r="H43" s="2464"/>
      <c r="I43" s="2465"/>
    </row>
    <row r="44" spans="1:15" ht="18.75">
      <c r="A44" s="2466" t="s">
        <v>2176</v>
      </c>
      <c r="B44" s="2467"/>
      <c r="C44" s="2467"/>
      <c r="D44" s="2468"/>
      <c r="E44" s="2468"/>
      <c r="F44" s="2469"/>
      <c r="G44" s="2469"/>
      <c r="H44" s="2469"/>
      <c r="I44" s="2469"/>
      <c r="J44" s="2470" t="s">
        <v>2177</v>
      </c>
      <c r="K44" s="2471"/>
      <c r="L44" s="2471"/>
      <c r="M44" s="2471"/>
      <c r="N44" s="2471"/>
      <c r="O44" s="2471"/>
    </row>
    <row r="45" spans="1:15" ht="14.25" customHeight="1" thickBot="1">
      <c r="A45" s="3331" t="s">
        <v>2178</v>
      </c>
      <c r="B45" s="3332"/>
      <c r="C45" s="3333"/>
      <c r="D45" s="164">
        <f ca="1">ROUND(H101*F45,0)</f>
        <v>9741</v>
      </c>
      <c r="E45" s="165" t="s">
        <v>2179</v>
      </c>
      <c r="F45" s="166">
        <v>1</v>
      </c>
      <c r="G45" s="167" t="s">
        <v>2180</v>
      </c>
      <c r="H45" s="138"/>
      <c r="I45" s="138"/>
      <c r="J45" s="3391" t="s">
        <v>2181</v>
      </c>
      <c r="K45" s="3391"/>
      <c r="L45" s="3391"/>
      <c r="M45" s="3391"/>
      <c r="N45" s="3391"/>
      <c r="O45" s="3391"/>
    </row>
    <row r="46" spans="1:15" ht="14.25" customHeight="1">
      <c r="A46" s="3328" t="s">
        <v>2182</v>
      </c>
      <c r="B46" s="3329"/>
      <c r="C46" s="3329"/>
      <c r="D46" s="3329"/>
      <c r="E46" s="3329"/>
      <c r="F46" s="3329"/>
      <c r="G46" s="3330"/>
      <c r="H46" s="2472"/>
      <c r="I46" s="168"/>
      <c r="J46" s="1801">
        <v>1</v>
      </c>
      <c r="K46" s="3391" t="s">
        <v>2183</v>
      </c>
      <c r="L46" s="3391"/>
      <c r="M46" s="3411"/>
      <c r="N46" s="3411"/>
      <c r="O46" s="3411"/>
    </row>
    <row r="47" spans="1:15" ht="12" customHeight="1">
      <c r="A47" s="169" t="s">
        <v>2184</v>
      </c>
      <c r="B47" s="170"/>
      <c r="C47" s="171"/>
      <c r="D47" s="172" t="s">
        <v>2185</v>
      </c>
      <c r="E47" s="24" t="s">
        <v>2186</v>
      </c>
      <c r="F47" s="173" t="s">
        <v>2187</v>
      </c>
      <c r="G47" s="174" t="s">
        <v>2188</v>
      </c>
      <c r="H47" s="2472"/>
      <c r="I47" s="168"/>
      <c r="J47" s="1801">
        <v>2</v>
      </c>
      <c r="K47" s="3391" t="s">
        <v>2189</v>
      </c>
      <c r="L47" s="3391"/>
      <c r="M47" s="3412">
        <f>'数据-取费表'!B2</f>
        <v>44425</v>
      </c>
      <c r="N47" s="3412"/>
      <c r="O47" s="3412"/>
    </row>
    <row r="48" spans="1:15" ht="25.5">
      <c r="A48" s="3359" t="s">
        <v>2190</v>
      </c>
      <c r="B48" s="3342"/>
      <c r="C48" s="3342"/>
      <c r="D48" s="140">
        <f>IF(H48="情况1",0,IF(H48="情况2",D52,IF(H48="情况3",D53,IF(H48="情况4",D54))))</f>
        <v>0</v>
      </c>
      <c r="E48" s="1790" t="str">
        <f>IF(H48="情况4","(销售额-原购置价)×税（费）率","销售额×税（费）率")</f>
        <v>销售额×税（费）率</v>
      </c>
      <c r="F48" s="175" t="str">
        <f>IF(H48="情况1","免征",'数据-取费表'!B41)</f>
        <v>免征</v>
      </c>
      <c r="G48" s="2473" t="s">
        <v>2191</v>
      </c>
      <c r="H48" s="2474" t="s">
        <v>2192</v>
      </c>
      <c r="I48" s="2472"/>
      <c r="J48" s="1801">
        <v>3</v>
      </c>
      <c r="K48" s="3391" t="s">
        <v>2193</v>
      </c>
      <c r="L48" s="3391"/>
      <c r="M48" s="3413">
        <f ca="1">H101</f>
        <v>9741</v>
      </c>
      <c r="N48" s="3413"/>
      <c r="O48" s="3413"/>
    </row>
    <row r="49" spans="1:35" ht="25.5" customHeight="1">
      <c r="A49" s="176" t="s">
        <v>2194</v>
      </c>
      <c r="B49" s="3327" t="s">
        <v>2195</v>
      </c>
      <c r="C49" s="3327"/>
      <c r="D49" s="177">
        <v>0</v>
      </c>
      <c r="E49" s="23" t="s">
        <v>2196</v>
      </c>
      <c r="F49" s="28" t="s">
        <v>34</v>
      </c>
      <c r="G49" s="3397"/>
      <c r="H49" s="138"/>
      <c r="I49" s="2475"/>
      <c r="J49" s="1801">
        <v>4</v>
      </c>
      <c r="K49" s="3391" t="str">
        <f>IF(项目基本情况!E8="房地产抵押价值","房地产抵押价值","抵押担保权已注销时的房地产抵押价值")</f>
        <v>抵押担保权已注销时的房地产抵押价值</v>
      </c>
      <c r="L49" s="3391"/>
      <c r="M49" s="3413" t="str">
        <f>IF(项目基本情况!E8="房地产抵押价值",H107,H109)</f>
        <v>——</v>
      </c>
      <c r="N49" s="3413"/>
      <c r="O49" s="3413"/>
    </row>
    <row r="50" spans="1:35" ht="25.5" customHeight="1">
      <c r="A50" s="178"/>
      <c r="B50" s="3327" t="s">
        <v>2197</v>
      </c>
      <c r="C50" s="3327"/>
      <c r="D50" s="179"/>
      <c r="E50" s="31"/>
      <c r="F50" s="180"/>
      <c r="G50" s="3398"/>
      <c r="H50" s="138"/>
      <c r="I50" s="2475"/>
      <c r="J50" s="3391" t="s">
        <v>2198</v>
      </c>
      <c r="K50" s="3391"/>
      <c r="L50" s="3391"/>
      <c r="M50" s="3391"/>
      <c r="N50" s="3391"/>
      <c r="O50" s="3391"/>
    </row>
    <row r="51" spans="1:35" ht="12" customHeight="1">
      <c r="A51" s="181"/>
      <c r="B51" s="3327" t="s">
        <v>2199</v>
      </c>
      <c r="C51" s="3327"/>
      <c r="D51" s="182"/>
      <c r="E51" s="30"/>
      <c r="F51" s="180"/>
      <c r="G51" s="3399"/>
      <c r="H51" s="138"/>
      <c r="I51" s="2475"/>
      <c r="J51" s="2476" t="s">
        <v>2200</v>
      </c>
      <c r="K51" s="3391" t="s">
        <v>2201</v>
      </c>
      <c r="L51" s="3391"/>
      <c r="M51" s="2476" t="s">
        <v>2202</v>
      </c>
      <c r="N51" s="2476" t="s">
        <v>2203</v>
      </c>
      <c r="O51" s="2476" t="s">
        <v>2204</v>
      </c>
    </row>
    <row r="52" spans="1:35" ht="24" customHeight="1">
      <c r="A52" s="183" t="s">
        <v>2205</v>
      </c>
      <c r="B52" s="3327" t="s">
        <v>2206</v>
      </c>
      <c r="C52" s="3327"/>
      <c r="D52" s="182">
        <f ca="1">ROUND(D45*'数据-取费表'!B41/(1+'数据-取费表'!C42),0)</f>
        <v>804</v>
      </c>
      <c r="E52" s="11" t="s">
        <v>2207</v>
      </c>
      <c r="F52" s="184">
        <f>'数据-取费表'!B41</f>
        <v>0.09</v>
      </c>
      <c r="G52" s="2477"/>
      <c r="H52" s="138"/>
      <c r="I52" s="2475"/>
      <c r="J52" s="1801">
        <v>1</v>
      </c>
      <c r="K52" s="3392" t="s">
        <v>2208</v>
      </c>
      <c r="L52" s="3392"/>
      <c r="M52" s="1743">
        <f>D48</f>
        <v>0</v>
      </c>
      <c r="N52" s="1801" t="str">
        <f>E48</f>
        <v>销售额×税（费）率</v>
      </c>
      <c r="O52" s="1744" t="str">
        <f>F48</f>
        <v>免征</v>
      </c>
    </row>
    <row r="53" spans="1:35" ht="12" customHeight="1">
      <c r="A53" s="183" t="s">
        <v>2209</v>
      </c>
      <c r="B53" s="3350" t="s">
        <v>2210</v>
      </c>
      <c r="C53" s="3351"/>
      <c r="D53" s="182">
        <f ca="1">ROUND(D45*'数据-取费表'!B41/(1+'数据-取费表'!C42),0)</f>
        <v>804</v>
      </c>
      <c r="E53" s="11" t="s">
        <v>2207</v>
      </c>
      <c r="F53" s="184">
        <f>'数据-取费表'!B41</f>
        <v>0.09</v>
      </c>
      <c r="G53" s="2477"/>
      <c r="H53" s="138"/>
      <c r="I53" s="2475"/>
      <c r="J53" s="1801">
        <v>2</v>
      </c>
      <c r="K53" s="3392" t="s">
        <v>2211</v>
      </c>
      <c r="L53" s="3392"/>
      <c r="M53" s="1743">
        <f t="shared" ref="M53:O54" ca="1" si="0">D55</f>
        <v>5</v>
      </c>
      <c r="N53" s="1801" t="str">
        <f t="shared" si="0"/>
        <v>销售额×税（费）率</v>
      </c>
      <c r="O53" s="1744">
        <f t="shared" si="0"/>
        <v>5.0000000000000001E-4</v>
      </c>
    </row>
    <row r="54" spans="1:35" ht="12" customHeight="1">
      <c r="A54" s="183" t="s">
        <v>2212</v>
      </c>
      <c r="B54" s="3350" t="s">
        <v>2213</v>
      </c>
      <c r="C54" s="3351"/>
      <c r="D54" s="182">
        <f ca="1">C68</f>
        <v>804</v>
      </c>
      <c r="E54" s="30" t="s">
        <v>2214</v>
      </c>
      <c r="F54" s="184">
        <f>'数据-取费表'!B41</f>
        <v>0.09</v>
      </c>
      <c r="G54" s="2477"/>
      <c r="H54" s="2478"/>
      <c r="I54" s="2475"/>
      <c r="J54" s="1801">
        <v>3</v>
      </c>
      <c r="K54" s="3392" t="s">
        <v>2215</v>
      </c>
      <c r="L54" s="3392"/>
      <c r="M54" s="1743" t="e">
        <f t="shared" ca="1" si="0"/>
        <v>#DIV/0!</v>
      </c>
      <c r="N54" s="1801" t="str">
        <f t="shared" si="0"/>
        <v>增值额×税（费）率</v>
      </c>
      <c r="O54" s="1745" t="str">
        <f t="shared" si="0"/>
        <v>——</v>
      </c>
    </row>
    <row r="55" spans="1:35" ht="24" customHeight="1">
      <c r="A55" s="3341" t="s">
        <v>2216</v>
      </c>
      <c r="B55" s="3342"/>
      <c r="C55" s="3342"/>
      <c r="D55" s="185">
        <f ca="1">IF(H55="个人住宅",0,ROUND(D45*I55,0))</f>
        <v>5</v>
      </c>
      <c r="E55" s="11" t="s">
        <v>2217</v>
      </c>
      <c r="F55" s="184">
        <f>IF(H55="正常",I55,"免征")</f>
        <v>5.0000000000000001E-4</v>
      </c>
      <c r="G55" s="2477"/>
      <c r="H55" s="2474" t="s">
        <v>2218</v>
      </c>
      <c r="I55" s="186">
        <f>'数据-取费表'!B49</f>
        <v>5.0000000000000001E-4</v>
      </c>
      <c r="J55" s="1801" t="str">
        <f>IF(H59="非个人房产","",4)</f>
        <v/>
      </c>
      <c r="K55" s="3392" t="str">
        <f>IF(H59="非个人房产","——","个人所得税")</f>
        <v>——</v>
      </c>
      <c r="L55" s="3392"/>
      <c r="M55" s="1746" t="str">
        <f>D59</f>
        <v>——</v>
      </c>
      <c r="N55" s="1799" t="str">
        <f>E59</f>
        <v>——</v>
      </c>
      <c r="O55" s="1747" t="str">
        <f>F59</f>
        <v>——</v>
      </c>
    </row>
    <row r="56" spans="1:35" ht="24.75">
      <c r="A56" s="3341" t="s">
        <v>2219</v>
      </c>
      <c r="B56" s="3342"/>
      <c r="C56" s="3342"/>
      <c r="D56" s="185" t="e">
        <f ca="1">IF(H56="个人住宅",D57,D58)</f>
        <v>#DIV/0!</v>
      </c>
      <c r="E56" s="11" t="s">
        <v>2220</v>
      </c>
      <c r="F56" s="184" t="str">
        <f>IF(H56="正常",F58,"免征")</f>
        <v>——</v>
      </c>
      <c r="G56" s="2479" t="s">
        <v>2221</v>
      </c>
      <c r="H56" s="2480" t="s">
        <v>2218</v>
      </c>
      <c r="I56" s="2481"/>
      <c r="J56" s="1801" t="str">
        <f>IF(项目基本情况!K6="上海银行",IF(J55="",4,J55+1),"")</f>
        <v/>
      </c>
      <c r="K56" s="3415" t="str">
        <f>IF(项目基本情况!K6="上海银行","其他处置费用","")</f>
        <v/>
      </c>
      <c r="L56" s="3416"/>
      <c r="M56" s="1743" t="str">
        <f>IF(项目基本情况!K6="上海银行",M69,"")</f>
        <v/>
      </c>
      <c r="N56" s="3418" t="str">
        <f>IF(项目基本情况!K6="上海银行","包含处置中涉及的律师、诉讼、拍卖、评估等费用","")</f>
        <v/>
      </c>
      <c r="O56" s="3419"/>
    </row>
    <row r="57" spans="1:35" ht="12.75">
      <c r="A57" s="183" t="s">
        <v>2194</v>
      </c>
      <c r="B57" s="3357" t="s">
        <v>2222</v>
      </c>
      <c r="C57" s="3366"/>
      <c r="D57" s="187">
        <v>0</v>
      </c>
      <c r="E57" s="23" t="s">
        <v>2196</v>
      </c>
      <c r="F57" s="155"/>
      <c r="G57" s="2477"/>
      <c r="H57" s="2481"/>
      <c r="I57" s="2481"/>
      <c r="J57" s="3392">
        <f>IF(AND(J55="",J56=""),4,IF(项目基本情况!K6="上海银行",结果表!J56+1,结果表!J55+1))</f>
        <v>4</v>
      </c>
      <c r="K57" s="3392" t="s">
        <v>2223</v>
      </c>
      <c r="L57" s="2482" t="s">
        <v>2224</v>
      </c>
      <c r="M57" s="1748"/>
      <c r="N57" s="1749">
        <f ca="1">SUMIF(M52:M56,"&lt;9e307")</f>
        <v>5</v>
      </c>
      <c r="O57" s="2483"/>
      <c r="P57" s="1742" t="e">
        <f ca="1">N57/M49</f>
        <v>#VALUE!</v>
      </c>
    </row>
    <row r="58" spans="1:35" ht="24.75">
      <c r="A58" s="183" t="s">
        <v>2205</v>
      </c>
      <c r="B58" s="3357" t="s">
        <v>2225</v>
      </c>
      <c r="C58" s="3358"/>
      <c r="D58" s="185" t="e">
        <f ca="1">IF(H58="转让取得",C81,C97)</f>
        <v>#DIV/0!</v>
      </c>
      <c r="E58" s="11" t="s">
        <v>2220</v>
      </c>
      <c r="F58" s="24" t="s">
        <v>34</v>
      </c>
      <c r="G58" s="2477"/>
      <c r="H58" s="2480" t="s">
        <v>2226</v>
      </c>
      <c r="I58" s="2481"/>
      <c r="J58" s="3392"/>
      <c r="K58" s="3392"/>
      <c r="L58" s="2482" t="s">
        <v>2227</v>
      </c>
      <c r="M58" s="1750"/>
      <c r="N58" s="2484" t="str">
        <f ca="1">NUMBERSTRING(INT(N57*10000),2)&amp;"元整"</f>
        <v>伍万元整</v>
      </c>
      <c r="O58" s="2485"/>
    </row>
    <row r="59" spans="1:35" ht="24.75" thickBot="1">
      <c r="A59" s="3395" t="s">
        <v>2228</v>
      </c>
      <c r="B59" s="3396"/>
      <c r="C59" s="3396"/>
      <c r="D59" s="188" t="str">
        <f>IF(H59="非个人房产","——",IF(H59="个人住宅",0,ROUND(D45*I59,0)))</f>
        <v>——</v>
      </c>
      <c r="E59" s="189" t="str">
        <f>IF(H59="非个人房产","——","销售额×税（费）率")</f>
        <v>——</v>
      </c>
      <c r="F59" s="190" t="str">
        <f>IF(H59="非个人房产","——",IF(H59="个人住宅","免征",I59))</f>
        <v>——</v>
      </c>
      <c r="G59" s="2486" t="s">
        <v>2221</v>
      </c>
      <c r="H59" s="2480" t="s">
        <v>2229</v>
      </c>
      <c r="I59" s="191">
        <v>0.01</v>
      </c>
      <c r="J59" s="3393">
        <f>J57+1</f>
        <v>5</v>
      </c>
      <c r="K59" s="3392" t="s">
        <v>2230</v>
      </c>
      <c r="L59" s="1801" t="s">
        <v>2224</v>
      </c>
      <c r="M59" s="1751"/>
      <c r="N59" s="1752" t="e">
        <f ca="1">M49-N57</f>
        <v>#VALUE!</v>
      </c>
      <c r="O59" s="2487"/>
    </row>
    <row r="60" spans="1:35" ht="12" customHeight="1">
      <c r="A60" s="2488"/>
      <c r="B60" s="2410"/>
      <c r="C60" s="2410"/>
      <c r="D60" s="2410"/>
      <c r="E60" s="2158"/>
      <c r="F60" s="2481"/>
      <c r="G60" s="2481"/>
      <c r="H60" s="2489"/>
      <c r="I60" s="138"/>
      <c r="J60" s="3394"/>
      <c r="K60" s="3392"/>
      <c r="L60" s="2482" t="s">
        <v>2227</v>
      </c>
      <c r="M60" s="1750"/>
      <c r="N60" s="2484" t="e">
        <f ca="1">NUMBERSTRING(INT(N59*10000),2)&amp;"元整"</f>
        <v>#VALUE!</v>
      </c>
      <c r="O60" s="2485"/>
    </row>
    <row r="61" spans="1:35" ht="13.5" thickBot="1">
      <c r="A61" s="3339" t="s">
        <v>2231</v>
      </c>
      <c r="B61" s="3339"/>
      <c r="C61" s="3339"/>
      <c r="D61" s="3339"/>
      <c r="E61" s="3339"/>
      <c r="F61" s="2481"/>
      <c r="G61" s="2481"/>
      <c r="H61" s="2489"/>
      <c r="I61" s="138"/>
      <c r="J61" s="1801">
        <f>J59+1</f>
        <v>6</v>
      </c>
      <c r="K61" s="3392" t="s">
        <v>2232</v>
      </c>
      <c r="L61" s="3392"/>
      <c r="M61" s="1753"/>
      <c r="N61" s="1754" t="e">
        <f ca="1">ROUND(N59*10000/'数据-汇总表'!E3,0)</f>
        <v>#VALUE!</v>
      </c>
      <c r="O61" s="2490"/>
    </row>
    <row r="62" spans="1:35" ht="12.75">
      <c r="A62" s="3355" t="s">
        <v>2233</v>
      </c>
      <c r="B62" s="3356"/>
      <c r="C62" s="1793"/>
      <c r="D62" s="1793" t="s">
        <v>2234</v>
      </c>
      <c r="E62" s="192" t="s">
        <v>2235</v>
      </c>
      <c r="F62" s="2481"/>
      <c r="G62" s="2481"/>
      <c r="H62" s="2489"/>
      <c r="I62" s="138"/>
    </row>
    <row r="63" spans="1:35" ht="12.75">
      <c r="A63" s="203" t="s">
        <v>775</v>
      </c>
      <c r="B63" s="193" t="s">
        <v>2236</v>
      </c>
      <c r="C63" s="194">
        <f ca="1">ROUND((C64+C65)/(1+'数据-取费表'!C42),0)</f>
        <v>8937</v>
      </c>
      <c r="D63" s="195"/>
      <c r="E63" s="196"/>
      <c r="F63" s="2481"/>
      <c r="G63" s="2481"/>
      <c r="H63" s="2489"/>
      <c r="I63" s="138"/>
      <c r="J63" s="3417" t="s">
        <v>2237</v>
      </c>
      <c r="K63" s="2491" t="s">
        <v>2238</v>
      </c>
      <c r="L63" s="1741" t="e">
        <f>IF(M49&gt;10000,M49*0.5%,IF(AND(M49&gt;1000,M49&lt;=10000),M49*1%,IF(AND(M49&gt;100,M49&lt;=1000),M49*3%,IF(AND(M49&gt;10,M49&lt;=100),M49*5%,M49*8%))))</f>
        <v>#VALUE!</v>
      </c>
      <c r="M63" s="24" t="e">
        <f>ROUND(L63,1)</f>
        <v>#VALUE!</v>
      </c>
      <c r="Z63" s="2415"/>
      <c r="AI63" s="2416"/>
    </row>
    <row r="64" spans="1:35" ht="14.25" customHeight="1">
      <c r="A64" s="197" t="s">
        <v>770</v>
      </c>
      <c r="B64" s="198" t="s">
        <v>2239</v>
      </c>
      <c r="C64" s="199">
        <f ca="1">D45</f>
        <v>9741</v>
      </c>
      <c r="D64" s="200" t="s">
        <v>32</v>
      </c>
      <c r="E64" s="201"/>
      <c r="F64" s="2481"/>
      <c r="G64" s="2481"/>
      <c r="H64" s="2489"/>
      <c r="I64" s="138"/>
      <c r="J64" s="3417"/>
      <c r="K64" s="2491" t="s">
        <v>2240</v>
      </c>
      <c r="L64" s="174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2241</v>
      </c>
      <c r="Z64" s="2415"/>
      <c r="AI64" s="2416"/>
    </row>
    <row r="65" spans="1:35" ht="14.25" customHeight="1">
      <c r="A65" s="197" t="s">
        <v>771</v>
      </c>
      <c r="B65" s="198" t="s">
        <v>2242</v>
      </c>
      <c r="C65" s="202"/>
      <c r="D65" s="200"/>
      <c r="E65" s="201"/>
      <c r="F65" s="2481"/>
      <c r="G65" s="2481"/>
      <c r="H65" s="2489"/>
      <c r="I65" s="138"/>
      <c r="J65" s="3417"/>
      <c r="K65" s="2491" t="s">
        <v>2243</v>
      </c>
      <c r="L65" s="1741" t="e">
        <f>IF(M49&gt;1000,M49*0.1%,IF(AND(M49&gt;500,M49&lt;=1000),M49*0.5%,IF(AND(M49&gt;50,M49&lt;=500),M49*1%,IF(AND(M49&gt;1,M49&lt;=50),M49*1.5%))))</f>
        <v>#VALUE!</v>
      </c>
      <c r="M65" s="24" t="e">
        <f t="shared" si="1"/>
        <v>#VALUE!</v>
      </c>
      <c r="N65" s="138" t="s">
        <v>2241</v>
      </c>
      <c r="Z65" s="2415"/>
      <c r="AI65" s="2416"/>
    </row>
    <row r="66" spans="1:35" ht="14.25" customHeight="1">
      <c r="A66" s="203" t="s">
        <v>772</v>
      </c>
      <c r="B66" s="204" t="s">
        <v>2244</v>
      </c>
      <c r="C66" s="205"/>
      <c r="D66" s="206" t="s">
        <v>32</v>
      </c>
      <c r="E66" s="1765" t="s">
        <v>1366</v>
      </c>
      <c r="F66" s="2481"/>
      <c r="G66" s="2481"/>
      <c r="H66" s="2489"/>
      <c r="I66" s="138"/>
      <c r="J66" s="3417"/>
      <c r="K66" s="2491" t="s">
        <v>2245</v>
      </c>
      <c r="L66" s="1741" t="e">
        <f>M49*0.5%</f>
        <v>#VALUE!</v>
      </c>
      <c r="M66" s="24" t="e">
        <f>IF(L66&gt;0.5,0.5,ROUND(L66,0))</f>
        <v>#VALUE!</v>
      </c>
      <c r="N66" s="138" t="s">
        <v>2246</v>
      </c>
      <c r="Z66" s="2415"/>
      <c r="AI66" s="2416"/>
    </row>
    <row r="67" spans="1:35" ht="14.25" customHeight="1">
      <c r="A67" s="203" t="s">
        <v>773</v>
      </c>
      <c r="B67" s="204" t="s">
        <v>2247</v>
      </c>
      <c r="C67" s="207">
        <f ca="1">C63-C66</f>
        <v>8937</v>
      </c>
      <c r="D67" s="200" t="s">
        <v>32</v>
      </c>
      <c r="E67" s="201"/>
      <c r="F67" s="2481"/>
      <c r="G67" s="2481"/>
      <c r="H67" s="2489"/>
      <c r="I67" s="138"/>
      <c r="J67" s="3417"/>
      <c r="K67" s="2491" t="s">
        <v>2248</v>
      </c>
      <c r="L67" s="174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5"/>
      <c r="AI67" s="2416"/>
    </row>
    <row r="68" spans="1:35" ht="14.25" customHeight="1" thickBot="1">
      <c r="A68" s="208" t="s">
        <v>774</v>
      </c>
      <c r="B68" s="209" t="s">
        <v>2249</v>
      </c>
      <c r="C68" s="210">
        <f ca="1">IF(C67&lt;=0,0,ROUND(C67*D68,0))</f>
        <v>804</v>
      </c>
      <c r="D68" s="211">
        <f>'数据-取费表'!B41</f>
        <v>0.09</v>
      </c>
      <c r="E68" s="212"/>
      <c r="F68" s="2481"/>
      <c r="G68" s="2481"/>
      <c r="H68" s="2489"/>
      <c r="I68" s="138"/>
      <c r="J68" s="3417"/>
      <c r="K68" s="2491" t="s">
        <v>2250</v>
      </c>
      <c r="L68" s="1741" t="e">
        <f>IF(M49&gt;10000,M49*0.5%,IF(AND(M49&gt;5000,M49&lt;=10000),M49*1%,IF(AND(M49&gt;1000,M49&lt;=5000),M49*2%,IF(AND(M49&gt;200,M49&lt;=1000),M49*3%,M49*5%))))</f>
        <v>#VALUE!</v>
      </c>
      <c r="M68" s="24" t="e">
        <f>ROUND(L68,1)</f>
        <v>#VALUE!</v>
      </c>
      <c r="Z68" s="2415"/>
      <c r="AI68" s="2416"/>
    </row>
    <row r="69" spans="1:35" s="2438" customFormat="1" ht="16.5" customHeight="1">
      <c r="A69" s="2492"/>
      <c r="B69" s="2493"/>
      <c r="C69" s="2494"/>
      <c r="D69" s="2495"/>
      <c r="E69" s="2496"/>
      <c r="F69" s="2158"/>
      <c r="G69" s="2158"/>
      <c r="H69" s="2157"/>
      <c r="I69" s="2410"/>
      <c r="J69" s="3417"/>
      <c r="K69" s="2491" t="s">
        <v>2251</v>
      </c>
      <c r="L69" s="2497"/>
      <c r="M69" s="24" t="e">
        <f>ROUND(SUM(M63:M68),0)</f>
        <v>#VALUE!</v>
      </c>
      <c r="N69" s="1742" t="e">
        <f>M69/M49</f>
        <v>#VALUE!</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376" t="s">
        <v>2252</v>
      </c>
      <c r="B70" s="3377"/>
      <c r="C70" s="3377"/>
      <c r="D70" s="3377"/>
      <c r="E70" s="3377"/>
      <c r="F70" s="3377"/>
      <c r="G70" s="3377"/>
      <c r="H70" s="3377"/>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355" t="s">
        <v>2233</v>
      </c>
      <c r="B71" s="3356"/>
      <c r="C71" s="1793"/>
      <c r="D71" s="1793" t="s">
        <v>2234</v>
      </c>
      <c r="E71" s="213" t="s">
        <v>2235</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2253</v>
      </c>
      <c r="C72" s="207">
        <f ca="1">ROUND(D45/(1+'数据-取费表'!C42),0)</f>
        <v>8937</v>
      </c>
      <c r="D72" s="200" t="s">
        <v>32</v>
      </c>
      <c r="E72" s="1792"/>
      <c r="F72" s="1786"/>
      <c r="G72" s="1786"/>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2254</v>
      </c>
      <c r="C73" s="207">
        <f ca="1">C74+C78</f>
        <v>0</v>
      </c>
      <c r="D73" s="200" t="s">
        <v>32</v>
      </c>
      <c r="E73" s="1792"/>
      <c r="F73" s="1786"/>
      <c r="G73" s="1786"/>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2255</v>
      </c>
      <c r="C74" s="200">
        <f>ROUND(IF(G77="2016年5月1日后购买",C75/(1+'数据-取费表'!C42)+C76+C77,C75+C76+C77),0)</f>
        <v>0</v>
      </c>
      <c r="D74" s="200" t="s">
        <v>32</v>
      </c>
      <c r="E74" s="1792"/>
      <c r="F74" s="1786"/>
      <c r="G74" s="1786"/>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2256</v>
      </c>
      <c r="C75" s="218"/>
      <c r="D75" s="200" t="s">
        <v>32</v>
      </c>
      <c r="E75" s="219" t="s">
        <v>2257</v>
      </c>
      <c r="F75" s="2503" t="s">
        <v>2258</v>
      </c>
      <c r="G75" s="219" t="s">
        <v>2259</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2260</v>
      </c>
      <c r="C76" s="200">
        <f>IF(F75="购房发票",ROUND(C75*H75*D76,0),0)</f>
        <v>0</v>
      </c>
      <c r="D76" s="222">
        <v>0.05</v>
      </c>
      <c r="E76" s="3350" t="s">
        <v>2261</v>
      </c>
      <c r="F76" s="3327"/>
      <c r="G76" s="3327"/>
      <c r="H76" s="3375"/>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5" t="s">
        <v>2264</v>
      </c>
      <c r="H77" s="1797"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2265</v>
      </c>
      <c r="C78" s="225">
        <f ca="1">ROUND(D45*D78/(1+'数据-取费表'!C42),0)</f>
        <v>0</v>
      </c>
      <c r="D78" s="226">
        <f>'数据-取费表'!B43</f>
        <v>0</v>
      </c>
      <c r="E78" s="3336" t="s">
        <v>2266</v>
      </c>
      <c r="F78" s="3337"/>
      <c r="G78" s="3337"/>
      <c r="H78" s="3346"/>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2267</v>
      </c>
      <c r="C79" s="207">
        <f ca="1">C72-C73</f>
        <v>8937</v>
      </c>
      <c r="D79" s="200" t="s">
        <v>32</v>
      </c>
      <c r="E79" s="1792"/>
      <c r="F79" s="1786"/>
      <c r="G79" s="1786"/>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2268</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86"/>
      <c r="G80" s="1786"/>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2269</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376" t="s">
        <v>2270</v>
      </c>
      <c r="B83" s="3377"/>
      <c r="C83" s="3377"/>
      <c r="D83" s="3377"/>
      <c r="E83" s="3377"/>
      <c r="F83" s="3377"/>
      <c r="G83" s="3377"/>
      <c r="H83" s="3377"/>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355" t="s">
        <v>2233</v>
      </c>
      <c r="B84" s="3356"/>
      <c r="C84" s="1793"/>
      <c r="D84" s="1793" t="s">
        <v>2234</v>
      </c>
      <c r="E84" s="213" t="s">
        <v>2235</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2253</v>
      </c>
      <c r="C85" s="207">
        <f ca="1">ROUND(D45/(1+'数据-取费表'!C42),0)</f>
        <v>8937</v>
      </c>
      <c r="D85" s="200" t="s">
        <v>32</v>
      </c>
      <c r="E85" s="1792"/>
      <c r="F85" s="1786"/>
      <c r="G85" s="1786"/>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2254</v>
      </c>
      <c r="C86" s="207">
        <f ca="1">IF(H88="仅含出让金",C87+C90+C91+C92+C93+C94,C87+C91+C92+C93+C94)</f>
        <v>0</v>
      </c>
      <c r="D86" s="235"/>
      <c r="E86" s="1792"/>
      <c r="F86" s="1786"/>
      <c r="G86" s="1786"/>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2271</v>
      </c>
      <c r="C87" s="225">
        <f>C88+C89</f>
        <v>0</v>
      </c>
      <c r="D87" s="226"/>
      <c r="E87" s="1788"/>
      <c r="F87" s="1789"/>
      <c r="G87" s="1789"/>
      <c r="H87" s="179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2272</v>
      </c>
      <c r="C88" s="236"/>
      <c r="D88" s="226"/>
      <c r="E88" s="237" t="s">
        <v>2273</v>
      </c>
      <c r="F88" s="1789"/>
      <c r="G88" s="238" t="s">
        <v>2274</v>
      </c>
      <c r="H88" s="2509"/>
      <c r="I88" s="2504"/>
      <c r="J88" s="2959" t="s">
        <v>3052</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2262</v>
      </c>
      <c r="C89" s="225">
        <f>ROUND(C88*D89,0)</f>
        <v>0</v>
      </c>
      <c r="D89" s="226">
        <f>'数据-取费表'!B48+'数据-取费表'!B49</f>
        <v>3.0499999999999999E-2</v>
      </c>
      <c r="E89" s="237" t="s">
        <v>2275</v>
      </c>
      <c r="F89" s="1789"/>
      <c r="G89" s="1789"/>
      <c r="H89" s="179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2276</v>
      </c>
      <c r="C90" s="236"/>
      <c r="D90" s="226"/>
      <c r="E90" s="237" t="str">
        <f>IF(H88="-","土地取得成本中已包含该笔费用"," ")</f>
        <v xml:space="preserve"> </v>
      </c>
      <c r="F90" s="1789"/>
      <c r="G90" s="3420" t="s">
        <v>3054</v>
      </c>
      <c r="H90" s="3421"/>
      <c r="I90" s="2504"/>
      <c r="J90" s="2959" t="s">
        <v>3053</v>
      </c>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2277</v>
      </c>
      <c r="B91" s="198" t="s">
        <v>2278</v>
      </c>
      <c r="C91" s="225">
        <f>IF(H91="——",'成本法-住宅'!C33,I91)</f>
        <v>0</v>
      </c>
      <c r="D91" s="226"/>
      <c r="E91" s="3336" t="s">
        <v>2279</v>
      </c>
      <c r="F91" s="3337"/>
      <c r="G91" s="3337"/>
      <c r="H91" s="2510" t="s">
        <v>2280</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2281</v>
      </c>
      <c r="B92" s="198" t="s">
        <v>2282</v>
      </c>
      <c r="C92" s="225">
        <f>ROUND((C87+C90+C91)*D92,0)</f>
        <v>0</v>
      </c>
      <c r="D92" s="226">
        <v>0.1</v>
      </c>
      <c r="E92" s="3336" t="s">
        <v>2283</v>
      </c>
      <c r="F92" s="3337"/>
      <c r="G92" s="3337"/>
      <c r="H92" s="3346"/>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2284</v>
      </c>
      <c r="B93" s="198" t="s">
        <v>2265</v>
      </c>
      <c r="C93" s="225">
        <f ca="1">ROUND(D45*D93/(1+'数据-取费表'!C42),0)</f>
        <v>0</v>
      </c>
      <c r="D93" s="226">
        <f>'数据-取费表'!B43</f>
        <v>0</v>
      </c>
      <c r="E93" s="3336" t="s">
        <v>2266</v>
      </c>
      <c r="F93" s="3337"/>
      <c r="G93" s="3337"/>
      <c r="H93" s="3346"/>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2285</v>
      </c>
      <c r="B94" s="198" t="s">
        <v>2286</v>
      </c>
      <c r="C94" s="236">
        <f>ROUND((C87+C90+C91)*D94,0)</f>
        <v>0</v>
      </c>
      <c r="D94" s="226">
        <v>0.2</v>
      </c>
      <c r="E94" s="3347" t="s">
        <v>2287</v>
      </c>
      <c r="F94" s="3348"/>
      <c r="G94" s="3348"/>
      <c r="H94" s="334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2267</v>
      </c>
      <c r="C95" s="207">
        <f ca="1">ROUND(C85-C86,0)</f>
        <v>8937</v>
      </c>
      <c r="D95" s="200" t="s">
        <v>32</v>
      </c>
      <c r="E95" s="1792"/>
      <c r="F95" s="1786"/>
      <c r="G95" s="1786"/>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2268</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86"/>
      <c r="G96" s="1786"/>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2269</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8"/>
    </row>
    <row r="99" spans="1:35" ht="21.75" customHeight="1" thickBot="1">
      <c r="A99" s="2466" t="s">
        <v>2288</v>
      </c>
      <c r="B99" s="2410"/>
      <c r="C99" s="2410"/>
      <c r="D99" s="2410"/>
      <c r="E99" s="2158"/>
      <c r="F99" s="2158"/>
      <c r="G99" s="2158"/>
      <c r="H99" s="2157"/>
      <c r="I99" s="138"/>
    </row>
    <row r="100" spans="1:35" ht="18.75" customHeight="1">
      <c r="A100" s="3302" t="s">
        <v>2289</v>
      </c>
      <c r="B100" s="3303"/>
      <c r="C100" s="3303"/>
      <c r="D100" s="3338"/>
      <c r="E100" s="3303" t="s">
        <v>2290</v>
      </c>
      <c r="F100" s="3303"/>
      <c r="G100" s="3303"/>
      <c r="H100" s="3338"/>
      <c r="I100" s="138"/>
    </row>
    <row r="101" spans="1:35" ht="18.75" customHeight="1">
      <c r="A101" s="3400" t="s">
        <v>2291</v>
      </c>
      <c r="B101" s="3401"/>
      <c r="C101" s="736" t="str">
        <f>C4</f>
        <v>成本法-住宅</v>
      </c>
      <c r="D101" s="737" t="str">
        <f>D4</f>
        <v>收益法-住宅</v>
      </c>
      <c r="E101" s="3414" t="s">
        <v>2292</v>
      </c>
      <c r="F101" s="3368"/>
      <c r="G101" s="2512" t="s">
        <v>2293</v>
      </c>
      <c r="H101" s="1045">
        <f ca="1">H118</f>
        <v>9741</v>
      </c>
      <c r="I101" s="138"/>
    </row>
    <row r="102" spans="1:35" ht="18.75" customHeight="1">
      <c r="A102" s="3370" t="s">
        <v>2294</v>
      </c>
      <c r="B102" s="2512" t="s">
        <v>2293</v>
      </c>
      <c r="C102" s="736">
        <f ca="1">C19</f>
        <v>8711</v>
      </c>
      <c r="D102" s="737">
        <f ca="1">D19</f>
        <v>10770</v>
      </c>
      <c r="E102" s="3414"/>
      <c r="F102" s="3368"/>
      <c r="G102" s="2512" t="s">
        <v>2295</v>
      </c>
      <c r="H102" s="371">
        <f ca="1">I118</f>
        <v>9787</v>
      </c>
      <c r="I102" s="138"/>
    </row>
    <row r="103" spans="1:35" ht="42.75" customHeight="1">
      <c r="A103" s="3370"/>
      <c r="B103" s="2512" t="s">
        <v>2295</v>
      </c>
      <c r="C103" s="738">
        <f ca="1">C20</f>
        <v>8752.4604049381924</v>
      </c>
      <c r="D103" s="739">
        <f ca="1">D20</f>
        <v>10821</v>
      </c>
      <c r="E103" s="3409" t="s">
        <v>2296</v>
      </c>
      <c r="F103" s="3410"/>
      <c r="G103" s="2513" t="s">
        <v>2297</v>
      </c>
      <c r="H103" s="1045">
        <f>IF(D36="正常操作",H104+H105+H106,H105+H106)</f>
        <v>0</v>
      </c>
      <c r="I103" s="138"/>
    </row>
    <row r="104" spans="1:35" ht="18.75" customHeight="1">
      <c r="A104" s="3370" t="s">
        <v>2298</v>
      </c>
      <c r="B104" s="2514" t="s">
        <v>2293</v>
      </c>
      <c r="C104" s="740">
        <f ca="1">H118</f>
        <v>9741</v>
      </c>
      <c r="D104" s="741"/>
      <c r="E104" s="2259" t="s">
        <v>2299</v>
      </c>
      <c r="F104" s="2250"/>
      <c r="G104" s="2513" t="s">
        <v>2297</v>
      </c>
      <c r="H104" s="1046">
        <f>IF(D36="同一抵押权人同一抵押物续贷",C36&amp;"（未扣减，详见特别提示）",C36)</f>
        <v>0</v>
      </c>
      <c r="I104" s="138"/>
    </row>
    <row r="105" spans="1:35" ht="18.75" customHeight="1" thickBot="1">
      <c r="A105" s="3371"/>
      <c r="B105" s="2515" t="s">
        <v>2295</v>
      </c>
      <c r="C105" s="742">
        <f ca="1">I118</f>
        <v>9787</v>
      </c>
      <c r="D105" s="743"/>
      <c r="E105" s="2259" t="s">
        <v>2300</v>
      </c>
      <c r="F105" s="2250"/>
      <c r="G105" s="2513" t="s">
        <v>2297</v>
      </c>
      <c r="H105" s="1046">
        <f>C37</f>
        <v>0</v>
      </c>
      <c r="I105" s="138"/>
    </row>
    <row r="106" spans="1:35" ht="18.75" customHeight="1">
      <c r="A106" s="2410" t="s">
        <v>2301</v>
      </c>
      <c r="B106" s="2410"/>
      <c r="C106" s="2410"/>
      <c r="D106" s="2410"/>
      <c r="E106" s="2516" t="s">
        <v>2302</v>
      </c>
      <c r="F106" s="2250"/>
      <c r="G106" s="2513" t="s">
        <v>2297</v>
      </c>
      <c r="H106" s="1046">
        <f>C38</f>
        <v>0</v>
      </c>
      <c r="I106" s="138"/>
    </row>
    <row r="107" spans="1:35" ht="18.75" customHeight="1">
      <c r="A107" s="138"/>
      <c r="B107" s="138"/>
      <c r="C107" s="138"/>
      <c r="D107" s="138"/>
      <c r="E107" s="3367" t="str">
        <f>IF(项目基本情况!E8="已注销","——","3.房地产抵押价值")</f>
        <v>3.房地产抵押价值</v>
      </c>
      <c r="F107" s="3368"/>
      <c r="G107" s="2512" t="s">
        <v>2293</v>
      </c>
      <c r="H107" s="1045">
        <f ca="1">IF(E107="——","——",H101-H103)</f>
        <v>9741</v>
      </c>
      <c r="I107" s="138"/>
    </row>
    <row r="108" spans="1:35" ht="18.75" customHeight="1">
      <c r="A108" s="138"/>
      <c r="B108" s="138"/>
      <c r="C108" s="138"/>
      <c r="D108" s="138"/>
      <c r="E108" s="3367"/>
      <c r="F108" s="3368"/>
      <c r="G108" s="2512" t="s">
        <v>2295</v>
      </c>
      <c r="H108" s="371">
        <f ca="1">ROUND(H107*10000/'数据-汇总表'!E3,0)</f>
        <v>8285</v>
      </c>
      <c r="I108" s="138"/>
    </row>
    <row r="109" spans="1:35" ht="18.75" customHeight="1">
      <c r="A109" s="138"/>
      <c r="B109" s="138"/>
      <c r="C109" s="138"/>
      <c r="D109" s="138"/>
      <c r="E109" s="3367" t="str">
        <f>IF(项目基本情况!E8="已注销及未注销","4.抵押担保权已注销时的房地产抵押价值",IF(项目基本情况!E8="已注销","3.抵押担保权已注销时的房地产抵押价值","——"))</f>
        <v>——</v>
      </c>
      <c r="F109" s="3368"/>
      <c r="G109" s="2512" t="s">
        <v>2293</v>
      </c>
      <c r="H109" s="348" t="str">
        <f>IF(E109="——","——",H101-H105-H106)</f>
        <v>——</v>
      </c>
      <c r="I109" s="138"/>
    </row>
    <row r="110" spans="1:35" ht="18.75" customHeight="1">
      <c r="A110" s="138"/>
      <c r="B110" s="138"/>
      <c r="C110" s="138"/>
      <c r="D110" s="138"/>
      <c r="E110" s="3367"/>
      <c r="F110" s="3368"/>
      <c r="G110" s="2512" t="s">
        <v>2295</v>
      </c>
      <c r="H110" s="371" t="str">
        <f>IF(H109="——","——",ROUND(H109*10000/'数据-汇总表'!E3,0))</f>
        <v>——</v>
      </c>
      <c r="I110" s="138"/>
    </row>
    <row r="111" spans="1:35" ht="18.75" customHeight="1">
      <c r="A111" s="138"/>
      <c r="B111" s="138"/>
      <c r="C111" s="138"/>
      <c r="D111" s="138"/>
      <c r="E111" s="3402" t="str">
        <f>IF(项目基本情况!E9="抵押净值",IF(OR(项目基本情况!E8="已注销",项目基本情况!E8="房地产抵押价值"),"4.抵押净值","5.抵押净值"),"——")</f>
        <v>——</v>
      </c>
      <c r="F111" s="3403"/>
      <c r="G111" s="2512" t="s">
        <v>2293</v>
      </c>
      <c r="H111" s="1045" t="str">
        <f>IF(E111="——","——",N59)</f>
        <v>——</v>
      </c>
      <c r="I111" s="138"/>
    </row>
    <row r="112" spans="1:35" ht="18.75" customHeight="1" thickBot="1">
      <c r="A112" s="138"/>
      <c r="B112" s="138"/>
      <c r="C112" s="138"/>
      <c r="D112" s="138"/>
      <c r="E112" s="3404"/>
      <c r="F112" s="3405"/>
      <c r="G112" s="2517" t="s">
        <v>2295</v>
      </c>
      <c r="H112" s="790" t="str">
        <f>IF(E111="——","——",N61)</f>
        <v>——</v>
      </c>
      <c r="I112" s="138"/>
    </row>
    <row r="113" spans="1:11" ht="18.75" customHeight="1">
      <c r="A113" s="138"/>
      <c r="B113" s="138"/>
      <c r="C113" s="138"/>
      <c r="D113" s="138"/>
      <c r="E113" s="3372" t="s">
        <v>2301</v>
      </c>
      <c r="F113" s="3372"/>
      <c r="G113" s="3372"/>
      <c r="H113" s="3372"/>
      <c r="I113" s="138"/>
    </row>
    <row r="114" spans="1:11" ht="3.75" customHeight="1">
      <c r="A114" s="2410"/>
      <c r="B114" s="2410"/>
      <c r="C114" s="2410"/>
      <c r="D114" s="2410"/>
      <c r="E114" s="2488"/>
      <c r="F114" s="2488"/>
      <c r="G114" s="2488"/>
      <c r="H114" s="2488"/>
      <c r="I114" s="2410"/>
    </row>
    <row r="115" spans="1:11" ht="18.75" customHeight="1">
      <c r="A115" s="3385" t="s">
        <v>2303</v>
      </c>
      <c r="B115" s="3386"/>
      <c r="C115" s="3386"/>
      <c r="D115" s="3386"/>
      <c r="E115" s="3386"/>
      <c r="F115" s="3386"/>
      <c r="G115" s="3386"/>
      <c r="H115" s="3386"/>
      <c r="I115" s="3387"/>
    </row>
    <row r="116" spans="1:11" ht="27" customHeight="1">
      <c r="A116" s="3259" t="s">
        <v>2304</v>
      </c>
      <c r="B116" s="3373" t="s">
        <v>2305</v>
      </c>
      <c r="C116" s="3373" t="s">
        <v>2306</v>
      </c>
      <c r="D116" s="3389" t="s">
        <v>2307</v>
      </c>
      <c r="E116" s="3390"/>
      <c r="F116" s="3381" t="s">
        <v>2308</v>
      </c>
      <c r="G116" s="3381"/>
      <c r="H116" s="3259" t="s">
        <v>2309</v>
      </c>
      <c r="I116" s="3259"/>
    </row>
    <row r="117" spans="1:11" ht="18.75" customHeight="1">
      <c r="A117" s="3259"/>
      <c r="B117" s="3374"/>
      <c r="C117" s="3374"/>
      <c r="D117" s="1787" t="s">
        <v>2310</v>
      </c>
      <c r="E117" s="1787" t="s">
        <v>2311</v>
      </c>
      <c r="F117" s="1787" t="s">
        <v>2310</v>
      </c>
      <c r="G117" s="1787" t="s">
        <v>2312</v>
      </c>
      <c r="H117" s="1787" t="s">
        <v>2310</v>
      </c>
      <c r="I117" s="1787" t="s">
        <v>2312</v>
      </c>
    </row>
    <row r="118" spans="1:11" ht="24.75" customHeight="1">
      <c r="A118" s="2518" t="str">
        <f>项目基本情况!S2</f>
        <v>北京市房地产</v>
      </c>
      <c r="B118" s="1787">
        <f>M18</f>
        <v>9952.6299999999992</v>
      </c>
      <c r="C118" s="1787">
        <f>M19</f>
        <v>0</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9741</v>
      </c>
      <c r="I118" s="1787">
        <f ca="1">ROUND(IF(D32="楼面单价",C32,H118*10000/B118),0)</f>
        <v>9787</v>
      </c>
    </row>
    <row r="119" spans="1:11" ht="18.75" customHeight="1">
      <c r="A119" s="3259" t="s">
        <v>2313</v>
      </c>
      <c r="B119" s="3259"/>
      <c r="C119" s="3259"/>
      <c r="D119" s="3378" t="e">
        <f ca="1">NUMBERSTRING(INT(D118*10000),2)&amp;"元整"</f>
        <v>#REF!</v>
      </c>
      <c r="E119" s="3380"/>
      <c r="F119" s="3378" t="e">
        <f ca="1">NUMBERSTRING(INT(F118*10000),2)&amp;"元整"</f>
        <v>#REF!</v>
      </c>
      <c r="G119" s="3380"/>
      <c r="H119" s="3378" t="str">
        <f ca="1">NUMBERSTRING(INT(H118*10000),2)&amp;"元整"</f>
        <v>玖仟柒佰肆拾壹万元整</v>
      </c>
      <c r="I119" s="3380"/>
    </row>
    <row r="120" spans="1:11" ht="18.75" customHeight="1">
      <c r="A120" s="3406" t="str">
        <f>IF(项目基本情况!B9="房地产市场价值","",MID(E103,3,LEN(E103)-2))</f>
        <v/>
      </c>
      <c r="B120" s="3407"/>
      <c r="C120" s="3408"/>
      <c r="D120" s="3406">
        <f>H103</f>
        <v>0</v>
      </c>
      <c r="E120" s="3407"/>
      <c r="F120" s="3407"/>
      <c r="G120" s="3407"/>
      <c r="H120" s="3407"/>
      <c r="I120" s="3408"/>
      <c r="K120" s="2415" t="str">
        <f>IF(D120=0,"故，本次评估不存在"&amp;A120,"故，本次评估"&amp;A120&amp;"为人民币"&amp;D120&amp;"万元整。")</f>
        <v>故，本次评估不存在</v>
      </c>
    </row>
    <row r="121" spans="1:11" ht="18.75" customHeight="1">
      <c r="A121" s="3382" t="s">
        <v>2313</v>
      </c>
      <c r="B121" s="3383"/>
      <c r="C121" s="3384"/>
      <c r="D121" s="3378" t="str">
        <f>IF(D120=0,"零元整",NUMBERSTRING(INT(D120*10000),2)&amp;"元整")</f>
        <v>零元整</v>
      </c>
      <c r="E121" s="3379"/>
      <c r="F121" s="3379"/>
      <c r="G121" s="3379"/>
      <c r="H121" s="3379"/>
      <c r="I121" s="3380"/>
    </row>
    <row r="122" spans="1:11" ht="18.75" customHeight="1">
      <c r="A122" s="3369" t="str">
        <f>IF(项目基本情况!B9="房地产市场价值","",MID(E107,3,LEN(E107)-2))</f>
        <v/>
      </c>
      <c r="B122" s="3369"/>
      <c r="C122" s="3369"/>
      <c r="D122" s="3406">
        <f ca="1">H107</f>
        <v>9741</v>
      </c>
      <c r="E122" s="3407"/>
      <c r="F122" s="3407"/>
      <c r="G122" s="3407"/>
      <c r="H122" s="3407"/>
      <c r="I122" s="3408"/>
    </row>
    <row r="123" spans="1:11" ht="18.75" customHeight="1">
      <c r="A123" s="3259" t="s">
        <v>2313</v>
      </c>
      <c r="B123" s="3259"/>
      <c r="C123" s="3259"/>
      <c r="D123" s="3378" t="str">
        <f ca="1">NUMBERSTRING(INT(D122*10000),2)&amp;"元整"</f>
        <v>玖仟柒佰肆拾壹万元整</v>
      </c>
      <c r="E123" s="3379"/>
      <c r="F123" s="3379"/>
      <c r="G123" s="3379"/>
      <c r="H123" s="3379"/>
      <c r="I123" s="3380"/>
    </row>
    <row r="124" spans="1:11" ht="18.75" customHeight="1">
      <c r="A124" s="3369" t="str">
        <f>IF(项目基本情况!B9="房地产市场价值","",MID(E109,3,LEN(E109)-2))</f>
        <v/>
      </c>
      <c r="B124" s="3369"/>
      <c r="C124" s="3369"/>
      <c r="D124" s="3406" t="str">
        <f>H109</f>
        <v>——</v>
      </c>
      <c r="E124" s="3407"/>
      <c r="F124" s="3407"/>
      <c r="G124" s="3407"/>
      <c r="H124" s="3407"/>
      <c r="I124" s="3408"/>
    </row>
    <row r="125" spans="1:11" ht="18.75" customHeight="1">
      <c r="A125" s="3259" t="s">
        <v>2313</v>
      </c>
      <c r="B125" s="3259"/>
      <c r="C125" s="3259"/>
      <c r="D125" s="3378" t="e">
        <f>NUMBERSTRING(INT(D124*10000),2)&amp;"元整"</f>
        <v>#VALUE!</v>
      </c>
      <c r="E125" s="3379"/>
      <c r="F125" s="3379"/>
      <c r="G125" s="3379"/>
      <c r="H125" s="3379"/>
      <c r="I125" s="3380"/>
    </row>
    <row r="126" spans="1:11" ht="18.75" customHeight="1">
      <c r="A126" s="3369" t="str">
        <f>IF(项目基本情况!B9="房地产市场价值","",MID(E111,3,LEN(E111)-2))</f>
        <v/>
      </c>
      <c r="B126" s="3369"/>
      <c r="C126" s="3369"/>
      <c r="D126" s="3406" t="str">
        <f>H111</f>
        <v>——</v>
      </c>
      <c r="E126" s="3407"/>
      <c r="F126" s="3407"/>
      <c r="G126" s="3407"/>
      <c r="H126" s="3407"/>
      <c r="I126" s="3408"/>
    </row>
    <row r="127" spans="1:11" ht="18.75" customHeight="1">
      <c r="A127" s="3259" t="s">
        <v>2313</v>
      </c>
      <c r="B127" s="3259"/>
      <c r="C127" s="3259"/>
      <c r="D127" s="3378" t="e">
        <f>NUMBERSTRING(INT(D126*10000),2)&amp;"元整"</f>
        <v>#VALUE!</v>
      </c>
      <c r="E127" s="3379"/>
      <c r="F127" s="3379"/>
      <c r="G127" s="3379"/>
      <c r="H127" s="3379"/>
      <c r="I127" s="3380"/>
    </row>
    <row r="128" spans="1:11" ht="21.75" customHeight="1">
      <c r="A128" s="3388" t="s">
        <v>2314</v>
      </c>
      <c r="B128" s="3388"/>
      <c r="C128" s="3388"/>
      <c r="D128" s="3388"/>
      <c r="E128" s="3388"/>
      <c r="F128" s="3388"/>
      <c r="G128" s="3388"/>
      <c r="H128" s="3388"/>
      <c r="I128" s="3388"/>
    </row>
    <row r="129" spans="1:35" ht="21.75" customHeight="1">
      <c r="A129" s="2519" t="s">
        <v>2315</v>
      </c>
      <c r="B129" s="2520"/>
      <c r="C129" s="2521" t="s">
        <v>2316</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2317</v>
      </c>
      <c r="G135" s="2536"/>
      <c r="H135" s="2536"/>
      <c r="I135" s="2537" t="s">
        <v>2318</v>
      </c>
    </row>
    <row r="136" spans="1:35" ht="21.75" customHeight="1">
      <c r="A136" s="795"/>
      <c r="B136" s="2538"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2320</v>
      </c>
    </row>
    <row r="139" spans="1:35" ht="21.75" customHeight="1">
      <c r="A139" s="795"/>
      <c r="B139" s="2538" t="s">
        <v>2321</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2320</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"100%,80%,60%,64%"</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allowBlank="1" showInputMessage="1" showErrorMessage="1" sqref="H59" xr:uid="{00000000-0002-0000-1500-000010000000}">
      <formula1>"非个人房产,个人住宅,个人非住宅"</formula1>
    </dataValidation>
    <dataValidation type="list" showInputMessage="1" showErrorMessage="1" sqref="G1" xr:uid="{00000000-0002-0000-1500-000011000000}">
      <formula1>"现房,在建,土地,-"</formula1>
    </dataValidation>
    <dataValidation type="list" allowBlank="1" showInputMessage="1" showErrorMessage="1" sqref="I1" xr:uid="{00000000-0002-0000-1500-000012000000}">
      <formula1>"项目局部,项目全部,——"</formula1>
    </dataValidation>
    <dataValidation type="list" allowBlank="1" showInputMessage="1" showErrorMessage="1" sqref="C1" xr:uid="{00000000-0002-0000-1500-000013000000}">
      <formula1>项目类型</formula1>
    </dataValidation>
    <dataValidation type="list" allowBlank="1" showInputMessage="1" showErrorMessage="1" sqref="G77" xr:uid="{00000000-0002-0000-1500-000014000000}">
      <formula1>"个人住宅,2016年5月1日前购买,2016年5月1日后购买"</formula1>
    </dataValidation>
    <dataValidation type="list" allowBlank="1" showInputMessage="1" showErrorMessage="1" sqref="E103" xr:uid="{00000000-0002-0000-15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24"/>
  <sheetViews>
    <sheetView tabSelected="1" zoomScale="130" zoomScaleNormal="130" workbookViewId="0">
      <selection activeCell="D27" sqref="D27"/>
    </sheetView>
  </sheetViews>
  <sheetFormatPr defaultColWidth="8.875" defaultRowHeight="13.5"/>
  <cols>
    <col min="1" max="1" width="8.875" style="2970"/>
    <col min="2" max="2" width="8.875" style="3163"/>
    <col min="3" max="3" width="13" style="3163" bestFit="1" customWidth="1"/>
    <col min="4" max="4" width="11" style="3163" bestFit="1" customWidth="1"/>
    <col min="5" max="6" width="8.875" style="3163"/>
    <col min="7" max="16384" width="8.875" style="2970"/>
  </cols>
  <sheetData>
    <row r="1" spans="1:6">
      <c r="B1" s="3163" t="s">
        <v>3211</v>
      </c>
      <c r="C1" s="3163">
        <f>面积分摊!G8</f>
        <v>10024.959999999999</v>
      </c>
      <c r="D1" s="3202">
        <f>基础数据!H63</f>
        <v>393.1</v>
      </c>
      <c r="F1" s="3164"/>
    </row>
    <row r="2" spans="1:6">
      <c r="B2" s="2982" t="s">
        <v>3153</v>
      </c>
      <c r="C2" s="2982" t="s">
        <v>3152</v>
      </c>
      <c r="D2" s="2982" t="s">
        <v>3195</v>
      </c>
      <c r="E2" s="3424" t="s">
        <v>3212</v>
      </c>
      <c r="F2" s="3425"/>
    </row>
    <row r="3" spans="1:6">
      <c r="B3" s="2982" t="s">
        <v>3151</v>
      </c>
      <c r="C3" s="2982">
        <f ca="1">'收益法-住宅'!B3</f>
        <v>10821</v>
      </c>
      <c r="D3" s="2982">
        <f ca="1">'收益法-仓储'!B3</f>
        <v>4503</v>
      </c>
      <c r="E3" s="3163">
        <v>0.5</v>
      </c>
      <c r="F3" s="3163">
        <v>0.5</v>
      </c>
    </row>
    <row r="4" spans="1:6">
      <c r="B4" s="2982" t="s">
        <v>3150</v>
      </c>
      <c r="C4" s="2982">
        <f ca="1">'成本法-住宅'!B3</f>
        <v>8752</v>
      </c>
      <c r="D4" s="2982">
        <f ca="1">'成本法-仓储'!B3+基准地价修正!G38</f>
        <v>5714</v>
      </c>
      <c r="E4" s="3163">
        <f>1-E3</f>
        <v>0.5</v>
      </c>
      <c r="F4" s="3163">
        <f>1-F3</f>
        <v>0.5</v>
      </c>
    </row>
    <row r="5" spans="1:6">
      <c r="B5" s="2982" t="s">
        <v>3169</v>
      </c>
      <c r="C5" s="3167">
        <f ca="1">ROUND(C3*E3+C4*E4,0)</f>
        <v>9787</v>
      </c>
      <c r="D5" s="3167">
        <f ca="1">ROUND(D3*F3+D4*F4,)</f>
        <v>5109</v>
      </c>
    </row>
    <row r="6" spans="1:6">
      <c r="B6" s="2982" t="s">
        <v>3167</v>
      </c>
      <c r="C6" s="3165">
        <f ca="1">ROUND(C5*C1/10000,0)</f>
        <v>9811</v>
      </c>
      <c r="D6" s="3165">
        <f ca="1">ROUND(D5*D1/10000,0)</f>
        <v>201</v>
      </c>
    </row>
    <row r="7" spans="1:6">
      <c r="B7" s="2982" t="s">
        <v>3164</v>
      </c>
      <c r="C7" s="3422">
        <f ca="1">(C6+D6)</f>
        <v>10012</v>
      </c>
      <c r="D7" s="3422"/>
    </row>
    <row r="8" spans="1:6">
      <c r="B8" s="2982" t="s">
        <v>3302</v>
      </c>
      <c r="C8" s="3423">
        <f ca="1">ROUND(C7*10000/C1,0)</f>
        <v>9987</v>
      </c>
      <c r="D8" s="3423"/>
    </row>
    <row r="11" spans="1:6">
      <c r="C11" s="3163">
        <f>9800/10025</f>
        <v>0.97755610972568574</v>
      </c>
    </row>
    <row r="12" spans="1:6">
      <c r="F12" s="3163">
        <f>4579+1160</f>
        <v>5739</v>
      </c>
    </row>
    <row r="14" spans="1:6">
      <c r="C14" s="3163">
        <f ca="1">9775*2-C3</f>
        <v>8729</v>
      </c>
    </row>
    <row r="16" spans="1:6" hidden="1">
      <c r="A16" s="2970" t="s">
        <v>3220</v>
      </c>
      <c r="B16" s="3163" t="s">
        <v>3211</v>
      </c>
      <c r="C16" s="3163">
        <v>25775.56</v>
      </c>
      <c r="D16" s="3163">
        <v>2574.5100000000002</v>
      </c>
    </row>
    <row r="17" spans="2:6" hidden="1">
      <c r="B17" s="3163" t="s">
        <v>3213</v>
      </c>
      <c r="C17" s="3163" t="s">
        <v>3113</v>
      </c>
      <c r="D17" s="3163" t="s">
        <v>3196</v>
      </c>
      <c r="E17" s="3163" t="s">
        <v>3214</v>
      </c>
    </row>
    <row r="18" spans="2:6" hidden="1">
      <c r="B18" s="3163" t="s">
        <v>3215</v>
      </c>
      <c r="C18" s="3163">
        <v>8398</v>
      </c>
      <c r="D18" s="3163">
        <v>1814</v>
      </c>
      <c r="E18" s="3163">
        <v>0.5</v>
      </c>
      <c r="F18" s="3163">
        <v>0.4</v>
      </c>
    </row>
    <row r="19" spans="2:6" hidden="1">
      <c r="B19" s="3163" t="s">
        <v>3216</v>
      </c>
      <c r="C19" s="3163">
        <v>7585</v>
      </c>
      <c r="D19" s="3163">
        <v>4657</v>
      </c>
      <c r="E19" s="3163">
        <v>0.5</v>
      </c>
      <c r="F19" s="3163">
        <v>0.6</v>
      </c>
    </row>
    <row r="20" spans="2:6" hidden="1">
      <c r="B20" s="3163" t="s">
        <v>3217</v>
      </c>
      <c r="C20" s="3163">
        <v>7992</v>
      </c>
      <c r="D20" s="3163">
        <v>3520</v>
      </c>
    </row>
    <row r="21" spans="2:6" hidden="1">
      <c r="B21" s="3163" t="s">
        <v>3218</v>
      </c>
      <c r="C21" s="3163">
        <v>20600</v>
      </c>
      <c r="D21" s="3163">
        <v>906</v>
      </c>
    </row>
    <row r="22" spans="2:6" hidden="1">
      <c r="B22" s="3163" t="s">
        <v>37</v>
      </c>
      <c r="C22" s="3163">
        <v>21506</v>
      </c>
    </row>
    <row r="23" spans="2:6" hidden="1">
      <c r="B23" s="3163" t="s">
        <v>3219</v>
      </c>
      <c r="C23" s="3163">
        <v>8344</v>
      </c>
    </row>
    <row r="24" spans="2:6" hidden="1"/>
  </sheetData>
  <mergeCells count="3">
    <mergeCell ref="C7:D7"/>
    <mergeCell ref="C8:D8"/>
    <mergeCell ref="E2:F2"/>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N63"/>
  <sheetViews>
    <sheetView topLeftCell="A22" workbookViewId="0">
      <selection activeCell="C34" sqref="C34"/>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28" t="s">
        <v>3113</v>
      </c>
      <c r="C1" s="242"/>
      <c r="D1" s="242"/>
      <c r="E1" s="242"/>
      <c r="F1" s="242"/>
      <c r="G1" s="1379">
        <f>MATCH(B1,'数据-取费表'!A6:A16,0)+5</f>
        <v>6</v>
      </c>
    </row>
    <row r="2" spans="1:9" s="244" customFormat="1" ht="18" customHeight="1">
      <c r="A2" s="245" t="s">
        <v>2323</v>
      </c>
      <c r="B2" s="246">
        <f ca="1">IF(D2="——",C52,C52-E2)</f>
        <v>8711</v>
      </c>
      <c r="C2" s="243" t="s">
        <v>2324</v>
      </c>
      <c r="D2" s="2541" t="s">
        <v>70</v>
      </c>
      <c r="E2" s="1440" t="e">
        <f ca="1">SUMIF(INDIRECT("'"&amp;G2&amp;"'"&amp;"!A:A"),"承租人权益价值",INDIRECT("'"&amp;G2&amp;"'"&amp;"!c:c"))</f>
        <v>#REF!</v>
      </c>
      <c r="F2" s="2542" t="s">
        <v>2324</v>
      </c>
      <c r="G2" s="2543"/>
    </row>
    <row r="3" spans="1:9" s="244" customFormat="1" ht="18" customHeight="1" thickBot="1">
      <c r="A3" s="247" t="s">
        <v>2325</v>
      </c>
      <c r="B3" s="248">
        <f ca="1">ROUND(B2*10000/(IF(B1="",'数据-汇总表'!E3,INDIRECT("'数据-取费表'!k"&amp;$G$1))),0)</f>
        <v>8752</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0</v>
      </c>
      <c r="D5" s="255" t="s">
        <v>2330</v>
      </c>
      <c r="E5" s="256" t="s">
        <v>2331</v>
      </c>
      <c r="F5" s="256" t="s">
        <v>2332</v>
      </c>
      <c r="G5" s="257"/>
    </row>
    <row r="6" spans="1:9" s="258" customFormat="1" ht="13.5" customHeight="1">
      <c r="A6" s="949" t="s">
        <v>2333</v>
      </c>
      <c r="B6" s="259" t="s">
        <v>2334</v>
      </c>
      <c r="C6" s="260"/>
      <c r="D6" s="261"/>
      <c r="E6" s="262"/>
      <c r="F6" s="262"/>
      <c r="G6" s="263"/>
    </row>
    <row r="7" spans="1:9" s="258" customFormat="1" ht="13.5" customHeight="1">
      <c r="A7" s="949" t="s">
        <v>2335</v>
      </c>
      <c r="B7" s="259" t="s">
        <v>2336</v>
      </c>
      <c r="C7" s="264">
        <f>ROUND(C6*F7,0)</f>
        <v>0</v>
      </c>
      <c r="D7" s="264"/>
      <c r="E7" s="262"/>
      <c r="F7" s="265">
        <f>IF(项目基本情况!B8="出让",0,'数据-取费表'!B48+'数据-取费表'!B49)</f>
        <v>3.0499999999999999E-2</v>
      </c>
      <c r="G7" s="263"/>
    </row>
    <row r="8" spans="1:9" s="267" customFormat="1">
      <c r="A8" s="949" t="s">
        <v>2337</v>
      </c>
      <c r="B8" s="259" t="s">
        <v>2338</v>
      </c>
      <c r="C8" s="264" t="str">
        <f>IF(G8="已包含在土地购买价格中","0",IF(B1="",'数据-取费表'!B29,IF(G9="全部缴纳",C9+C10,H9)))</f>
        <v>0</v>
      </c>
      <c r="D8" s="266"/>
      <c r="E8" s="264"/>
      <c r="F8" s="265"/>
      <c r="G8" s="2544" t="s">
        <v>1144</v>
      </c>
    </row>
    <row r="9" spans="1:9" s="258" customFormat="1" ht="13.5" customHeight="1">
      <c r="A9" s="950" t="s">
        <v>800</v>
      </c>
      <c r="B9" s="268" t="s">
        <v>2339</v>
      </c>
      <c r="C9" s="269">
        <f ca="1">ROUND(D9*E9/10000,0)</f>
        <v>159</v>
      </c>
      <c r="D9" s="1032">
        <f ca="1">IF(B1="",'数据-汇总表'!E5,IF(INDIRECT("'数据-取费表'!c"&amp;$G$1)="住宅",INDIRECT("'数据-取费表'!k"&amp;$G$1),0))</f>
        <v>9952.6299999999992</v>
      </c>
      <c r="E9" s="269">
        <f>'数据-取费表'!B27</f>
        <v>160</v>
      </c>
      <c r="F9" s="265"/>
      <c r="G9" s="2545" t="s">
        <v>3125</v>
      </c>
      <c r="H9" s="1390"/>
      <c r="I9" s="2546" t="s">
        <v>2340</v>
      </c>
    </row>
    <row r="10" spans="1:9" s="258" customFormat="1" ht="13.5" customHeight="1">
      <c r="A10" s="950" t="s">
        <v>801</v>
      </c>
      <c r="B10" s="268" t="s">
        <v>2341</v>
      </c>
      <c r="C10" s="269">
        <f>ROUND(D10*E10/10000,0)</f>
        <v>24</v>
      </c>
      <c r="D10" s="1032">
        <f>'数据-汇总表'!I19</f>
        <v>1178.1799999999998</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14" s="258" customFormat="1" ht="13.5" hidden="1" customHeight="1">
      <c r="A17" s="271" t="s">
        <v>13</v>
      </c>
      <c r="B17" s="259" t="s">
        <v>2349</v>
      </c>
      <c r="C17" s="273"/>
      <c r="D17" s="1035"/>
      <c r="E17" s="273"/>
      <c r="F17" s="273"/>
      <c r="G17" s="263" t="s">
        <v>2348</v>
      </c>
    </row>
    <row r="18" spans="1:14" s="258" customFormat="1" ht="13.5" hidden="1" customHeight="1">
      <c r="A18" s="271" t="s">
        <v>14</v>
      </c>
      <c r="B18" s="259" t="s">
        <v>2350</v>
      </c>
      <c r="C18" s="264">
        <v>0</v>
      </c>
      <c r="D18" s="1034"/>
      <c r="E18" s="262"/>
      <c r="F18" s="265">
        <v>3.0499999999999999E-2</v>
      </c>
      <c r="G18" s="263" t="s">
        <v>2351</v>
      </c>
    </row>
    <row r="19" spans="1:14" s="267" customFormat="1" ht="13.5" customHeight="1">
      <c r="A19" s="299" t="s">
        <v>2352</v>
      </c>
      <c r="B19" s="254" t="s">
        <v>2353</v>
      </c>
      <c r="C19" s="255" t="str">
        <f>IF(G19="已包含在土地取得成本中","0",ROUND(D19*E19/10000,0))</f>
        <v>0</v>
      </c>
      <c r="D19" s="1036">
        <f ca="1">D9+D10</f>
        <v>11130.81</v>
      </c>
      <c r="E19" s="255">
        <f>'数据-取费表'!B31</f>
        <v>200</v>
      </c>
      <c r="F19" s="275"/>
      <c r="G19" s="2544" t="s">
        <v>3126</v>
      </c>
    </row>
    <row r="20" spans="1:14" s="258" customFormat="1" ht="13.5" customHeight="1">
      <c r="A20" s="299" t="s">
        <v>2354</v>
      </c>
      <c r="B20" s="254" t="s">
        <v>2355</v>
      </c>
      <c r="C20" s="276">
        <f>ROUND((C5+C19)*F20,0)</f>
        <v>0</v>
      </c>
      <c r="D20" s="276"/>
      <c r="E20" s="276"/>
      <c r="F20" s="277">
        <f>'数据-取费表'!B37</f>
        <v>0.02</v>
      </c>
      <c r="G20" s="278" t="s">
        <v>2356</v>
      </c>
    </row>
    <row r="21" spans="1:14" s="258" customFormat="1" ht="13.5" customHeight="1">
      <c r="A21" s="299" t="s">
        <v>2357</v>
      </c>
      <c r="B21" s="254" t="s">
        <v>2358</v>
      </c>
      <c r="C21" s="279">
        <f>F21</f>
        <v>0</v>
      </c>
      <c r="D21" s="280" t="s">
        <v>2359</v>
      </c>
      <c r="E21" s="276"/>
      <c r="F21" s="277">
        <f>'数据-取费表'!B38</f>
        <v>0</v>
      </c>
      <c r="G21" s="278" t="s">
        <v>2360</v>
      </c>
    </row>
    <row r="22" spans="1:14" s="258" customFormat="1" ht="13.5" customHeight="1">
      <c r="A22" s="299" t="s">
        <v>2361</v>
      </c>
      <c r="B22" s="254" t="s">
        <v>2362</v>
      </c>
      <c r="C22" s="1354">
        <f>ROUND(SUM(C23:C25),0)</f>
        <v>0</v>
      </c>
      <c r="D22" s="279">
        <f>C26</f>
        <v>0</v>
      </c>
      <c r="E22" s="280" t="s">
        <v>2359</v>
      </c>
      <c r="F22" s="281">
        <f>'数据-取费表'!B40</f>
        <v>3.85E-2</v>
      </c>
      <c r="G22" s="278" t="str">
        <f>IF('数据-取费表'!B22&lt;=1,"单利计息","复利计息")</f>
        <v>复利计息</v>
      </c>
    </row>
    <row r="23" spans="1:14" s="258" customFormat="1" ht="13.5" customHeight="1">
      <c r="A23" s="951" t="s">
        <v>2363</v>
      </c>
      <c r="B23" s="259" t="s">
        <v>2364</v>
      </c>
      <c r="C23" s="1355">
        <f>ROUND(IF('数据-取费表'!B22&lt;=1,C5*F22*'数据-取费表'!B23,C5*(POWER((1+F22),'数据-取费表'!B23)-1)),0)</f>
        <v>0</v>
      </c>
      <c r="D23" s="282"/>
      <c r="E23" s="282"/>
      <c r="F23" s="283"/>
      <c r="G23" s="284" t="s">
        <v>2365</v>
      </c>
    </row>
    <row r="24" spans="1:14" s="258" customFormat="1" ht="13.5" customHeight="1">
      <c r="A24" s="951" t="s">
        <v>2366</v>
      </c>
      <c r="B24" s="259" t="s">
        <v>2367</v>
      </c>
      <c r="C24" s="1355">
        <f>ROUND(IF('数据-取费表'!B22&lt;=1,C19*F22*('数据-取费表'!B19/2+'数据-取费表'!B21),C19*(POWER((1+F22),('数据-取费表'!B19/2+'数据-取费表'!B21))-1)),0)</f>
        <v>0</v>
      </c>
      <c r="D24" s="282"/>
      <c r="E24" s="282"/>
      <c r="F24" s="283"/>
      <c r="G24" s="284" t="s">
        <v>2368</v>
      </c>
    </row>
    <row r="25" spans="1:14" s="258" customFormat="1" ht="24">
      <c r="A25" s="951" t="s">
        <v>2369</v>
      </c>
      <c r="B25" s="259" t="s">
        <v>2370</v>
      </c>
      <c r="C25" s="1355">
        <f>ROUND(IF('数据-取费表'!B22&lt;=1,C20*F22*'数据-取费表'!B23/2,C20*(POWER((1+F22),'数据-取费表'!B23/2)-1)),0)</f>
        <v>0</v>
      </c>
      <c r="D25" s="282"/>
      <c r="E25" s="285"/>
      <c r="F25" s="283"/>
      <c r="G25" s="286" t="s">
        <v>2371</v>
      </c>
      <c r="L25" s="2990"/>
      <c r="M25" s="2991" t="s">
        <v>3177</v>
      </c>
      <c r="N25" s="2991" t="s">
        <v>3178</v>
      </c>
    </row>
    <row r="26" spans="1:14" s="258" customFormat="1">
      <c r="A26" s="951" t="s">
        <v>795</v>
      </c>
      <c r="B26" s="259" t="s">
        <v>2372</v>
      </c>
      <c r="C26" s="282">
        <f>ROUND(IF('数据-取费表'!B22&lt;=1,F21*F22*'数据-取费表'!B23/2,F21*(POWER((1+F22),'数据-取费表'!B23/2)-1)),4)</f>
        <v>0</v>
      </c>
      <c r="D26" s="282"/>
      <c r="E26" s="285"/>
      <c r="F26" s="283"/>
      <c r="G26" s="287"/>
      <c r="K26" s="2987" t="s">
        <v>3170</v>
      </c>
      <c r="L26" s="2992">
        <f>C6+C7</f>
        <v>0</v>
      </c>
      <c r="M26" s="2990">
        <v>411.78</v>
      </c>
      <c r="N26" s="2990">
        <v>411.78</v>
      </c>
    </row>
    <row r="27" spans="1:14" s="258" customFormat="1" ht="24.75">
      <c r="A27" s="299" t="s">
        <v>2373</v>
      </c>
      <c r="B27" s="288" t="s">
        <v>2374</v>
      </c>
      <c r="C27" s="289">
        <f ca="1">C28</f>
        <v>0</v>
      </c>
      <c r="D27" s="279">
        <f ca="1">C29</f>
        <v>0</v>
      </c>
      <c r="E27" s="280" t="s">
        <v>2375</v>
      </c>
      <c r="F27" s="290">
        <f ca="1">IF(B1="",'数据-取费表'!Q16,INDIRECT("'数据-取费表'!q"&amp;$G$1))</f>
        <v>0.03</v>
      </c>
      <c r="G27" s="291" t="s">
        <v>2376</v>
      </c>
      <c r="K27" s="2987" t="s">
        <v>3171</v>
      </c>
      <c r="L27" s="2992">
        <f>C35</f>
        <v>182</v>
      </c>
      <c r="M27" s="2990">
        <v>1150</v>
      </c>
      <c r="N27" s="2990">
        <v>333</v>
      </c>
    </row>
    <row r="28" spans="1:14" s="258" customFormat="1" ht="13.5" customHeight="1">
      <c r="A28" s="951" t="s">
        <v>791</v>
      </c>
      <c r="B28" s="292" t="s">
        <v>2377</v>
      </c>
      <c r="C28" s="293">
        <f ca="1">ROUND((C5+C19+C20)*F27*'数据-取费表'!B21/'数据-取费表'!B20,0)</f>
        <v>0</v>
      </c>
      <c r="D28" s="279"/>
      <c r="E28" s="280"/>
      <c r="F28" s="290"/>
      <c r="G28" s="291"/>
      <c r="K28" s="2987" t="s">
        <v>3172</v>
      </c>
      <c r="L28" s="2992">
        <f>C34</f>
        <v>6060</v>
      </c>
      <c r="M28" s="2990">
        <v>16258</v>
      </c>
      <c r="N28" s="2990">
        <v>10943</v>
      </c>
    </row>
    <row r="29" spans="1:14" s="258" customFormat="1" ht="13.5" customHeight="1">
      <c r="A29" s="951" t="s">
        <v>792</v>
      </c>
      <c r="B29" s="292" t="s">
        <v>2378</v>
      </c>
      <c r="C29" s="282">
        <f ca="1">ROUND(C21*F27*'数据-取费表'!B21/'数据-取费表'!B20,4)</f>
        <v>0</v>
      </c>
      <c r="D29" s="279"/>
      <c r="E29" s="280"/>
      <c r="F29" s="290"/>
      <c r="G29" s="291"/>
      <c r="K29" s="2987" t="s">
        <v>3173</v>
      </c>
      <c r="L29" s="2992">
        <f ca="1">C8+C37</f>
        <v>388</v>
      </c>
      <c r="M29" s="2990">
        <v>5556</v>
      </c>
      <c r="N29" s="2990">
        <v>1855</v>
      </c>
    </row>
    <row r="30" spans="1:14" s="258" customFormat="1" ht="13.5" customHeight="1">
      <c r="A30" s="299" t="s">
        <v>2379</v>
      </c>
      <c r="B30" s="254" t="s">
        <v>2380</v>
      </c>
      <c r="C30" s="306">
        <f>F30</f>
        <v>0.09</v>
      </c>
      <c r="D30" s="280" t="s">
        <v>2375</v>
      </c>
      <c r="E30" s="285"/>
      <c r="F30" s="281">
        <f>'数据-取费表'!B41</f>
        <v>0.09</v>
      </c>
      <c r="G30" s="278" t="s">
        <v>2381</v>
      </c>
      <c r="K30" s="2987" t="s">
        <v>3174</v>
      </c>
      <c r="L30" s="2992">
        <f ca="1">C36</f>
        <v>552</v>
      </c>
      <c r="M30" s="2990">
        <v>707</v>
      </c>
      <c r="N30" s="2990">
        <v>378</v>
      </c>
    </row>
    <row r="31" spans="1:14" ht="16.5" customHeight="1">
      <c r="A31" s="253">
        <v>1</v>
      </c>
      <c r="B31" s="254" t="s">
        <v>2382</v>
      </c>
      <c r="C31" s="255">
        <f ca="1">ROUND((C5+C19+C20+C22+C27)/(1-C21-D22-D27-C30),0)</f>
        <v>0</v>
      </c>
      <c r="D31" s="274"/>
      <c r="E31" s="255"/>
      <c r="F31" s="294"/>
      <c r="G31" s="278" t="s">
        <v>2383</v>
      </c>
      <c r="K31" s="2988" t="s">
        <v>3175</v>
      </c>
      <c r="L31" s="2993"/>
      <c r="M31" s="2993">
        <v>961</v>
      </c>
      <c r="N31" s="2993">
        <v>405</v>
      </c>
    </row>
    <row r="32" spans="1:14" s="252" customFormat="1" ht="15.75">
      <c r="A32" s="3123" t="s">
        <v>2384</v>
      </c>
      <c r="B32" s="3124"/>
      <c r="C32" s="3124"/>
      <c r="D32" s="3124"/>
      <c r="E32" s="3124"/>
      <c r="F32" s="3124"/>
      <c r="G32" s="3125"/>
      <c r="K32" s="2989" t="s">
        <v>3176</v>
      </c>
      <c r="L32" s="2994">
        <f ca="1">C39+C40*C52+C41+D41*C52</f>
        <v>431</v>
      </c>
      <c r="M32" s="2994">
        <v>1658</v>
      </c>
      <c r="N32" s="2994">
        <v>649</v>
      </c>
    </row>
    <row r="33" spans="1:14" s="258" customFormat="1" ht="13.5" customHeight="1">
      <c r="A33" s="3126" t="s">
        <v>782</v>
      </c>
      <c r="B33" s="3127" t="s">
        <v>2385</v>
      </c>
      <c r="C33" s="3128">
        <f ca="1">SUM(C34:C38)</f>
        <v>7273</v>
      </c>
      <c r="D33" s="3129"/>
      <c r="E33" s="3130"/>
      <c r="F33" s="3131"/>
      <c r="G33" s="3132"/>
      <c r="H33" s="302">
        <f ca="1">C33/'数据-汇总表'!E3</f>
        <v>0.61860019273312761</v>
      </c>
      <c r="L33" s="2990">
        <f ca="1">SUM(L26:L32)</f>
        <v>7613</v>
      </c>
      <c r="M33" s="2990">
        <f>SUM(M26:M32)</f>
        <v>26701.78</v>
      </c>
      <c r="N33" s="2990">
        <f>SUM(N26:N32)</f>
        <v>14974.78</v>
      </c>
    </row>
    <row r="34" spans="1:14" s="302" customFormat="1" ht="13.5" customHeight="1">
      <c r="A34" s="3133" t="s">
        <v>791</v>
      </c>
      <c r="B34" s="3134" t="s">
        <v>2386</v>
      </c>
      <c r="C34" s="3135">
        <f>'数据-取费表'!M16-'数据-取费表'!M7</f>
        <v>6060</v>
      </c>
      <c r="D34" s="3136"/>
      <c r="E34" s="3135"/>
      <c r="F34" s="3137">
        <f ca="1">IF('数据-取费表'!B24=0,1,IF(B1="",'数据-取费表'!N16,INDIRECT("'数据-取费表'!n"&amp;$G$1)))</f>
        <v>1</v>
      </c>
      <c r="G34" s="3138" t="s">
        <v>2387</v>
      </c>
      <c r="H34" s="302">
        <f>C34/'数据-汇总表'!E3</f>
        <v>0.51542928199680371</v>
      </c>
      <c r="L34" s="2995"/>
      <c r="M34" s="2995"/>
      <c r="N34" s="2995"/>
    </row>
    <row r="35" spans="1:14" ht="13.5" customHeight="1">
      <c r="A35" s="3133" t="s">
        <v>796</v>
      </c>
      <c r="B35" s="3134" t="s">
        <v>2388</v>
      </c>
      <c r="C35" s="3135">
        <f>ROUND(C34*F35,0)</f>
        <v>182</v>
      </c>
      <c r="D35" s="3135"/>
      <c r="E35" s="3135"/>
      <c r="F35" s="3139">
        <f>'数据-取费表'!B33</f>
        <v>0.03</v>
      </c>
      <c r="G35" s="3138" t="s">
        <v>2389</v>
      </c>
      <c r="H35" s="302">
        <f>C35/'数据-汇总表'!E3</f>
        <v>1.5479889327296745E-2</v>
      </c>
    </row>
    <row r="36" spans="1:14" ht="24">
      <c r="A36" s="3133" t="s">
        <v>797</v>
      </c>
      <c r="B36" s="3134" t="s">
        <v>2390</v>
      </c>
      <c r="C36" s="3135">
        <f ca="1">ROUND(IF(B1="",SUMIF('数据-取费表'!C:C,"住宅",IF(F34=100%,'数据-取费表'!M:M,'数据-取费表'!O:O))*F36,IF(INDIRECT("'数据-取费表'!c"&amp;$G$1)="住宅",IF(F34=100%,INDIRECT("'数据-取费表'!m"&amp;$G$1)*F36,INDIRECT("'数据-取费表'!o"&amp;$G$1)*F36),0)),0)</f>
        <v>552</v>
      </c>
      <c r="D36" s="3135"/>
      <c r="E36" s="3135"/>
      <c r="F36" s="3139">
        <v>0.1</v>
      </c>
      <c r="G36" s="3140" t="s">
        <v>2391</v>
      </c>
    </row>
    <row r="37" spans="1:14" s="302" customFormat="1" ht="13.5" customHeight="1">
      <c r="A37" s="3133" t="s">
        <v>798</v>
      </c>
      <c r="B37" s="3134" t="s">
        <v>2392</v>
      </c>
      <c r="C37" s="3141">
        <f ca="1">ROUND((F63*G63+(F62+F61-C61)*G62)*F34/10000,0)</f>
        <v>388</v>
      </c>
      <c r="D37" s="3136">
        <f>F63+F62+F61-C61</f>
        <v>11364.089999999998</v>
      </c>
      <c r="E37" s="3141"/>
      <c r="F37" s="3139"/>
      <c r="G37" s="3142" t="s">
        <v>2393</v>
      </c>
      <c r="H37" s="302" t="s">
        <v>3207</v>
      </c>
    </row>
    <row r="38" spans="1:14" ht="13.5" customHeight="1">
      <c r="A38" s="3133" t="s">
        <v>799</v>
      </c>
      <c r="B38" s="3134" t="s">
        <v>2394</v>
      </c>
      <c r="C38" s="3135">
        <f>ROUND(C34*F38,0)</f>
        <v>91</v>
      </c>
      <c r="D38" s="3135"/>
      <c r="E38" s="3135"/>
      <c r="F38" s="3139">
        <f>'数据-取费表'!B36</f>
        <v>1.4999999999999999E-2</v>
      </c>
      <c r="G38" s="3138" t="s">
        <v>2389</v>
      </c>
    </row>
    <row r="39" spans="1:14" s="258" customFormat="1" ht="13.5" customHeight="1">
      <c r="A39" s="3126" t="s">
        <v>2395</v>
      </c>
      <c r="B39" s="3127" t="s">
        <v>2396</v>
      </c>
      <c r="C39" s="3129">
        <f ca="1">ROUND(C33*F20,0)</f>
        <v>145</v>
      </c>
      <c r="D39" s="3129"/>
      <c r="E39" s="3129"/>
      <c r="F39" s="3143"/>
      <c r="G39" s="3132" t="s">
        <v>2397</v>
      </c>
    </row>
    <row r="40" spans="1:14" s="258" customFormat="1" ht="13.5" customHeight="1">
      <c r="A40" s="3126" t="s">
        <v>2398</v>
      </c>
      <c r="B40" s="3127" t="s">
        <v>2399</v>
      </c>
      <c r="C40" s="3144">
        <f>F21</f>
        <v>0</v>
      </c>
      <c r="D40" s="3145" t="s">
        <v>2400</v>
      </c>
      <c r="E40" s="3129"/>
      <c r="F40" s="3143"/>
      <c r="G40" s="3132" t="s">
        <v>2401</v>
      </c>
    </row>
    <row r="41" spans="1:14" s="258" customFormat="1" ht="13.5" customHeight="1">
      <c r="A41" s="3126" t="s">
        <v>2402</v>
      </c>
      <c r="B41" s="3127" t="s">
        <v>2403</v>
      </c>
      <c r="C41" s="3129">
        <f ca="1">ROUND(SUM(C42:C43),0)</f>
        <v>286</v>
      </c>
      <c r="D41" s="3146">
        <f>C44</f>
        <v>0</v>
      </c>
      <c r="E41" s="3145" t="s">
        <v>2400</v>
      </c>
      <c r="F41" s="3147"/>
      <c r="G41" s="3132" t="str">
        <f>IF('数据-取费表'!B22&lt;=1,"单利计息","复利计息")</f>
        <v>复利计息</v>
      </c>
      <c r="H41" s="258">
        <f ca="1">C41/'数据-汇总表'!E3</f>
        <v>2.4325540371466312E-2</v>
      </c>
    </row>
    <row r="42" spans="1:14" ht="13.5" customHeight="1">
      <c r="A42" s="3133" t="s">
        <v>791</v>
      </c>
      <c r="B42" s="3134" t="s">
        <v>2404</v>
      </c>
      <c r="C42" s="3148">
        <f ca="1">ROUND(IF('数据-取费表'!B22&lt;=1,C33*F22*'数据-取费表'!B21/2,C33*(POWER((1+F22),'数据-取费表'!B21/2)-1)),0)</f>
        <v>280</v>
      </c>
      <c r="D42" s="3148"/>
      <c r="E42" s="3148"/>
      <c r="F42" s="3149"/>
      <c r="G42" s="3426" t="s">
        <v>2405</v>
      </c>
    </row>
    <row r="43" spans="1:14" ht="13.5" customHeight="1">
      <c r="A43" s="3133" t="s">
        <v>792</v>
      </c>
      <c r="B43" s="3134" t="s">
        <v>2406</v>
      </c>
      <c r="C43" s="3148">
        <f ca="1">ROUND(IF('数据-取费表'!B22&lt;=1,C39*F22*'数据-取费表'!B21/2,C39*(POWER((1+F22),'数据-取费表'!B21/2)-1)),0)</f>
        <v>6</v>
      </c>
      <c r="D43" s="3148"/>
      <c r="E43" s="3148"/>
      <c r="F43" s="3149"/>
      <c r="G43" s="3427"/>
    </row>
    <row r="44" spans="1:14" ht="13.5" customHeight="1">
      <c r="A44" s="3133" t="s">
        <v>793</v>
      </c>
      <c r="B44" s="3134" t="s">
        <v>2407</v>
      </c>
      <c r="C44" s="3148">
        <f>ROUND(IF('数据-取费表'!B22&lt;=1,C40*F22*'数据-取费表'!B21/2,C40*(POWER((1+F22),'数据-取费表'!B21/2)-1)),4)</f>
        <v>0</v>
      </c>
      <c r="D44" s="3148"/>
      <c r="E44" s="3148"/>
      <c r="F44" s="3149"/>
      <c r="G44" s="3428"/>
    </row>
    <row r="45" spans="1:14" s="258" customFormat="1" ht="13.5" customHeight="1">
      <c r="A45" s="3126" t="s">
        <v>2408</v>
      </c>
      <c r="B45" s="3150" t="s">
        <v>2374</v>
      </c>
      <c r="C45" s="3151">
        <f ca="1">C46</f>
        <v>223</v>
      </c>
      <c r="D45" s="3146">
        <f ca="1">C47</f>
        <v>0</v>
      </c>
      <c r="E45" s="3145" t="s">
        <v>2400</v>
      </c>
      <c r="F45" s="3152"/>
      <c r="G45" s="3153" t="s">
        <v>2409</v>
      </c>
    </row>
    <row r="46" spans="1:14" s="258" customFormat="1" ht="13.5" customHeight="1">
      <c r="A46" s="3133" t="s">
        <v>791</v>
      </c>
      <c r="B46" s="3154" t="s">
        <v>2410</v>
      </c>
      <c r="C46" s="3141">
        <f ca="1">ROUND((C33+C39)*F27,0)</f>
        <v>223</v>
      </c>
      <c r="D46" s="3155"/>
      <c r="E46" s="3145"/>
      <c r="F46" s="3152"/>
      <c r="G46" s="3153"/>
    </row>
    <row r="47" spans="1:14" s="258" customFormat="1" ht="13.5" customHeight="1">
      <c r="A47" s="3133" t="s">
        <v>792</v>
      </c>
      <c r="B47" s="3154" t="s">
        <v>2411</v>
      </c>
      <c r="C47" s="3148">
        <f ca="1">ROUND(C40*F27,4)</f>
        <v>0</v>
      </c>
      <c r="D47" s="3155"/>
      <c r="E47" s="3145"/>
      <c r="F47" s="3152"/>
      <c r="G47" s="3153"/>
    </row>
    <row r="48" spans="1:14" s="258" customFormat="1" ht="13.5" customHeight="1">
      <c r="A48" s="3126" t="s">
        <v>2373</v>
      </c>
      <c r="B48" s="3127" t="s">
        <v>2412</v>
      </c>
      <c r="C48" s="3156">
        <f>'数据-取费表'!B41</f>
        <v>0.09</v>
      </c>
      <c r="D48" s="3145" t="s">
        <v>2400</v>
      </c>
      <c r="E48" s="3129"/>
      <c r="F48" s="3147"/>
      <c r="G48" s="3132" t="s">
        <v>2413</v>
      </c>
    </row>
    <row r="49" spans="1:8" ht="16.5" customHeight="1">
      <c r="A49" s="3126" t="s">
        <v>2379</v>
      </c>
      <c r="B49" s="3127" t="s">
        <v>2414</v>
      </c>
      <c r="C49" s="3129">
        <f ca="1">ROUND((C33+C39+C41+C45)/(1-C40-D41-D45-C48),0)</f>
        <v>8711</v>
      </c>
      <c r="D49" s="3129"/>
      <c r="E49" s="3129"/>
      <c r="F49" s="3157"/>
      <c r="G49" s="3132" t="s">
        <v>2415</v>
      </c>
    </row>
    <row r="50" spans="1:8" s="302" customFormat="1" ht="24">
      <c r="A50" s="3126" t="s">
        <v>2416</v>
      </c>
      <c r="B50" s="3127" t="s">
        <v>2417</v>
      </c>
      <c r="C50" s="3129"/>
      <c r="D50" s="3129"/>
      <c r="E50" s="3129"/>
      <c r="F50" s="3157">
        <f>IF('数据-取费表'!B24=0,'数据-取费表'!N16,1)</f>
        <v>1</v>
      </c>
      <c r="G50" s="3153" t="s">
        <v>2418</v>
      </c>
    </row>
    <row r="51" spans="1:8" ht="16.5" customHeight="1">
      <c r="A51" s="3126" t="s">
        <v>2419</v>
      </c>
      <c r="B51" s="3127" t="s">
        <v>2420</v>
      </c>
      <c r="C51" s="3129">
        <f ca="1">ROUND(C49*F50,0)</f>
        <v>8711</v>
      </c>
      <c r="D51" s="3129"/>
      <c r="E51" s="3129"/>
      <c r="F51" s="3157"/>
      <c r="G51" s="3132" t="s">
        <v>2421</v>
      </c>
    </row>
    <row r="52" spans="1:8" s="252" customFormat="1" ht="16.5" thickBot="1">
      <c r="A52" s="3158" t="s">
        <v>2422</v>
      </c>
      <c r="B52" s="3159"/>
      <c r="C52" s="3160">
        <f ca="1">C31+C51</f>
        <v>8711</v>
      </c>
      <c r="D52" s="3159"/>
      <c r="E52" s="3159"/>
      <c r="F52" s="3159"/>
      <c r="G52" s="3161"/>
      <c r="H52" s="252">
        <f ca="1">C52/'数据-汇总表'!E3</f>
        <v>0.74090832928616457</v>
      </c>
    </row>
    <row r="55" spans="1:8" ht="15">
      <c r="B55" s="314" t="s">
        <v>2423</v>
      </c>
      <c r="C55" s="315"/>
    </row>
    <row r="56" spans="1:8">
      <c r="B56" s="317" t="s">
        <v>1507</v>
      </c>
      <c r="C56" s="319">
        <f ca="1">1-C57</f>
        <v>0</v>
      </c>
    </row>
    <row r="57" spans="1:8">
      <c r="B57" s="317" t="s">
        <v>1508</v>
      </c>
      <c r="C57" s="318">
        <f ca="1">ROUND(C51/C52,3)</f>
        <v>1</v>
      </c>
    </row>
    <row r="60" spans="1:8">
      <c r="C60" s="295" t="s">
        <v>3197</v>
      </c>
      <c r="D60" s="316" t="s">
        <v>3199</v>
      </c>
      <c r="E60" s="316" t="s">
        <v>3201</v>
      </c>
      <c r="F60" s="295" t="s">
        <v>40</v>
      </c>
      <c r="G60" s="2993" t="str">
        <f>B37</f>
        <v>红线内市政费用</v>
      </c>
    </row>
    <row r="61" spans="1:8">
      <c r="B61" s="295" t="s">
        <v>3208</v>
      </c>
      <c r="C61" s="295">
        <f>基础数据!H63</f>
        <v>393.1</v>
      </c>
      <c r="D61" s="316">
        <v>0</v>
      </c>
      <c r="E61" s="3201">
        <f>基础数据!I63</f>
        <v>233.28</v>
      </c>
      <c r="F61" s="295">
        <f>SUM(C61:E61)</f>
        <v>626.38</v>
      </c>
      <c r="H61" s="295">
        <f>ROUND(C61*G62/10000,0)</f>
        <v>8</v>
      </c>
    </row>
    <row r="62" spans="1:8">
      <c r="B62" s="295" t="s">
        <v>3209</v>
      </c>
      <c r="F62" s="295">
        <f>基础数据!G63</f>
        <v>1105.8499999999999</v>
      </c>
      <c r="G62" s="295">
        <v>200</v>
      </c>
      <c r="H62" s="295">
        <f>ROUND((F62+F61-C61)*G62/10000,0)</f>
        <v>27</v>
      </c>
    </row>
    <row r="63" spans="1:8">
      <c r="F63" s="295">
        <f>'数据-汇总表'!F19+面积分摊!G7</f>
        <v>10024.959999999999</v>
      </c>
      <c r="G63" s="295">
        <v>360</v>
      </c>
      <c r="H63" s="295">
        <f>ROUND(F63*G63/10000,0)</f>
        <v>361</v>
      </c>
    </row>
  </sheetData>
  <sheetProtection formatCells="0"/>
  <mergeCells count="1">
    <mergeCell ref="G42:G44"/>
  </mergeCells>
  <phoneticPr fontId="143" type="noConversion"/>
  <dataValidations disablePrompts="1" count="6">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9" xr:uid="{00000000-0002-0000-1700-000003000000}">
      <formula1>"部分缴纳,全部缴纳"</formula1>
    </dataValidation>
    <dataValidation type="list" allowBlank="1" showInputMessage="1" showErrorMessage="1" sqref="G2" xr:uid="{00000000-0002-0000-1700-000004000000}">
      <formula1>估价方法</formula1>
    </dataValidation>
    <dataValidation type="list" allowBlank="1" showInputMessage="1" showErrorMessage="1" sqref="D2" xr:uid="{00000000-0002-0000-17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N63"/>
  <sheetViews>
    <sheetView workbookViewId="0">
      <selection activeCell="F64" sqref="F64"/>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28" t="s">
        <v>3196</v>
      </c>
      <c r="C1" s="242"/>
      <c r="D1" s="242"/>
      <c r="E1" s="242"/>
      <c r="F1" s="242"/>
      <c r="G1" s="1379">
        <f>MATCH(B1,'数据-取费表'!A6:A16,0)+5</f>
        <v>7</v>
      </c>
    </row>
    <row r="2" spans="1:9" s="244" customFormat="1" ht="18" customHeight="1">
      <c r="A2" s="245" t="s">
        <v>1388</v>
      </c>
      <c r="B2" s="246">
        <f ca="1">IF(D2="——",C52,C52-E2)</f>
        <v>179</v>
      </c>
      <c r="C2" s="243" t="s">
        <v>2324</v>
      </c>
      <c r="D2" s="2541" t="s">
        <v>70</v>
      </c>
      <c r="E2" s="1440" t="e">
        <f ca="1">SUMIF(INDIRECT("'"&amp;G2&amp;"'"&amp;"!A:A"),"承租人权益价值",INDIRECT("'"&amp;G2&amp;"'"&amp;"!c:c"))</f>
        <v>#REF!</v>
      </c>
      <c r="F2" s="2542" t="s">
        <v>2324</v>
      </c>
      <c r="G2" s="2543"/>
    </row>
    <row r="3" spans="1:9" s="244" customFormat="1" ht="18" customHeight="1" thickBot="1">
      <c r="A3" s="247" t="s">
        <v>1389</v>
      </c>
      <c r="B3" s="248">
        <f ca="1">ROUND(B2*10000/(IF(B1="",'数据-汇总表'!E3,INDIRECT("'数据-取费表'!k"&amp;$G$1))),0)</f>
        <v>4554</v>
      </c>
      <c r="C3" s="243" t="s">
        <v>2326</v>
      </c>
      <c r="D3" s="243"/>
      <c r="E3" s="243"/>
      <c r="F3" s="243"/>
      <c r="G3" s="243"/>
    </row>
    <row r="4" spans="1:9" s="252" customFormat="1" ht="15.75">
      <c r="A4" s="249" t="s">
        <v>2327</v>
      </c>
      <c r="B4" s="250"/>
      <c r="C4" s="250"/>
      <c r="D4" s="250"/>
      <c r="E4" s="250"/>
      <c r="F4" s="250"/>
      <c r="G4" s="251"/>
    </row>
    <row r="5" spans="1:9" s="258" customFormat="1" ht="13.5" customHeight="1">
      <c r="A5" s="299" t="s">
        <v>782</v>
      </c>
      <c r="B5" s="254" t="s">
        <v>2329</v>
      </c>
      <c r="C5" s="255">
        <f>C6+C7+C8</f>
        <v>0</v>
      </c>
      <c r="D5" s="255" t="s">
        <v>2330</v>
      </c>
      <c r="E5" s="256" t="s">
        <v>2331</v>
      </c>
      <c r="F5" s="256" t="s">
        <v>2332</v>
      </c>
      <c r="G5" s="257"/>
    </row>
    <row r="6" spans="1:9" s="258" customFormat="1" ht="13.5" customHeight="1">
      <c r="A6" s="949" t="s">
        <v>791</v>
      </c>
      <c r="B6" s="259" t="s">
        <v>2334</v>
      </c>
      <c r="C6" s="260"/>
      <c r="D6" s="261"/>
      <c r="E6" s="262"/>
      <c r="F6" s="262"/>
      <c r="G6" s="263"/>
    </row>
    <row r="7" spans="1:9" s="258" customFormat="1" ht="13.5" customHeight="1">
      <c r="A7" s="949" t="s">
        <v>792</v>
      </c>
      <c r="B7" s="259" t="s">
        <v>2336</v>
      </c>
      <c r="C7" s="264">
        <f>ROUND(C6*F7,0)</f>
        <v>0</v>
      </c>
      <c r="D7" s="264"/>
      <c r="E7" s="262"/>
      <c r="F7" s="265">
        <f>IF(项目基本情况!B8="出让",0,'数据-取费表'!B48+'数据-取费表'!B49)</f>
        <v>3.0499999999999999E-2</v>
      </c>
      <c r="G7" s="263"/>
    </row>
    <row r="8" spans="1:9" s="267" customFormat="1">
      <c r="A8" s="949" t="s">
        <v>793</v>
      </c>
      <c r="B8" s="259" t="s">
        <v>2338</v>
      </c>
      <c r="C8" s="264" t="str">
        <f>IF(G8="已包含在土地购买价格中","0",IF(B1="",'数据-取费表'!B29,IF(G9="全部缴纳",C9+C10,H9)))</f>
        <v>0</v>
      </c>
      <c r="D8" s="266"/>
      <c r="E8" s="264"/>
      <c r="F8" s="265"/>
      <c r="G8" s="2544" t="s">
        <v>1144</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160</v>
      </c>
      <c r="F9" s="265"/>
      <c r="G9" s="2545" t="s">
        <v>3125</v>
      </c>
      <c r="H9" s="1390"/>
      <c r="I9" s="2546" t="s">
        <v>2340</v>
      </c>
    </row>
    <row r="10" spans="1:9" s="258" customFormat="1" ht="13.5" customHeight="1">
      <c r="A10" s="950" t="s">
        <v>801</v>
      </c>
      <c r="B10" s="268" t="s">
        <v>2341</v>
      </c>
      <c r="C10" s="269">
        <f ca="1">ROUND(D10*E10/10000,0)</f>
        <v>8</v>
      </c>
      <c r="D10" s="1032">
        <f ca="1">IF(B1="",'数据-汇总表'!E6,IF(INDIRECT("'数据-取费表'!c"&amp;$G$1)="住宅",INDIRECT("'数据-取费表'!s"&amp;$G$1),INDIRECT("'数据-取费表'!k"&amp;$G$1)+INDIRECT("'数据-取费表'!s"&amp;$G$1)))</f>
        <v>393.1</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2338</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2338</v>
      </c>
      <c r="C16" s="264"/>
      <c r="D16" s="1034"/>
      <c r="E16" s="262"/>
      <c r="F16" s="262"/>
      <c r="G16" s="263"/>
    </row>
    <row r="17" spans="1:14" s="258" customFormat="1" ht="13.5" hidden="1" customHeight="1">
      <c r="A17" s="271" t="s">
        <v>13</v>
      </c>
      <c r="B17" s="259" t="s">
        <v>2349</v>
      </c>
      <c r="C17" s="273"/>
      <c r="D17" s="1035"/>
      <c r="E17" s="273"/>
      <c r="F17" s="273"/>
      <c r="G17" s="263" t="s">
        <v>2348</v>
      </c>
    </row>
    <row r="18" spans="1:14" s="258" customFormat="1" ht="13.5" hidden="1" customHeight="1">
      <c r="A18" s="271" t="s">
        <v>14</v>
      </c>
      <c r="B18" s="259" t="s">
        <v>2350</v>
      </c>
      <c r="C18" s="264">
        <v>0</v>
      </c>
      <c r="D18" s="1034"/>
      <c r="E18" s="262"/>
      <c r="F18" s="265">
        <v>3.0499999999999999E-2</v>
      </c>
      <c r="G18" s="263" t="s">
        <v>2351</v>
      </c>
    </row>
    <row r="19" spans="1:14" s="267" customFormat="1" ht="13.5" customHeight="1">
      <c r="A19" s="299" t="s">
        <v>2352</v>
      </c>
      <c r="B19" s="254" t="s">
        <v>2353</v>
      </c>
      <c r="C19" s="255" t="str">
        <f>IF(G19="已包含在土地取得成本中","0",ROUND(D19*E19/10000,0))</f>
        <v>0</v>
      </c>
      <c r="D19" s="1036">
        <f ca="1">D9+D10</f>
        <v>393.1</v>
      </c>
      <c r="E19" s="255">
        <f>'数据-取费表'!B31</f>
        <v>200</v>
      </c>
      <c r="F19" s="275"/>
      <c r="G19" s="2544" t="s">
        <v>3126</v>
      </c>
    </row>
    <row r="20" spans="1:14" s="258" customFormat="1" ht="13.5" customHeight="1">
      <c r="A20" s="299" t="s">
        <v>2354</v>
      </c>
      <c r="B20" s="254" t="s">
        <v>2355</v>
      </c>
      <c r="C20" s="276">
        <f>ROUND((C5+C19)*F20,0)</f>
        <v>0</v>
      </c>
      <c r="D20" s="276"/>
      <c r="E20" s="276"/>
      <c r="F20" s="277">
        <f>'数据-取费表'!B37</f>
        <v>0.02</v>
      </c>
      <c r="G20" s="278" t="s">
        <v>2356</v>
      </c>
    </row>
    <row r="21" spans="1:14" s="258" customFormat="1" ht="13.5" customHeight="1">
      <c r="A21" s="299" t="s">
        <v>2357</v>
      </c>
      <c r="B21" s="254" t="s">
        <v>2358</v>
      </c>
      <c r="C21" s="279">
        <f>F21</f>
        <v>0</v>
      </c>
      <c r="D21" s="280" t="s">
        <v>2359</v>
      </c>
      <c r="E21" s="276"/>
      <c r="F21" s="277">
        <f>'数据-取费表'!B38</f>
        <v>0</v>
      </c>
      <c r="G21" s="278" t="s">
        <v>2360</v>
      </c>
    </row>
    <row r="22" spans="1:14" s="258" customFormat="1" ht="13.5" customHeight="1">
      <c r="A22" s="299" t="s">
        <v>2361</v>
      </c>
      <c r="B22" s="254" t="s">
        <v>2362</v>
      </c>
      <c r="C22" s="1354">
        <f>ROUND(SUM(C23:C25),0)</f>
        <v>0</v>
      </c>
      <c r="D22" s="279">
        <f>C26</f>
        <v>0</v>
      </c>
      <c r="E22" s="280" t="s">
        <v>2359</v>
      </c>
      <c r="F22" s="281">
        <f>'数据-取费表'!B40</f>
        <v>3.85E-2</v>
      </c>
      <c r="G22" s="278" t="str">
        <f>IF('数据-取费表'!B22&lt;=1,"单利计息","复利计息")</f>
        <v>复利计息</v>
      </c>
    </row>
    <row r="23" spans="1:14" s="258" customFormat="1" ht="13.5" customHeight="1">
      <c r="A23" s="951" t="s">
        <v>791</v>
      </c>
      <c r="B23" s="259" t="s">
        <v>2364</v>
      </c>
      <c r="C23" s="1355">
        <f>ROUND(IF('数据-取费表'!B22&lt;=1,C5*F22*'数据-取费表'!B23,C5*(POWER((1+F22),'数据-取费表'!B23)-1)),0)</f>
        <v>0</v>
      </c>
      <c r="D23" s="282"/>
      <c r="E23" s="282"/>
      <c r="F23" s="283"/>
      <c r="G23" s="284" t="s">
        <v>2365</v>
      </c>
    </row>
    <row r="24" spans="1:14" s="258" customFormat="1" ht="13.5" customHeight="1">
      <c r="A24" s="951" t="s">
        <v>792</v>
      </c>
      <c r="B24" s="259" t="s">
        <v>2367</v>
      </c>
      <c r="C24" s="1355">
        <f>ROUND(IF('数据-取费表'!B22&lt;=1,C19*F22*('数据-取费表'!B19/2+'数据-取费表'!B21),C19*(POWER((1+F22),('数据-取费表'!B19/2+'数据-取费表'!B21))-1)),0)</f>
        <v>0</v>
      </c>
      <c r="D24" s="282"/>
      <c r="E24" s="282"/>
      <c r="F24" s="283"/>
      <c r="G24" s="284" t="s">
        <v>2368</v>
      </c>
    </row>
    <row r="25" spans="1:14" s="258" customFormat="1" ht="24">
      <c r="A25" s="951" t="s">
        <v>793</v>
      </c>
      <c r="B25" s="259" t="s">
        <v>2370</v>
      </c>
      <c r="C25" s="1355">
        <f>ROUND(IF('数据-取费表'!B22&lt;=1,C20*F22*'数据-取费表'!B23/2,C20*(POWER((1+F22),'数据-取费表'!B23/2)-1)),0)</f>
        <v>0</v>
      </c>
      <c r="D25" s="282"/>
      <c r="E25" s="285"/>
      <c r="F25" s="283"/>
      <c r="G25" s="286" t="s">
        <v>2371</v>
      </c>
      <c r="L25" s="2990"/>
      <c r="M25" s="2991" t="s">
        <v>3177</v>
      </c>
      <c r="N25" s="2991" t="s">
        <v>3178</v>
      </c>
    </row>
    <row r="26" spans="1:14" s="258" customFormat="1">
      <c r="A26" s="951" t="s">
        <v>795</v>
      </c>
      <c r="B26" s="259" t="s">
        <v>2372</v>
      </c>
      <c r="C26" s="282">
        <f>ROUND(IF('数据-取费表'!B22&lt;=1,F21*F22*'数据-取费表'!B23/2,F21*(POWER((1+F22),'数据-取费表'!B23/2)-1)),4)</f>
        <v>0</v>
      </c>
      <c r="D26" s="282"/>
      <c r="E26" s="285"/>
      <c r="F26" s="283"/>
      <c r="G26" s="287"/>
      <c r="K26" s="2987" t="s">
        <v>3170</v>
      </c>
      <c r="L26" s="2992">
        <f>C6+C7</f>
        <v>0</v>
      </c>
      <c r="M26" s="2990">
        <v>411.78</v>
      </c>
      <c r="N26" s="2990">
        <v>411.78</v>
      </c>
    </row>
    <row r="27" spans="1:14" s="258" customFormat="1" ht="24.75">
      <c r="A27" s="299" t="s">
        <v>2373</v>
      </c>
      <c r="B27" s="288" t="s">
        <v>2374</v>
      </c>
      <c r="C27" s="289">
        <f ca="1">C28</f>
        <v>0</v>
      </c>
      <c r="D27" s="279">
        <f ca="1">C29</f>
        <v>0</v>
      </c>
      <c r="E27" s="280" t="s">
        <v>2359</v>
      </c>
      <c r="F27" s="290">
        <f ca="1">IF(B1="",'数据-取费表'!Q16,INDIRECT("'数据-取费表'!q"&amp;$G$1))</f>
        <v>0.01</v>
      </c>
      <c r="G27" s="291" t="s">
        <v>2376</v>
      </c>
      <c r="K27" s="2987" t="s">
        <v>3171</v>
      </c>
      <c r="L27" s="2992">
        <f>C35</f>
        <v>4</v>
      </c>
      <c r="M27" s="2990">
        <v>1150</v>
      </c>
      <c r="N27" s="2990">
        <v>333</v>
      </c>
    </row>
    <row r="28" spans="1:14" s="258" customFormat="1" ht="13.5" customHeight="1">
      <c r="A28" s="951" t="s">
        <v>791</v>
      </c>
      <c r="B28" s="292" t="s">
        <v>2377</v>
      </c>
      <c r="C28" s="293">
        <f ca="1">ROUND((C5+C19+C20)*F27*'数据-取费表'!B21/'数据-取费表'!B20,0)</f>
        <v>0</v>
      </c>
      <c r="D28" s="279"/>
      <c r="E28" s="280"/>
      <c r="F28" s="290"/>
      <c r="G28" s="291"/>
      <c r="K28" s="2987" t="s">
        <v>3172</v>
      </c>
      <c r="L28" s="2992">
        <f>C34</f>
        <v>138</v>
      </c>
      <c r="M28" s="2990">
        <v>16258</v>
      </c>
      <c r="N28" s="2990">
        <v>10943</v>
      </c>
    </row>
    <row r="29" spans="1:14" s="258" customFormat="1" ht="13.5" customHeight="1">
      <c r="A29" s="951" t="s">
        <v>792</v>
      </c>
      <c r="B29" s="292" t="s">
        <v>2378</v>
      </c>
      <c r="C29" s="282">
        <f ca="1">ROUND(C21*F27*'数据-取费表'!B21/'数据-取费表'!B20,4)</f>
        <v>0</v>
      </c>
      <c r="D29" s="279"/>
      <c r="E29" s="280"/>
      <c r="F29" s="290"/>
      <c r="G29" s="291"/>
      <c r="K29" s="2987" t="s">
        <v>3173</v>
      </c>
      <c r="L29" s="2992">
        <f ca="1">C8+C37</f>
        <v>8</v>
      </c>
      <c r="M29" s="2990">
        <v>5556</v>
      </c>
      <c r="N29" s="2990">
        <v>1855</v>
      </c>
    </row>
    <row r="30" spans="1:14" s="258" customFormat="1" ht="13.5" customHeight="1">
      <c r="A30" s="299" t="s">
        <v>2379</v>
      </c>
      <c r="B30" s="254" t="s">
        <v>2380</v>
      </c>
      <c r="C30" s="306">
        <f>F30</f>
        <v>0.09</v>
      </c>
      <c r="D30" s="280" t="s">
        <v>2359</v>
      </c>
      <c r="E30" s="285"/>
      <c r="F30" s="281">
        <f>'数据-取费表'!B41</f>
        <v>0.09</v>
      </c>
      <c r="G30" s="278" t="s">
        <v>2381</v>
      </c>
      <c r="K30" s="2987" t="s">
        <v>3174</v>
      </c>
      <c r="L30" s="2992">
        <f ca="1">C36</f>
        <v>0</v>
      </c>
      <c r="M30" s="2990">
        <v>707</v>
      </c>
      <c r="N30" s="2990">
        <v>378</v>
      </c>
    </row>
    <row r="31" spans="1:14" ht="16.5" customHeight="1">
      <c r="A31" s="253">
        <v>1</v>
      </c>
      <c r="B31" s="254" t="s">
        <v>2382</v>
      </c>
      <c r="C31" s="255">
        <f ca="1">ROUND((C5+C19+C20+C22+C27)/(1-C21-D22-D27-C30),0)</f>
        <v>0</v>
      </c>
      <c r="D31" s="274"/>
      <c r="E31" s="255"/>
      <c r="F31" s="294"/>
      <c r="G31" s="278" t="s">
        <v>2383</v>
      </c>
      <c r="K31" s="2988" t="s">
        <v>3175</v>
      </c>
      <c r="L31" s="2993"/>
      <c r="M31" s="2993">
        <v>961</v>
      </c>
      <c r="N31" s="2993">
        <v>405</v>
      </c>
    </row>
    <row r="32" spans="1:14" s="252" customFormat="1" ht="15.75">
      <c r="A32" s="3123" t="s">
        <v>2384</v>
      </c>
      <c r="B32" s="3124"/>
      <c r="C32" s="3124"/>
      <c r="D32" s="3124"/>
      <c r="E32" s="3124"/>
      <c r="F32" s="3124"/>
      <c r="G32" s="3125"/>
      <c r="K32" s="2989" t="s">
        <v>3176</v>
      </c>
      <c r="L32" s="2994">
        <f ca="1">C39+C40*C52+C41+D41*C52</f>
        <v>9</v>
      </c>
      <c r="M32" s="2994">
        <v>1658</v>
      </c>
      <c r="N32" s="2994">
        <v>649</v>
      </c>
    </row>
    <row r="33" spans="1:14" s="258" customFormat="1" ht="13.5" customHeight="1">
      <c r="A33" s="3126" t="s">
        <v>782</v>
      </c>
      <c r="B33" s="3127" t="s">
        <v>2385</v>
      </c>
      <c r="C33" s="3128">
        <f ca="1">SUM(C34:C38)</f>
        <v>152</v>
      </c>
      <c r="D33" s="3129"/>
      <c r="E33" s="3130"/>
      <c r="F33" s="3131"/>
      <c r="G33" s="3132"/>
      <c r="H33" s="302">
        <f ca="1">C33/'数据-汇总表'!E3</f>
        <v>1.2928259218401678E-2</v>
      </c>
      <c r="L33" s="2990">
        <f ca="1">SUM(L26:L32)</f>
        <v>159</v>
      </c>
      <c r="M33" s="2990">
        <f>SUM(M26:M32)</f>
        <v>26701.78</v>
      </c>
      <c r="N33" s="2990">
        <f>SUM(N26:N32)</f>
        <v>14974.78</v>
      </c>
    </row>
    <row r="34" spans="1:14" s="302" customFormat="1" ht="13.5" customHeight="1">
      <c r="A34" s="3133" t="s">
        <v>791</v>
      </c>
      <c r="B34" s="3134" t="s">
        <v>2386</v>
      </c>
      <c r="C34" s="3135">
        <f>'数据-取费表'!M7</f>
        <v>138</v>
      </c>
      <c r="D34" s="3136"/>
      <c r="E34" s="3135"/>
      <c r="F34" s="3137">
        <f ca="1">IF('数据-取费表'!B24=0,1,IF(B1="",'数据-取费表'!N16,INDIRECT("'数据-取费表'!n"&amp;$G$1)))</f>
        <v>1</v>
      </c>
      <c r="G34" s="3138" t="s">
        <v>2387</v>
      </c>
      <c r="H34" s="302">
        <f>C34/'数据-汇总表'!E3</f>
        <v>1.1737498500917312E-2</v>
      </c>
      <c r="L34" s="2995"/>
      <c r="M34" s="2995"/>
      <c r="N34" s="2995"/>
    </row>
    <row r="35" spans="1:14" ht="13.5" customHeight="1">
      <c r="A35" s="3133" t="s">
        <v>796</v>
      </c>
      <c r="B35" s="3134" t="s">
        <v>2388</v>
      </c>
      <c r="C35" s="3135">
        <f>ROUND(C34*F35,0)</f>
        <v>4</v>
      </c>
      <c r="D35" s="3135"/>
      <c r="E35" s="3135"/>
      <c r="F35" s="3139">
        <f>'数据-取费表'!B33</f>
        <v>0.03</v>
      </c>
      <c r="G35" s="3138" t="s">
        <v>2389</v>
      </c>
      <c r="H35" s="302">
        <f>C35/'数据-汇总表'!E3</f>
        <v>3.4021734785267573E-4</v>
      </c>
    </row>
    <row r="36" spans="1:14" ht="24">
      <c r="A36" s="3133" t="s">
        <v>797</v>
      </c>
      <c r="B36" s="3134" t="s">
        <v>2390</v>
      </c>
      <c r="C36" s="3135">
        <f ca="1">ROUND(IF(B1="",SUMIF('数据-取费表'!C:C,"住宅",IF(F34=100%,'数据-取费表'!M:M,'数据-取费表'!O:O))*F36,IF(INDIRECT("'数据-取费表'!c"&amp;$G$1)="住宅",IF(F34=100%,INDIRECT("'数据-取费表'!m"&amp;$G$1)*F36,INDIRECT("'数据-取费表'!o"&amp;$G$1)*F36),0)),0)</f>
        <v>0</v>
      </c>
      <c r="D36" s="3135"/>
      <c r="E36" s="3135"/>
      <c r="F36" s="3139">
        <v>0</v>
      </c>
      <c r="G36" s="3140" t="s">
        <v>2391</v>
      </c>
    </row>
    <row r="37" spans="1:14" s="302" customFormat="1" ht="13.5" customHeight="1">
      <c r="A37" s="3133" t="s">
        <v>798</v>
      </c>
      <c r="B37" s="3134" t="s">
        <v>2392</v>
      </c>
      <c r="C37" s="3141">
        <f ca="1">ROUND(E37*D37*F34/10000,0)</f>
        <v>8</v>
      </c>
      <c r="D37" s="3136">
        <f>C61</f>
        <v>393.1</v>
      </c>
      <c r="E37" s="3141">
        <f>G62</f>
        <v>200</v>
      </c>
      <c r="F37" s="3139"/>
      <c r="G37" s="3142" t="s">
        <v>2393</v>
      </c>
    </row>
    <row r="38" spans="1:14" ht="13.5" customHeight="1">
      <c r="A38" s="3133" t="s">
        <v>799</v>
      </c>
      <c r="B38" s="3134" t="s">
        <v>2394</v>
      </c>
      <c r="C38" s="3135">
        <f>ROUND(C34*F38,0)</f>
        <v>2</v>
      </c>
      <c r="D38" s="3135"/>
      <c r="E38" s="3135"/>
      <c r="F38" s="3139">
        <f>'数据-取费表'!B36</f>
        <v>1.4999999999999999E-2</v>
      </c>
      <c r="G38" s="3138" t="s">
        <v>2389</v>
      </c>
    </row>
    <row r="39" spans="1:14" s="258" customFormat="1" ht="13.5" customHeight="1">
      <c r="A39" s="3126" t="s">
        <v>2352</v>
      </c>
      <c r="B39" s="3127" t="s">
        <v>2355</v>
      </c>
      <c r="C39" s="3129">
        <f ca="1">ROUND(C33*F20,0)</f>
        <v>3</v>
      </c>
      <c r="D39" s="3129"/>
      <c r="E39" s="3129"/>
      <c r="F39" s="3143"/>
      <c r="G39" s="3132" t="s">
        <v>2397</v>
      </c>
    </row>
    <row r="40" spans="1:14" s="258" customFormat="1" ht="13.5" customHeight="1">
      <c r="A40" s="3126" t="s">
        <v>2354</v>
      </c>
      <c r="B40" s="3127" t="s">
        <v>2358</v>
      </c>
      <c r="C40" s="3144">
        <f>F21</f>
        <v>0</v>
      </c>
      <c r="D40" s="3145" t="s">
        <v>2400</v>
      </c>
      <c r="E40" s="3129"/>
      <c r="F40" s="3143"/>
      <c r="G40" s="3132" t="s">
        <v>2401</v>
      </c>
    </row>
    <row r="41" spans="1:14" s="258" customFormat="1" ht="13.5" customHeight="1">
      <c r="A41" s="3126" t="s">
        <v>2357</v>
      </c>
      <c r="B41" s="3127" t="s">
        <v>2362</v>
      </c>
      <c r="C41" s="3129">
        <f ca="1">ROUND(SUM(C42:C43),0)</f>
        <v>6</v>
      </c>
      <c r="D41" s="3146">
        <f>C44</f>
        <v>0</v>
      </c>
      <c r="E41" s="3145" t="s">
        <v>2400</v>
      </c>
      <c r="F41" s="3147"/>
      <c r="G41" s="3132" t="str">
        <f>IF('数据-取费表'!B22&lt;=1,"单利计息","复利计息")</f>
        <v>复利计息</v>
      </c>
      <c r="H41" s="258">
        <f ca="1">C41/'数据-汇总表'!E3</f>
        <v>5.1032602177901356E-4</v>
      </c>
    </row>
    <row r="42" spans="1:14" ht="13.5" customHeight="1">
      <c r="A42" s="3133" t="s">
        <v>791</v>
      </c>
      <c r="B42" s="3134" t="s">
        <v>2364</v>
      </c>
      <c r="C42" s="3148">
        <f ca="1">ROUND(IF('数据-取费表'!B22&lt;=1,C33*F22*'数据-取费表'!B21/2,C33*(POWER((1+F22),'数据-取费表'!B21/2)-1)),0)</f>
        <v>6</v>
      </c>
      <c r="D42" s="3148"/>
      <c r="E42" s="3148"/>
      <c r="F42" s="3149"/>
      <c r="G42" s="3426" t="s">
        <v>2405</v>
      </c>
    </row>
    <row r="43" spans="1:14" ht="13.5" customHeight="1">
      <c r="A43" s="3133" t="s">
        <v>792</v>
      </c>
      <c r="B43" s="3134" t="s">
        <v>2367</v>
      </c>
      <c r="C43" s="3148">
        <f ca="1">ROUND(IF('数据-取费表'!B22&lt;=1,C39*F22*'数据-取费表'!B21/2,C39*(POWER((1+F22),'数据-取费表'!B21/2)-1)),0)</f>
        <v>0</v>
      </c>
      <c r="D43" s="3148"/>
      <c r="E43" s="3148"/>
      <c r="F43" s="3149"/>
      <c r="G43" s="3427"/>
    </row>
    <row r="44" spans="1:14" ht="13.5" customHeight="1">
      <c r="A44" s="3133" t="s">
        <v>793</v>
      </c>
      <c r="B44" s="3134" t="s">
        <v>2370</v>
      </c>
      <c r="C44" s="3148">
        <f>ROUND(IF('数据-取费表'!B22&lt;=1,C40*F22*'数据-取费表'!B21/2,C40*(POWER((1+F22),'数据-取费表'!B21/2)-1)),4)</f>
        <v>0</v>
      </c>
      <c r="D44" s="3148"/>
      <c r="E44" s="3148"/>
      <c r="F44" s="3149"/>
      <c r="G44" s="3428"/>
    </row>
    <row r="45" spans="1:14" s="258" customFormat="1" ht="13.5" customHeight="1">
      <c r="A45" s="3126" t="s">
        <v>2361</v>
      </c>
      <c r="B45" s="3150" t="s">
        <v>2374</v>
      </c>
      <c r="C45" s="3151">
        <f ca="1">C46</f>
        <v>2</v>
      </c>
      <c r="D45" s="3146">
        <f ca="1">C47</f>
        <v>0</v>
      </c>
      <c r="E45" s="3145" t="s">
        <v>2400</v>
      </c>
      <c r="F45" s="3152"/>
      <c r="G45" s="3153" t="s">
        <v>2409</v>
      </c>
    </row>
    <row r="46" spans="1:14" s="258" customFormat="1" ht="13.5" customHeight="1">
      <c r="A46" s="3133" t="s">
        <v>791</v>
      </c>
      <c r="B46" s="3154" t="s">
        <v>2410</v>
      </c>
      <c r="C46" s="3141">
        <f ca="1">ROUND((C33+C39)*F27,0)</f>
        <v>2</v>
      </c>
      <c r="D46" s="3155"/>
      <c r="E46" s="3145"/>
      <c r="F46" s="3152"/>
      <c r="G46" s="3153"/>
    </row>
    <row r="47" spans="1:14" s="258" customFormat="1" ht="13.5" customHeight="1">
      <c r="A47" s="3133" t="s">
        <v>792</v>
      </c>
      <c r="B47" s="3154" t="s">
        <v>2411</v>
      </c>
      <c r="C47" s="3148">
        <f ca="1">ROUND(C40*F27,4)</f>
        <v>0</v>
      </c>
      <c r="D47" s="3155"/>
      <c r="E47" s="3145"/>
      <c r="F47" s="3152"/>
      <c r="G47" s="3153"/>
    </row>
    <row r="48" spans="1:14" s="258" customFormat="1" ht="13.5" customHeight="1">
      <c r="A48" s="3126" t="s">
        <v>2373</v>
      </c>
      <c r="B48" s="3127" t="s">
        <v>2412</v>
      </c>
      <c r="C48" s="3156">
        <f>'数据-取费表'!B41</f>
        <v>0.09</v>
      </c>
      <c r="D48" s="3145" t="s">
        <v>2400</v>
      </c>
      <c r="E48" s="3129"/>
      <c r="F48" s="3147"/>
      <c r="G48" s="3132" t="s">
        <v>2413</v>
      </c>
    </row>
    <row r="49" spans="1:8" ht="16.5" customHeight="1">
      <c r="A49" s="3126" t="s">
        <v>2379</v>
      </c>
      <c r="B49" s="3127" t="s">
        <v>2414</v>
      </c>
      <c r="C49" s="3129">
        <f ca="1">ROUND((C33+C39+C41+C45)/(1-C40-D41-D45-C48),0)</f>
        <v>179</v>
      </c>
      <c r="D49" s="3129"/>
      <c r="E49" s="3129"/>
      <c r="F49" s="3157"/>
      <c r="G49" s="3132" t="s">
        <v>2415</v>
      </c>
    </row>
    <row r="50" spans="1:8" s="302" customFormat="1" ht="24">
      <c r="A50" s="3126" t="s">
        <v>2416</v>
      </c>
      <c r="B50" s="3127" t="s">
        <v>2417</v>
      </c>
      <c r="C50" s="3129"/>
      <c r="D50" s="3129"/>
      <c r="E50" s="3129"/>
      <c r="F50" s="3157">
        <f>IF('数据-取费表'!B24=0,'数据-取费表'!N16,1)</f>
        <v>1</v>
      </c>
      <c r="G50" s="3153" t="s">
        <v>2418</v>
      </c>
    </row>
    <row r="51" spans="1:8" ht="16.5" customHeight="1">
      <c r="A51" s="3126" t="s">
        <v>2419</v>
      </c>
      <c r="B51" s="3127" t="s">
        <v>2420</v>
      </c>
      <c r="C51" s="3129">
        <f ca="1">ROUND(C49*F50,0)</f>
        <v>179</v>
      </c>
      <c r="D51" s="3129"/>
      <c r="E51" s="3129"/>
      <c r="F51" s="3157"/>
      <c r="G51" s="3132" t="s">
        <v>2421</v>
      </c>
    </row>
    <row r="52" spans="1:8" s="252" customFormat="1" ht="16.5" thickBot="1">
      <c r="A52" s="3158" t="s">
        <v>2422</v>
      </c>
      <c r="B52" s="3159"/>
      <c r="C52" s="3160">
        <f ca="1">C31+C51</f>
        <v>179</v>
      </c>
      <c r="D52" s="3159"/>
      <c r="E52" s="3159"/>
      <c r="F52" s="3159"/>
      <c r="G52" s="3161"/>
      <c r="H52" s="252">
        <f ca="1">C52/'数据-汇总表'!E3</f>
        <v>1.5224726316407238E-2</v>
      </c>
    </row>
    <row r="55" spans="1:8" ht="15">
      <c r="B55" s="314" t="s">
        <v>2423</v>
      </c>
      <c r="C55" s="315"/>
    </row>
    <row r="56" spans="1:8">
      <c r="B56" s="317" t="s">
        <v>1507</v>
      </c>
      <c r="C56" s="319">
        <f ca="1">1-C57</f>
        <v>0</v>
      </c>
    </row>
    <row r="57" spans="1:8">
      <c r="B57" s="317" t="s">
        <v>1508</v>
      </c>
      <c r="C57" s="318">
        <f ca="1">ROUND(C51/C52,3)</f>
        <v>1</v>
      </c>
    </row>
    <row r="60" spans="1:8">
      <c r="C60" s="295" t="s">
        <v>3197</v>
      </c>
      <c r="D60" s="316" t="s">
        <v>3199</v>
      </c>
      <c r="E60" s="316" t="s">
        <v>3201</v>
      </c>
      <c r="F60" s="295" t="s">
        <v>40</v>
      </c>
      <c r="G60" s="2993" t="str">
        <f>B37</f>
        <v>红线内市政费用</v>
      </c>
    </row>
    <row r="61" spans="1:8">
      <c r="B61" s="295" t="s">
        <v>3208</v>
      </c>
      <c r="C61" s="295">
        <f>'成本法-住宅'!C61</f>
        <v>393.1</v>
      </c>
      <c r="D61" s="316">
        <f>'成本法-住宅'!D61</f>
        <v>0</v>
      </c>
      <c r="E61" s="316">
        <f>'成本法-住宅'!E61</f>
        <v>233.28</v>
      </c>
      <c r="F61" s="295">
        <f>'成本法-住宅'!F61</f>
        <v>626.38</v>
      </c>
    </row>
    <row r="62" spans="1:8">
      <c r="B62" s="295" t="s">
        <v>3209</v>
      </c>
      <c r="F62" s="295">
        <f>'成本法-住宅'!F62</f>
        <v>1105.8499999999999</v>
      </c>
      <c r="G62" s="295">
        <v>200</v>
      </c>
    </row>
    <row r="63" spans="1:8">
      <c r="F63" s="295">
        <f>'成本法-住宅'!F63</f>
        <v>10024.959999999999</v>
      </c>
      <c r="G63" s="295">
        <v>360</v>
      </c>
    </row>
  </sheetData>
  <sheetProtection formatCells="0"/>
  <mergeCells count="1">
    <mergeCell ref="G42:G44"/>
  </mergeCells>
  <phoneticPr fontId="143" type="noConversion"/>
  <dataValidations count="6">
    <dataValidation type="list" allowBlank="1" showInputMessage="1" showErrorMessage="1" sqref="D2" xr:uid="{00000000-0002-0000-1800-000000000000}">
      <formula1>"需扣减承租人权益,——"</formula1>
    </dataValidation>
    <dataValidation type="list" allowBlank="1" showInputMessage="1" showErrorMessage="1" sqref="G2" xr:uid="{00000000-0002-0000-1800-000001000000}">
      <formula1>估价方法</formula1>
    </dataValidation>
    <dataValidation type="list" allowBlank="1" showInputMessage="1" showErrorMessage="1" sqref="G9" xr:uid="{00000000-0002-0000-1800-000002000000}">
      <formula1>"部分缴纳,全部缴纳"</formula1>
    </dataValidation>
    <dataValidation type="list" allowBlank="1" showInputMessage="1" showErrorMessage="1" sqref="B1" xr:uid="{00000000-0002-0000-1800-000003000000}">
      <formula1>项目类型</formula1>
    </dataValidation>
    <dataValidation type="list" allowBlank="1" showInputMessage="1" showErrorMessage="1" sqref="G19" xr:uid="{00000000-0002-0000-1800-000004000000}">
      <formula1>"已包含在土地取得成本中,未包含在土地取得成本中"</formula1>
    </dataValidation>
    <dataValidation type="list" allowBlank="1" showInputMessage="1" showErrorMessage="1" sqref="G8" xr:uid="{00000000-0002-0000-18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4"/>
  <sheetViews>
    <sheetView topLeftCell="A16" zoomScaleNormal="100" zoomScaleSheetLayoutView="90" workbookViewId="0">
      <selection activeCell="F24" sqref="F2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26" customWidth="1"/>
    <col min="12" max="12" width="16.375" style="302" customWidth="1"/>
    <col min="13" max="13" width="13" style="302" customWidth="1"/>
    <col min="14" max="14" width="13.875" style="1834" customWidth="1"/>
    <col min="15" max="15" width="5.125" style="1834" customWidth="1"/>
    <col min="16" max="16" width="25.875" style="1834" customWidth="1"/>
    <col min="17" max="17" width="13.875" style="1834" customWidth="1"/>
    <col min="18" max="18" width="20.5" style="1834" customWidth="1"/>
    <col min="19" max="19" width="13.125" style="1834" customWidth="1"/>
    <col min="20" max="37" width="9" style="1834"/>
    <col min="38" max="16384" width="9" style="302"/>
  </cols>
  <sheetData>
    <row r="1" spans="1:37" s="337" customFormat="1" ht="21">
      <c r="A1" s="1825" t="s">
        <v>1583</v>
      </c>
      <c r="B1" s="782"/>
      <c r="C1" s="1829" t="s">
        <v>3113</v>
      </c>
      <c r="D1" s="1812"/>
      <c r="E1" s="1813" t="s">
        <v>1381</v>
      </c>
      <c r="F1" s="1283">
        <f ca="1">J54</f>
        <v>70</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C41+J29+L47</f>
        <v>10770</v>
      </c>
      <c r="C2" s="1837" t="s">
        <v>1510</v>
      </c>
      <c r="D2" s="1837"/>
      <c r="E2" s="1838"/>
      <c r="F2" s="1839"/>
      <c r="G2" s="1840"/>
      <c r="H2" s="1832"/>
      <c r="I2" s="1832"/>
      <c r="J2" s="1832"/>
      <c r="K2" s="1833"/>
      <c r="L2" s="1832"/>
      <c r="M2" s="1832"/>
    </row>
    <row r="3" spans="1:37" ht="18" customHeight="1" thickBot="1">
      <c r="A3" s="1841" t="s">
        <v>1511</v>
      </c>
      <c r="B3" s="1842">
        <f ca="1">IF(ISERROR(B2*10000/F44),0,ROUND(B2*10000/F44,0))</f>
        <v>10821</v>
      </c>
      <c r="C3" s="1837" t="s">
        <v>1512</v>
      </c>
      <c r="D3" s="1837"/>
      <c r="E3" s="1838"/>
      <c r="F3" s="1839"/>
      <c r="G3" s="1840"/>
      <c r="H3" s="744" t="s">
        <v>1582</v>
      </c>
      <c r="I3" s="1832"/>
      <c r="J3" s="1832"/>
      <c r="K3" s="1833"/>
      <c r="L3" s="1832"/>
      <c r="M3" s="1832"/>
    </row>
    <row r="4" spans="1:37" ht="18" customHeight="1">
      <c r="A4" s="3006" t="s">
        <v>1390</v>
      </c>
      <c r="B4" s="3007" t="s">
        <v>1391</v>
      </c>
      <c r="C4" s="3007" t="s">
        <v>1392</v>
      </c>
      <c r="D4" s="3007" t="s">
        <v>1393</v>
      </c>
      <c r="E4" s="3008" t="s">
        <v>1394</v>
      </c>
      <c r="F4" s="3009"/>
      <c r="G4" s="1843"/>
      <c r="H4" s="340" t="s">
        <v>1390</v>
      </c>
      <c r="I4" s="341" t="s">
        <v>1391</v>
      </c>
      <c r="J4" s="341" t="s">
        <v>1392</v>
      </c>
      <c r="K4" s="341" t="s">
        <v>1393</v>
      </c>
      <c r="L4" s="342" t="s">
        <v>1394</v>
      </c>
      <c r="M4" s="343"/>
    </row>
    <row r="5" spans="1:37" ht="18" customHeight="1">
      <c r="A5" s="3010">
        <v>1</v>
      </c>
      <c r="B5" s="3011" t="s">
        <v>1395</v>
      </c>
      <c r="C5" s="3012">
        <f ca="1">C6+C10+C12</f>
        <v>537</v>
      </c>
      <c r="D5" s="3013" t="s">
        <v>1396</v>
      </c>
      <c r="E5" s="3014"/>
      <c r="F5" s="3015"/>
      <c r="G5" s="1843"/>
      <c r="H5" s="344">
        <v>1</v>
      </c>
      <c r="I5" s="345" t="s">
        <v>1395</v>
      </c>
      <c r="J5" s="1292">
        <f ca="1">J6+J10+J12</f>
        <v>0</v>
      </c>
      <c r="K5" s="1814" t="s">
        <v>1396</v>
      </c>
      <c r="L5" s="1293"/>
      <c r="M5" s="1294"/>
    </row>
    <row r="6" spans="1:37" ht="18" customHeight="1">
      <c r="A6" s="3016" t="s">
        <v>1031</v>
      </c>
      <c r="B6" s="3431" t="s">
        <v>1397</v>
      </c>
      <c r="C6" s="3017">
        <f ca="1">ROUND(F6*F8*F7*(1-F9)/10000,0)</f>
        <v>537</v>
      </c>
      <c r="D6" s="3018" t="s">
        <v>3026</v>
      </c>
      <c r="E6" s="3019" t="s">
        <v>1399</v>
      </c>
      <c r="F6" s="3020">
        <f ca="1">INDIRECT("'数据-取费表'!u"&amp;$G$1)</f>
        <v>50</v>
      </c>
      <c r="G6" s="1843"/>
      <c r="H6" s="1291" t="s">
        <v>1031</v>
      </c>
      <c r="I6" s="3434" t="s">
        <v>1397</v>
      </c>
      <c r="J6" s="346">
        <f ca="1">ROUND(M6*M8*M7*(1-M9)/10000,0)</f>
        <v>0</v>
      </c>
      <c r="K6" s="164" t="s">
        <v>3025</v>
      </c>
      <c r="L6" s="347" t="s">
        <v>1399</v>
      </c>
      <c r="M6" s="348">
        <f ca="1">INDIRECT("'数据-取费表'!z"&amp;$G$1)</f>
        <v>0</v>
      </c>
    </row>
    <row r="7" spans="1:37" ht="18" customHeight="1">
      <c r="A7" s="3021"/>
      <c r="B7" s="3432"/>
      <c r="C7" s="3022"/>
      <c r="D7" s="3023"/>
      <c r="E7" s="3024" t="s">
        <v>1400</v>
      </c>
      <c r="F7" s="3020">
        <f ca="1">IF(INDIRECT("'数据-取费表'!ah"&amp;$G$1)="",INDIRECT("'数据-取费表'!k"&amp;$G$1),INDIRECT("'数据-取费表'!ah"&amp;$G$1))</f>
        <v>9952.6299999999992</v>
      </c>
      <c r="G7" s="1843"/>
      <c r="H7" s="349"/>
      <c r="I7" s="3435"/>
      <c r="J7" s="351"/>
      <c r="K7" s="352"/>
      <c r="L7" s="347" t="s">
        <v>1400</v>
      </c>
      <c r="M7" s="348">
        <f ca="1">F7</f>
        <v>9952.6299999999992</v>
      </c>
    </row>
    <row r="8" spans="1:37" ht="18" customHeight="1">
      <c r="A8" s="3025"/>
      <c r="B8" s="3432"/>
      <c r="C8" s="3026"/>
      <c r="D8" s="3023"/>
      <c r="E8" s="3019" t="s">
        <v>1401</v>
      </c>
      <c r="F8" s="3020">
        <f ca="1">INDIRECT("'数据-取费表'!ai"&amp;$G$1)</f>
        <v>12</v>
      </c>
      <c r="G8" s="1843"/>
      <c r="H8" s="349"/>
      <c r="I8" s="3435"/>
      <c r="J8" s="351"/>
      <c r="K8" s="352"/>
      <c r="L8" s="347" t="s">
        <v>1401</v>
      </c>
      <c r="M8" s="348">
        <f ca="1">INDIRECT("'数据-取费表'!ai"&amp;$G$1)</f>
        <v>12</v>
      </c>
    </row>
    <row r="9" spans="1:37" ht="18" customHeight="1">
      <c r="A9" s="3025"/>
      <c r="B9" s="3433"/>
      <c r="C9" s="3026"/>
      <c r="D9" s="3023"/>
      <c r="E9" s="3019" t="s">
        <v>1402</v>
      </c>
      <c r="F9" s="3027">
        <f ca="1">INDIRECT("'数据-取费表'!w"&amp;$G$1)</f>
        <v>0.1</v>
      </c>
      <c r="G9" s="1843"/>
      <c r="H9" s="349"/>
      <c r="I9" s="3436"/>
      <c r="J9" s="351"/>
      <c r="K9" s="352"/>
      <c r="L9" s="358" t="s">
        <v>1402</v>
      </c>
      <c r="M9" s="359">
        <f ca="1">INDIRECT("'数据-取费表'!ab"&amp;$G$1)</f>
        <v>0</v>
      </c>
    </row>
    <row r="10" spans="1:37" ht="18" customHeight="1">
      <c r="A10" s="3016" t="s">
        <v>1035</v>
      </c>
      <c r="B10" s="3028" t="s">
        <v>1403</v>
      </c>
      <c r="C10" s="3029">
        <f ca="1">ROUND(IF(F10="押一",C6/12*F11,IF(F10="押二",C6/12*2*F11,IF(F10="押三",C6/12*3*F11,C11*F11))),0)</f>
        <v>0</v>
      </c>
      <c r="D10" s="3030" t="s">
        <v>3035</v>
      </c>
      <c r="E10" s="3031" t="s">
        <v>1404</v>
      </c>
      <c r="F10" s="3032" t="s">
        <v>3185</v>
      </c>
      <c r="G10" s="1843"/>
      <c r="H10" s="1291" t="s">
        <v>1035</v>
      </c>
      <c r="I10" s="1815" t="s">
        <v>1403</v>
      </c>
      <c r="J10" s="346">
        <f ca="1">ROUND(IF(M10="押一",J6/12*M11,IF(M10="押二",J6/12*2*M11,IF(M10="押三",J6/12*3*M11,J11*M11))),0)</f>
        <v>0</v>
      </c>
      <c r="K10" s="1816" t="s">
        <v>3034</v>
      </c>
      <c r="L10" s="358" t="s">
        <v>1404</v>
      </c>
      <c r="M10" s="1366" t="s">
        <v>1405</v>
      </c>
    </row>
    <row r="11" spans="1:37" ht="18" customHeight="1">
      <c r="A11" s="3033"/>
      <c r="B11" s="3034" t="s">
        <v>1382</v>
      </c>
      <c r="C11" s="3035"/>
      <c r="D11" s="3036"/>
      <c r="E11" s="3031" t="s">
        <v>1406</v>
      </c>
      <c r="F11" s="3037">
        <f ca="1">'数据-取费表'!B39</f>
        <v>1.4999999999999999E-2</v>
      </c>
      <c r="G11" s="1843"/>
      <c r="H11" s="1299"/>
      <c r="I11" s="1817" t="s">
        <v>1382</v>
      </c>
      <c r="J11" s="1178"/>
      <c r="K11" s="748"/>
      <c r="L11" s="358" t="s">
        <v>1406</v>
      </c>
      <c r="M11" s="1056">
        <f ca="1">'数据-取费表'!B39</f>
        <v>1.4999999999999999E-2</v>
      </c>
    </row>
    <row r="12" spans="1:37" ht="18" customHeight="1" thickBot="1">
      <c r="A12" s="3038" t="s">
        <v>1071</v>
      </c>
      <c r="B12" s="3039" t="s">
        <v>1407</v>
      </c>
      <c r="C12" s="3040"/>
      <c r="D12" s="3041"/>
      <c r="E12" s="3042"/>
      <c r="F12" s="3043"/>
      <c r="G12" s="1843"/>
      <c r="H12" s="1333" t="s">
        <v>1071</v>
      </c>
      <c r="I12" s="1819" t="s">
        <v>1407</v>
      </c>
      <c r="J12" s="1334"/>
      <c r="K12" s="1348"/>
      <c r="L12" s="1340"/>
      <c r="M12" s="1349"/>
    </row>
    <row r="13" spans="1:37" ht="18" customHeight="1" thickTop="1">
      <c r="A13" s="3044">
        <v>2</v>
      </c>
      <c r="B13" s="3045" t="s">
        <v>1408</v>
      </c>
      <c r="C13" s="3046">
        <f ca="1">ROUND(C29*F13,0)</f>
        <v>7710</v>
      </c>
      <c r="D13" s="3047" t="s">
        <v>1409</v>
      </c>
      <c r="E13" s="3047" t="s">
        <v>1410</v>
      </c>
      <c r="F13" s="3048">
        <f ca="1">INDIRECT("'数据-取费表'!y"&amp;$G$1)</f>
        <v>1</v>
      </c>
      <c r="G13" s="1843"/>
      <c r="H13" s="1329">
        <v>2</v>
      </c>
      <c r="I13" s="1330" t="s">
        <v>1408</v>
      </c>
      <c r="J13" s="1290">
        <f ca="1">ROUND(J14*J15,0)</f>
        <v>0</v>
      </c>
      <c r="K13" s="1337" t="s">
        <v>1409</v>
      </c>
      <c r="L13" s="1844"/>
      <c r="M13" s="1845"/>
    </row>
    <row r="14" spans="1:37" ht="18" customHeight="1">
      <c r="A14" s="3049" t="s">
        <v>1030</v>
      </c>
      <c r="B14" s="3019" t="s">
        <v>1411</v>
      </c>
      <c r="C14" s="3050">
        <f>'数据-取费表'!M6</f>
        <v>5524</v>
      </c>
      <c r="D14" s="3051" t="s">
        <v>1412</v>
      </c>
      <c r="E14" s="3052"/>
      <c r="F14" s="3053"/>
      <c r="G14" s="1843"/>
      <c r="H14" s="1201" t="s">
        <v>1031</v>
      </c>
      <c r="I14" s="347" t="s">
        <v>1413</v>
      </c>
      <c r="J14" s="24">
        <f ca="1">C29</f>
        <v>7710</v>
      </c>
      <c r="K14" s="15"/>
      <c r="L14" s="979"/>
      <c r="M14" s="980"/>
    </row>
    <row r="15" spans="1:37" s="1850" customFormat="1" ht="18" customHeight="1" thickBot="1">
      <c r="A15" s="3049" t="s">
        <v>1032</v>
      </c>
      <c r="B15" s="3019" t="s">
        <v>1414</v>
      </c>
      <c r="C15" s="3054">
        <f>ROUND(C14*F15,0)</f>
        <v>166</v>
      </c>
      <c r="D15" s="3055" t="s">
        <v>1415</v>
      </c>
      <c r="E15" s="3055" t="s">
        <v>1416</v>
      </c>
      <c r="F15" s="305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3049" t="s">
        <v>1383</v>
      </c>
      <c r="B16" s="3019" t="s">
        <v>1417</v>
      </c>
      <c r="C16" s="3054">
        <f ca="1">ROUND(INDIRECT("'数据-取费表'!m"&amp;$G$1)*F16,0)</f>
        <v>276</v>
      </c>
      <c r="D16" s="3019" t="s">
        <v>1415</v>
      </c>
      <c r="E16" s="3019" t="s">
        <v>1416</v>
      </c>
      <c r="F16" s="3057">
        <f ca="1">IF(INDIRECT("'数据-取费表'!c"&amp;$G$1)="住宅",'数据-取费表'!B34,0)</f>
        <v>0.05</v>
      </c>
      <c r="G16" s="1843"/>
      <c r="H16" s="1329" t="s">
        <v>1026</v>
      </c>
      <c r="I16" s="1330" t="s">
        <v>1418</v>
      </c>
      <c r="J16" s="355">
        <f ca="1">ROUND(J17+J22+J23+J24,0)</f>
        <v>196</v>
      </c>
      <c r="K16" s="1337" t="s">
        <v>1419</v>
      </c>
      <c r="L16" s="1338"/>
      <c r="M16" s="1294"/>
    </row>
    <row r="17" spans="1:37" s="1850" customFormat="1" ht="18" customHeight="1">
      <c r="A17" s="3049" t="s">
        <v>1384</v>
      </c>
      <c r="B17" s="3019" t="s">
        <v>1420</v>
      </c>
      <c r="C17" s="3054">
        <f ca="1">'成本法-住宅'!C37</f>
        <v>388</v>
      </c>
      <c r="D17" s="3019" t="s">
        <v>1421</v>
      </c>
      <c r="E17" s="3019" t="s">
        <v>1422</v>
      </c>
      <c r="F17" s="3058">
        <f>'数据-取费表'!B35</f>
        <v>360</v>
      </c>
      <c r="G17" s="1846"/>
      <c r="H17" s="1201" t="s">
        <v>1031</v>
      </c>
      <c r="I17" s="347" t="s">
        <v>1423</v>
      </c>
      <c r="J17" s="24">
        <f ca="1">ROUND(IF(项目基本情况!B11="自然人",J6*M17/(1+'数据-取费表'!C42),J18+J19+J20),1)</f>
        <v>64.8</v>
      </c>
      <c r="K17" s="1792" t="s">
        <v>1424</v>
      </c>
      <c r="L17" s="1790" t="s">
        <v>1425</v>
      </c>
      <c r="M17" s="368">
        <f ca="1">IF(项目基本情况!B11="企业","",IF(INDIRECT("'数据-取费表'!c"&amp;$G$1)="住宅",5%,IF(M6*M7*M8/12/(1+'数据-取费表'!C42)&gt;20000,12%,7%)))</f>
        <v>0.05</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3049" t="s">
        <v>1385</v>
      </c>
      <c r="B18" s="3019" t="s">
        <v>1426</v>
      </c>
      <c r="C18" s="3054">
        <f>ROUND(C14*F18,0)</f>
        <v>83</v>
      </c>
      <c r="D18" s="3019" t="s">
        <v>1415</v>
      </c>
      <c r="E18" s="3019" t="s">
        <v>1416</v>
      </c>
      <c r="F18" s="3057">
        <f>'数据-取费表'!B36</f>
        <v>1.4999999999999999E-2</v>
      </c>
      <c r="G18" s="1846"/>
      <c r="H18" s="1201" t="s">
        <v>1030</v>
      </c>
      <c r="I18" s="347" t="s">
        <v>1427</v>
      </c>
      <c r="J18" s="24">
        <f ca="1">ROUND(J6*M18/(1+'数据-取费表'!C42),2)</f>
        <v>0</v>
      </c>
      <c r="K18" s="1790" t="s">
        <v>1428</v>
      </c>
      <c r="L18" s="347" t="s">
        <v>1416</v>
      </c>
      <c r="M18" s="367">
        <f>'数据-取费表'!B41</f>
        <v>0.09</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3049" t="s">
        <v>1031</v>
      </c>
      <c r="B19" s="3019" t="s">
        <v>1429</v>
      </c>
      <c r="C19" s="3054">
        <f ca="1">SUM(C14:C18)</f>
        <v>6437</v>
      </c>
      <c r="D19" s="3059" t="s">
        <v>1430</v>
      </c>
      <c r="E19" s="3060"/>
      <c r="F19" s="3058"/>
      <c r="G19" s="1843"/>
      <c r="H19" s="1201" t="s">
        <v>1032</v>
      </c>
      <c r="I19" s="347" t="s">
        <v>1431</v>
      </c>
      <c r="J19" s="24">
        <f ca="1">IF(K19="按租金收入计税",ROUND(J6*M19/(1+'数据-取费表'!C42),2),ROUND(C29*M19*0.7,2))</f>
        <v>64.760000000000005</v>
      </c>
      <c r="K19" s="1820" t="s">
        <v>1432</v>
      </c>
      <c r="L19" s="347" t="s">
        <v>1416</v>
      </c>
      <c r="M19" s="367">
        <f>IF(K19="按租金收入计税",'数据-取费表'!B51,'数据-取费表'!B50)</f>
        <v>1.2E-2</v>
      </c>
    </row>
    <row r="20" spans="1:37" s="1850" customFormat="1" ht="18" customHeight="1">
      <c r="A20" s="3049" t="s">
        <v>1035</v>
      </c>
      <c r="B20" s="3019" t="s">
        <v>1433</v>
      </c>
      <c r="C20" s="3054">
        <f ca="1">ROUND(C19*F20,0)</f>
        <v>129</v>
      </c>
      <c r="D20" s="3061" t="s">
        <v>1434</v>
      </c>
      <c r="E20" s="3019" t="s">
        <v>1416</v>
      </c>
      <c r="F20" s="3057">
        <f>'数据-取费表'!B37</f>
        <v>0.02</v>
      </c>
      <c r="G20" s="1846"/>
      <c r="H20" s="1201" t="s">
        <v>1383</v>
      </c>
      <c r="I20" s="164" t="s">
        <v>1435</v>
      </c>
      <c r="J20" s="25">
        <f ca="1">ROUND(M20*M21/10000,2)</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3049" t="s">
        <v>1071</v>
      </c>
      <c r="B21" s="3019" t="s">
        <v>1438</v>
      </c>
      <c r="C21" s="3054" t="s">
        <v>18</v>
      </c>
      <c r="D21" s="3061" t="s">
        <v>1439</v>
      </c>
      <c r="E21" s="3019" t="s">
        <v>1440</v>
      </c>
      <c r="F21" s="3057">
        <f>'数据-取费表'!B38</f>
        <v>0</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3049" t="s">
        <v>1386</v>
      </c>
      <c r="B22" s="3019" t="s">
        <v>1442</v>
      </c>
      <c r="C22" s="3054"/>
      <c r="D22" s="3059" t="str">
        <f>IF(F23&lt;=1,"单利计息。","复利计息。")&amp;"建造成本、管理费用、销售费用产生的利息。"</f>
        <v>复利计息。建造成本、管理费用、销售费用产生的利息。</v>
      </c>
      <c r="E22" s="3060"/>
      <c r="F22" s="3058"/>
      <c r="G22" s="1843"/>
      <c r="H22" s="1201" t="s">
        <v>1035</v>
      </c>
      <c r="I22" s="347" t="s">
        <v>1443</v>
      </c>
      <c r="J22" s="24">
        <f ca="1">ROUND(J14*M22,1)</f>
        <v>131.1</v>
      </c>
      <c r="K22" s="1790" t="s">
        <v>1444</v>
      </c>
      <c r="L22" s="347" t="s">
        <v>1416</v>
      </c>
      <c r="M22" s="374">
        <f ca="1">INDIRECT("'数据-取费表'!Ak"&amp;$G$1)</f>
        <v>1.7000000000000001E-2</v>
      </c>
    </row>
    <row r="23" spans="1:37" s="1850" customFormat="1" ht="18" customHeight="1">
      <c r="A23" s="3049" t="s">
        <v>1030</v>
      </c>
      <c r="B23" s="3019" t="s">
        <v>1445</v>
      </c>
      <c r="C23" s="3054">
        <f ca="1">IF('数据-取费表'!B22&lt;=1,ROUND(C19*F24*F23/2,0)+ROUND(C20*F24*F23/2,0),ROUND(C19*(POWER((1+F24),F23/2)-1),0)+ROUND(C20*(POWER((1+F24),F23/2)-1),0))</f>
        <v>253</v>
      </c>
      <c r="D23" s="3062" t="str">
        <f>IF(F23&lt;=1,"(建造成本+管理费用)×利率×(建设周期÷2)","(建造成本+管理费用)×((1+利率)^(建设周期÷2)-1)")</f>
        <v>(建造成本+管理费用)×((1+利率)^(建设周期÷2)-1)</v>
      </c>
      <c r="E23" s="3019" t="s">
        <v>1446</v>
      </c>
      <c r="F23" s="3063">
        <f>'数据-取费表'!B20</f>
        <v>2</v>
      </c>
      <c r="G23" s="1846"/>
      <c r="H23" s="1201" t="s">
        <v>1071</v>
      </c>
      <c r="I23" s="347" t="s">
        <v>1447</v>
      </c>
      <c r="J23" s="24">
        <f ca="1">ROUND(J13*M23,1)</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3049" t="s">
        <v>1450</v>
      </c>
      <c r="B24" s="3019" t="s">
        <v>1451</v>
      </c>
      <c r="C24" s="3054">
        <f>ROUND(IF('数据-取费表'!B22&lt;=1,F21*F24*F23/2,F21*(POWER((1+F24),F23/2)-1)),4)</f>
        <v>0</v>
      </c>
      <c r="D24" s="3062" t="str">
        <f>IF(F23&lt;=1,"销售费用×利率×(建设周期÷2)","销售费用×((1+利率)^(建设周期÷2)-1)")</f>
        <v>销售费用×((1+利率)^(建设周期÷2)-1)</v>
      </c>
      <c r="E24" s="3019" t="s">
        <v>1452</v>
      </c>
      <c r="F24" s="3064">
        <f>'数据-取费表'!B40</f>
        <v>3.85E-2</v>
      </c>
      <c r="G24" s="1846"/>
      <c r="H24" s="1339" t="s">
        <v>1387</v>
      </c>
      <c r="I24" s="1340" t="s">
        <v>1433</v>
      </c>
      <c r="J24" s="1341">
        <f ca="1">ROUND(J5*M24,1)</f>
        <v>0</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3049" t="s">
        <v>1454</v>
      </c>
      <c r="B25" s="3019" t="s">
        <v>1455</v>
      </c>
      <c r="C25" s="3054"/>
      <c r="D25" s="3059" t="s">
        <v>1456</v>
      </c>
      <c r="E25" s="3060"/>
      <c r="F25" s="3058"/>
      <c r="G25" s="1843"/>
      <c r="H25" s="1329" t="s">
        <v>1027</v>
      </c>
      <c r="I25" s="1344" t="s">
        <v>1457</v>
      </c>
      <c r="J25" s="355">
        <f ca="1">J5-J16</f>
        <v>-196</v>
      </c>
      <c r="K25" s="1345" t="s">
        <v>1458</v>
      </c>
      <c r="L25" s="1346"/>
      <c r="M25" s="1347"/>
    </row>
    <row r="26" spans="1:37">
      <c r="A26" s="3049" t="s">
        <v>1030</v>
      </c>
      <c r="B26" s="3019" t="s">
        <v>1459</v>
      </c>
      <c r="C26" s="3054">
        <f ca="1">ROUND((C19+C20)*F26,0)</f>
        <v>197</v>
      </c>
      <c r="D26" s="3061" t="s">
        <v>1460</v>
      </c>
      <c r="E26" s="3031" t="s">
        <v>1461</v>
      </c>
      <c r="F26" s="3027">
        <f ca="1">INDIRECT("'数据-取费表'!q"&amp;$G$1)</f>
        <v>0.03</v>
      </c>
      <c r="G26" s="1843"/>
      <c r="H26" s="344" t="s">
        <v>1028</v>
      </c>
      <c r="I26" s="345" t="s">
        <v>1462</v>
      </c>
      <c r="J26" s="346">
        <f ca="1">IF(J5&lt;&gt;0,ROUND(J25*(1-((1+M28)/(1+M26))^M27)/(M26-M28),0),0)</f>
        <v>0</v>
      </c>
      <c r="K26" s="370" t="s">
        <v>1463</v>
      </c>
      <c r="L26" s="347" t="s">
        <v>1464</v>
      </c>
      <c r="M26" s="357">
        <f ca="1">INDIRECT("'数据-取费表'!I"&amp;$G$1)</f>
        <v>5.5E-2</v>
      </c>
    </row>
    <row r="27" spans="1:37" ht="18" customHeight="1">
      <c r="A27" s="3049" t="s">
        <v>1032</v>
      </c>
      <c r="B27" s="3019" t="s">
        <v>1465</v>
      </c>
      <c r="C27" s="3054">
        <f ca="1">ROUND(F21*F26,4)</f>
        <v>0</v>
      </c>
      <c r="D27" s="3061" t="s">
        <v>1466</v>
      </c>
      <c r="E27" s="3055"/>
      <c r="F27" s="3056"/>
      <c r="G27" s="1843"/>
      <c r="H27" s="349"/>
      <c r="I27" s="350"/>
      <c r="J27" s="351"/>
      <c r="K27" s="378" t="s">
        <v>1467</v>
      </c>
      <c r="L27" s="347" t="s">
        <v>1468</v>
      </c>
      <c r="M27" s="379">
        <f ca="1">INDIRECT("'数据-取费表'!ag"&amp;$G$1)</f>
        <v>0</v>
      </c>
    </row>
    <row r="28" spans="1:37" s="1850" customFormat="1" ht="18" customHeight="1">
      <c r="A28" s="3049" t="s">
        <v>1033</v>
      </c>
      <c r="B28" s="3019" t="s">
        <v>1469</v>
      </c>
      <c r="C28" s="3110">
        <f>F28</f>
        <v>0.09</v>
      </c>
      <c r="D28" s="3061" t="s">
        <v>1470</v>
      </c>
      <c r="E28" s="3019" t="s">
        <v>1416</v>
      </c>
      <c r="F28" s="3057">
        <f>'成本法-住宅'!C48</f>
        <v>0.09</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3065" t="s">
        <v>1034</v>
      </c>
      <c r="B29" s="3042" t="s">
        <v>1472</v>
      </c>
      <c r="C29" s="3066">
        <f ca="1">ROUND((C19+C20+C23+C26)/(1-F21-C24-C27-C28),0)</f>
        <v>7710</v>
      </c>
      <c r="D29" s="3067"/>
      <c r="E29" s="3042"/>
      <c r="F29" s="3068"/>
      <c r="G29" s="1846"/>
      <c r="H29" s="380" t="s">
        <v>1029</v>
      </c>
      <c r="I29" s="381" t="s">
        <v>1473</v>
      </c>
      <c r="J29" s="382">
        <f ca="1">ROUND(J26/(1+F41)^F42,0)</f>
        <v>0</v>
      </c>
      <c r="K29" s="383" t="s">
        <v>1474</v>
      </c>
      <c r="L29" s="384"/>
      <c r="M29" s="385">
        <f ca="1">INDIRECT("'数据-取费表'!k"&amp;$G$1)</f>
        <v>9952.6299999999992</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3044" t="s">
        <v>1026</v>
      </c>
      <c r="B30" s="3045" t="s">
        <v>1418</v>
      </c>
      <c r="C30" s="3046">
        <f ca="1">ROUND(C31+C36+C37+C38+C39,0)</f>
        <v>214</v>
      </c>
      <c r="D30" s="3069" t="s">
        <v>1419</v>
      </c>
      <c r="E30" s="3070"/>
      <c r="F30" s="3015"/>
      <c r="G30" s="1843"/>
      <c r="H30" s="745"/>
      <c r="I30" s="746"/>
      <c r="J30" s="747"/>
      <c r="K30" s="748"/>
      <c r="L30" s="749"/>
      <c r="M30" s="750"/>
    </row>
    <row r="31" spans="1:37" ht="18" customHeight="1">
      <c r="A31" s="3049" t="s">
        <v>1031</v>
      </c>
      <c r="B31" s="3019" t="s">
        <v>1423</v>
      </c>
      <c r="C31" s="3054">
        <f ca="1">ROUND(IF(项目基本情况!B11="自然人",C6*F31/(1+'数据-取费表'!C42),C32+C33+C34),1)</f>
        <v>0</v>
      </c>
      <c r="D31" s="3051" t="s">
        <v>1424</v>
      </c>
      <c r="E31" s="3071" t="s">
        <v>1475</v>
      </c>
      <c r="F31" s="3072">
        <v>0</v>
      </c>
      <c r="G31" s="1843"/>
      <c r="H31" s="745"/>
      <c r="I31" s="746"/>
      <c r="J31" s="747"/>
      <c r="K31" s="748"/>
      <c r="L31" s="749"/>
      <c r="M31" s="750"/>
    </row>
    <row r="32" spans="1:37" ht="18" customHeight="1">
      <c r="A32" s="3049" t="s">
        <v>1030</v>
      </c>
      <c r="B32" s="3019" t="s">
        <v>1427</v>
      </c>
      <c r="C32" s="3054">
        <f ca="1">IF(项目基本情况!B11="自然人","——",ROUND(C6*F32/(1+'数据-取费表'!C42),2))</f>
        <v>0</v>
      </c>
      <c r="D32" s="3071" t="s">
        <v>1428</v>
      </c>
      <c r="E32" s="3019" t="s">
        <v>1416</v>
      </c>
      <c r="F32" s="3064"/>
      <c r="G32" s="1843"/>
      <c r="H32" s="745"/>
      <c r="I32" s="746"/>
      <c r="J32" s="747"/>
      <c r="K32" s="748"/>
      <c r="L32" s="749"/>
      <c r="M32" s="750"/>
    </row>
    <row r="33" spans="1:18" ht="18" customHeight="1">
      <c r="A33" s="3049" t="s">
        <v>1032</v>
      </c>
      <c r="B33" s="3019" t="s">
        <v>1431</v>
      </c>
      <c r="C33" s="3054">
        <f ca="1">IF(项目基本情况!B11="自然人","——",IF(D33="按租金收入计税",ROUND(C6*F33/(1+'数据-取费表'!C42),2),IF(D33="按房产原值计税",ROUND(C29*F33*0.7,2),INDIRECT("'数据-取费表'!Aj"&amp;$G$1))))</f>
        <v>0</v>
      </c>
      <c r="D33" s="3073" t="s">
        <v>1432</v>
      </c>
      <c r="E33" s="3019" t="s">
        <v>1416</v>
      </c>
      <c r="F33" s="3057">
        <v>0</v>
      </c>
      <c r="G33" s="1843"/>
      <c r="H33" s="1851"/>
      <c r="I33" s="1852"/>
      <c r="J33" s="1853"/>
      <c r="K33" s="1854"/>
      <c r="L33" s="1851"/>
      <c r="M33" s="1851"/>
    </row>
    <row r="34" spans="1:18" ht="18" customHeight="1">
      <c r="A34" s="3016" t="s">
        <v>1383</v>
      </c>
      <c r="B34" s="3018" t="s">
        <v>1435</v>
      </c>
      <c r="C34" s="3074">
        <f ca="1">IF(项目基本情况!B11="自然人","——",ROUND(F34*F35/10000,2))</f>
        <v>0</v>
      </c>
      <c r="D34" s="3075" t="s">
        <v>1436</v>
      </c>
      <c r="E34" s="3019" t="s">
        <v>1437</v>
      </c>
      <c r="F34" s="3063">
        <v>0</v>
      </c>
      <c r="G34" s="1843"/>
      <c r="H34" s="745"/>
      <c r="I34" s="1852"/>
      <c r="J34" s="1853"/>
      <c r="K34" s="1855"/>
      <c r="L34" s="1856"/>
      <c r="M34" s="1856"/>
    </row>
    <row r="35" spans="1:18" ht="18" customHeight="1">
      <c r="A35" s="3076"/>
      <c r="B35" s="3077"/>
      <c r="C35" s="3078"/>
      <c r="D35" s="3079"/>
      <c r="E35" s="3019" t="s">
        <v>1441</v>
      </c>
      <c r="F35" s="3020">
        <f ca="1">INDIRECT("'数据-取费表'!r"&amp;$G$1)</f>
        <v>0</v>
      </c>
      <c r="G35" s="1843"/>
      <c r="H35" s="745"/>
      <c r="I35" s="1852"/>
      <c r="J35" s="1853"/>
      <c r="K35" s="1854"/>
      <c r="L35" s="1851"/>
      <c r="M35" s="1851"/>
    </row>
    <row r="36" spans="1:18" ht="18" customHeight="1">
      <c r="A36" s="3080" t="s">
        <v>1035</v>
      </c>
      <c r="B36" s="3019" t="s">
        <v>1443</v>
      </c>
      <c r="C36" s="3054">
        <f ca="1">ROUND(C29*F36,1)</f>
        <v>131.1</v>
      </c>
      <c r="D36" s="3071" t="s">
        <v>1476</v>
      </c>
      <c r="E36" s="3019" t="s">
        <v>1416</v>
      </c>
      <c r="F36" s="3081">
        <f ca="1">INDIRECT("'数据-取费表'!Ak"&amp;$G$1)</f>
        <v>1.7000000000000001E-2</v>
      </c>
      <c r="G36" s="1843"/>
      <c r="H36" s="1851"/>
      <c r="I36" s="1852"/>
      <c r="J36" s="1853"/>
      <c r="K36" s="751"/>
      <c r="L36" s="1851"/>
      <c r="M36" s="1851"/>
    </row>
    <row r="37" spans="1:18" ht="18" customHeight="1">
      <c r="A37" s="3049" t="s">
        <v>1071</v>
      </c>
      <c r="B37" s="3019" t="s">
        <v>1447</v>
      </c>
      <c r="C37" s="3054">
        <f ca="1">ROUND(C13*F37,1)</f>
        <v>11.6</v>
      </c>
      <c r="D37" s="3071" t="s">
        <v>1448</v>
      </c>
      <c r="E37" s="3019" t="s">
        <v>1449</v>
      </c>
      <c r="F37" s="3082">
        <f ca="1">INDIRECT("'数据-取费表'!Al"&amp;$G$1)</f>
        <v>1.5E-3</v>
      </c>
      <c r="G37" s="1843"/>
      <c r="H37" s="1851"/>
      <c r="I37" s="1852"/>
      <c r="J37" s="1853"/>
      <c r="K37" s="751"/>
      <c r="L37" s="1851"/>
      <c r="M37" s="1851"/>
    </row>
    <row r="38" spans="1:18" ht="18" customHeight="1">
      <c r="A38" s="3016" t="s">
        <v>3142</v>
      </c>
      <c r="B38" s="3031" t="s">
        <v>3144</v>
      </c>
      <c r="C38" s="3083">
        <f ca="1">ROUND(F38*F7/10000,1)</f>
        <v>35.799999999999997</v>
      </c>
      <c r="D38" s="3084" t="s">
        <v>3145</v>
      </c>
      <c r="E38" s="3085" t="s">
        <v>3147</v>
      </c>
      <c r="F38" s="3086">
        <f>3*12</f>
        <v>36</v>
      </c>
      <c r="G38" s="1843"/>
      <c r="H38" s="1851"/>
      <c r="I38" s="1852"/>
      <c r="J38" s="1853"/>
      <c r="K38" s="751"/>
      <c r="L38" s="1851"/>
      <c r="M38" s="1851"/>
    </row>
    <row r="39" spans="1:18" ht="18" customHeight="1" thickBot="1">
      <c r="A39" s="3087" t="s">
        <v>3143</v>
      </c>
      <c r="B39" s="3042" t="s">
        <v>1433</v>
      </c>
      <c r="C39" s="3088">
        <f ca="1">ROUND(F39*F7/10000,1)</f>
        <v>35.799999999999997</v>
      </c>
      <c r="D39" s="3089" t="s">
        <v>3146</v>
      </c>
      <c r="E39" s="3090" t="s">
        <v>3147</v>
      </c>
      <c r="F39" s="3091">
        <f>12*3</f>
        <v>36</v>
      </c>
      <c r="G39" s="1843"/>
      <c r="H39" s="1851"/>
      <c r="I39" s="1852"/>
      <c r="J39" s="1853"/>
      <c r="K39" s="1857"/>
      <c r="L39" s="1851"/>
      <c r="M39" s="1851"/>
    </row>
    <row r="40" spans="1:18" ht="24.6" customHeight="1" thickTop="1">
      <c r="A40" s="3044" t="s">
        <v>1027</v>
      </c>
      <c r="B40" s="3092" t="s">
        <v>1477</v>
      </c>
      <c r="C40" s="3046">
        <f ca="1">C5-C30</f>
        <v>323</v>
      </c>
      <c r="D40" s="3093" t="s">
        <v>1478</v>
      </c>
      <c r="E40" s="3094"/>
      <c r="F40" s="3095"/>
      <c r="G40" s="1843"/>
      <c r="H40" s="1851"/>
      <c r="I40" s="1852"/>
      <c r="J40" s="1853"/>
      <c r="K40" s="1857"/>
      <c r="L40" s="1851"/>
      <c r="M40" s="1851"/>
    </row>
    <row r="41" spans="1:18" ht="18" customHeight="1">
      <c r="A41" s="3010" t="s">
        <v>1028</v>
      </c>
      <c r="B41" s="3011" t="s">
        <v>1479</v>
      </c>
      <c r="C41" s="3096">
        <f ca="1">ROUND(C40*(1-((1+F43)/(1+F41))^F42)/(F41-F43),0)</f>
        <v>10770</v>
      </c>
      <c r="D41" s="3075" t="s">
        <v>1463</v>
      </c>
      <c r="E41" s="3019" t="s">
        <v>1464</v>
      </c>
      <c r="F41" s="3162">
        <f ca="1">INDIRECT("'数据-取费表'!I"&amp;$G$1)</f>
        <v>5.5E-2</v>
      </c>
      <c r="G41" s="1843"/>
      <c r="H41" s="1831"/>
      <c r="I41" s="1852"/>
      <c r="J41" s="1853"/>
      <c r="K41" s="1857"/>
      <c r="L41" s="1831"/>
      <c r="M41" s="1831"/>
    </row>
    <row r="42" spans="1:18" ht="18" customHeight="1">
      <c r="A42" s="3025"/>
      <c r="B42" s="3097"/>
      <c r="C42" s="3026"/>
      <c r="D42" s="3098" t="s">
        <v>1480</v>
      </c>
      <c r="E42" s="3019" t="s">
        <v>1468</v>
      </c>
      <c r="F42" s="3099">
        <f ca="1">IF(INDIRECT("'数据-取费表'!af"&amp;$G$1)=0,INDIRECT("'数据-取费表'!ae"&amp;$G$1),INDIRECT("'数据-取费表'!af"&amp;$G$1))</f>
        <v>70</v>
      </c>
      <c r="G42" s="1843"/>
      <c r="H42" s="732"/>
      <c r="I42" s="1852"/>
      <c r="J42" s="1853"/>
      <c r="K42" s="751"/>
      <c r="L42" s="732"/>
      <c r="M42" s="732"/>
    </row>
    <row r="43" spans="1:18" ht="18" customHeight="1">
      <c r="A43" s="3033"/>
      <c r="B43" s="3100"/>
      <c r="C43" s="3046"/>
      <c r="D43" s="3079"/>
      <c r="E43" s="3019" t="s">
        <v>1471</v>
      </c>
      <c r="F43" s="3027">
        <f ca="1">INDIRECT("'数据-取费表'!v"&amp;$G$1)</f>
        <v>3.1E-2</v>
      </c>
      <c r="G43" s="1843"/>
      <c r="H43" s="732"/>
      <c r="I43" s="1852"/>
      <c r="J43" s="1853"/>
      <c r="K43" s="751"/>
      <c r="L43" s="732"/>
      <c r="M43" s="732"/>
    </row>
    <row r="44" spans="1:18" ht="18" customHeight="1" thickBot="1">
      <c r="A44" s="3101" t="s">
        <v>1029</v>
      </c>
      <c r="B44" s="3102" t="s">
        <v>1481</v>
      </c>
      <c r="C44" s="3103">
        <f ca="1">ROUND(C41*10000/F44,0)</f>
        <v>10821</v>
      </c>
      <c r="D44" s="3104" t="s">
        <v>1482</v>
      </c>
      <c r="E44" s="3105" t="s">
        <v>1483</v>
      </c>
      <c r="F44" s="3106">
        <f ca="1">INDIRECT("'数据-取费表'!k"&amp;$G$1)</f>
        <v>9952.6299999999992</v>
      </c>
      <c r="G44" s="1843"/>
      <c r="H44" s="732"/>
      <c r="I44" s="732"/>
      <c r="J44" s="732"/>
      <c r="K44" s="751"/>
      <c r="L44" s="732"/>
      <c r="M44" s="732"/>
    </row>
    <row r="45" spans="1:18" s="1834" customFormat="1" ht="18" customHeight="1">
      <c r="A45" s="1858"/>
      <c r="B45" s="1858"/>
      <c r="C45" s="1859"/>
      <c r="D45" s="1858"/>
      <c r="E45" s="1858"/>
      <c r="F45" s="1858"/>
      <c r="K45" s="1860"/>
    </row>
    <row r="46" spans="1:18" s="1834" customFormat="1" ht="18" customHeight="1" thickBot="1">
      <c r="A46" s="1858"/>
      <c r="B46" s="1858"/>
      <c r="C46" s="1859"/>
      <c r="D46" s="1858"/>
      <c r="E46" s="1858"/>
      <c r="F46" s="1858"/>
      <c r="J46" s="796"/>
      <c r="O46" s="1861" t="s">
        <v>1513</v>
      </c>
      <c r="P46" s="1831"/>
      <c r="Q46" s="1831"/>
      <c r="R46" s="1831"/>
    </row>
    <row r="47" spans="1:18" s="1834" customFormat="1" ht="13.5" thickBot="1">
      <c r="A47" s="1862" t="s">
        <v>1514</v>
      </c>
      <c r="C47" s="1863">
        <f ca="1">C69-C41</f>
        <v>-13309</v>
      </c>
      <c r="D47" s="1864" t="str">
        <f>C2</f>
        <v>万元</v>
      </c>
      <c r="E47" s="1858"/>
      <c r="F47" s="1858"/>
      <c r="I47" s="1865" t="s">
        <v>1515</v>
      </c>
      <c r="J47" s="1866"/>
      <c r="K47" s="1867"/>
      <c r="L47" s="1868">
        <f>IF(M48="住宅",0,IF(L49&gt;J52,L61,J61))</f>
        <v>0</v>
      </c>
      <c r="O47" s="1869" t="s">
        <v>1516</v>
      </c>
      <c r="P47" s="1870" t="s">
        <v>1517</v>
      </c>
      <c r="Q47" s="1871" t="s">
        <v>1518</v>
      </c>
      <c r="R47" s="1871" t="s">
        <v>1519</v>
      </c>
    </row>
    <row r="48" spans="1:18" s="1834" customFormat="1" ht="13.5" thickBot="1">
      <c r="A48" s="1165" t="s">
        <v>1390</v>
      </c>
      <c r="B48" s="1197" t="s">
        <v>1391</v>
      </c>
      <c r="C48" s="1367" t="s">
        <v>1392</v>
      </c>
      <c r="D48" s="1197" t="s">
        <v>1393</v>
      </c>
      <c r="E48" s="1279" t="s">
        <v>1394</v>
      </c>
      <c r="F48" s="1280"/>
      <c r="G48" s="792"/>
      <c r="I48" s="1872" t="s">
        <v>1520</v>
      </c>
      <c r="J48" s="1873"/>
      <c r="K48" s="1874" t="s">
        <v>1521</v>
      </c>
      <c r="L48" s="1875">
        <f ca="1">INDIRECT("'数据-取费表'!d"&amp;$G$1)</f>
        <v>70</v>
      </c>
      <c r="M48" s="1830" t="str">
        <f>IF(ISNUMBER(FIND("住宅",C1)),"住宅","非住宅")</f>
        <v>住宅</v>
      </c>
      <c r="O48" s="1876" t="s">
        <v>1036</v>
      </c>
      <c r="P48" s="1877" t="s">
        <v>1522</v>
      </c>
      <c r="Q48" s="1878">
        <f ca="1">C41+J29</f>
        <v>10770</v>
      </c>
      <c r="R48" s="1878" t="s">
        <v>1523</v>
      </c>
    </row>
    <row r="49" spans="1:18" s="1834" customFormat="1" ht="28.5" thickBot="1">
      <c r="A49" s="1360" t="s">
        <v>1131</v>
      </c>
      <c r="B49" s="345" t="s">
        <v>1395</v>
      </c>
      <c r="C49" s="1809">
        <f ca="1">C50+C54+C56</f>
        <v>0</v>
      </c>
      <c r="D49" s="1362"/>
      <c r="E49" s="1363"/>
      <c r="F49" s="1181"/>
      <c r="G49" s="792"/>
      <c r="H49" s="793"/>
      <c r="I49" s="1879" t="s">
        <v>1524</v>
      </c>
      <c r="J49" s="1880"/>
      <c r="K49" s="1881" t="s">
        <v>1525</v>
      </c>
      <c r="L49" s="1882">
        <f ca="1">INDIRECT("'数据-取费表'!f"&amp;$G$1)</f>
        <v>70</v>
      </c>
      <c r="O49" s="1876" t="s">
        <v>1037</v>
      </c>
      <c r="P49" s="1877" t="s">
        <v>1526</v>
      </c>
      <c r="Q49" s="1878" t="str">
        <f ca="1">J61</f>
        <v>0</v>
      </c>
      <c r="R49" s="1878" t="s">
        <v>1527</v>
      </c>
    </row>
    <row r="50" spans="1:18" s="1834" customFormat="1" ht="13.5" thickBot="1">
      <c r="A50" s="1194" t="s">
        <v>1132</v>
      </c>
      <c r="B50" s="1821" t="s">
        <v>1484</v>
      </c>
      <c r="C50" s="1364">
        <f ca="1">ROUND(F50*F52*F51*(1-F53)/10000,0)</f>
        <v>0</v>
      </c>
      <c r="D50" s="1276" t="s">
        <v>3027</v>
      </c>
      <c r="E50" s="1822" t="s">
        <v>1485</v>
      </c>
      <c r="F50" s="1281"/>
      <c r="G50" s="1883"/>
      <c r="H50" s="793"/>
      <c r="I50" s="1879" t="s">
        <v>1528</v>
      </c>
      <c r="J50" s="1884"/>
      <c r="K50" s="1881" t="s">
        <v>1529</v>
      </c>
      <c r="L50" s="1885"/>
      <c r="O50" s="1886" t="s">
        <v>1038</v>
      </c>
      <c r="P50" s="1877" t="s">
        <v>1530</v>
      </c>
      <c r="Q50" s="1878">
        <f ca="1">C29</f>
        <v>7710</v>
      </c>
      <c r="R50" s="1878" t="s">
        <v>1523</v>
      </c>
    </row>
    <row r="51" spans="1:18" s="1834" customFormat="1" ht="13.5" thickBot="1">
      <c r="A51" s="1195"/>
      <c r="B51" s="1198"/>
      <c r="C51" s="1368"/>
      <c r="D51" s="1172"/>
      <c r="E51" s="1277" t="s">
        <v>1400</v>
      </c>
      <c r="F51" s="1278">
        <f ca="1">F7</f>
        <v>9952.6299999999992</v>
      </c>
      <c r="H51" s="793"/>
      <c r="I51" s="1879" t="s">
        <v>1531</v>
      </c>
      <c r="J51" s="1887">
        <f>SUMPRODUCT((I64:I66=J48)*(J63:L63=J49)*(J64:L66))</f>
        <v>0</v>
      </c>
      <c r="K51" s="1881" t="s">
        <v>1532</v>
      </c>
      <c r="L51" s="1885"/>
      <c r="M51" s="1888"/>
      <c r="O51" s="1886" t="s">
        <v>1039</v>
      </c>
      <c r="P51" s="1877" t="s">
        <v>1533</v>
      </c>
      <c r="Q51" s="1889" t="e">
        <f ca="1">J59</f>
        <v>#VALUE!</v>
      </c>
      <c r="R51" s="1878"/>
    </row>
    <row r="52" spans="1:18" s="1834" customFormat="1" ht="13.5" thickBot="1">
      <c r="A52" s="1196"/>
      <c r="B52" s="1198"/>
      <c r="C52" s="1199"/>
      <c r="D52" s="1172"/>
      <c r="E52" s="1200" t="s">
        <v>1401</v>
      </c>
      <c r="F52" s="348">
        <f ca="1">F8</f>
        <v>12</v>
      </c>
      <c r="I52" s="1890" t="s">
        <v>1534</v>
      </c>
      <c r="J52" s="1891">
        <f>IF(J50="",J51,J50+J51-YEAR('数据-取费表'!B2))</f>
        <v>0</v>
      </c>
      <c r="K52" s="1892" t="s">
        <v>1535</v>
      </c>
      <c r="L52" s="1893">
        <f ca="1">ROUND(-PV(INDIRECT("'数据-取费表'!h"&amp;$G$1),J52,(C40-C13*C77),0),0)</f>
        <v>0</v>
      </c>
      <c r="M52" s="1894"/>
      <c r="O52" s="1886" t="s">
        <v>1040</v>
      </c>
      <c r="P52" s="1877" t="s">
        <v>1536</v>
      </c>
      <c r="Q52" s="1889">
        <f>J53</f>
        <v>0</v>
      </c>
      <c r="R52" s="1878"/>
    </row>
    <row r="53" spans="1:18" s="1834" customFormat="1" ht="13.5" thickBot="1">
      <c r="A53" s="1196"/>
      <c r="B53" s="1198"/>
      <c r="C53" s="1199"/>
      <c r="D53" s="1172"/>
      <c r="E53" s="1200" t="s">
        <v>1402</v>
      </c>
      <c r="F53" s="1275"/>
      <c r="I53" s="1895" t="s">
        <v>1537</v>
      </c>
      <c r="J53" s="1896"/>
      <c r="K53" s="1895" t="s">
        <v>1538</v>
      </c>
      <c r="L53" s="1896"/>
      <c r="O53" s="1886" t="s">
        <v>1041</v>
      </c>
      <c r="P53" s="1877" t="s">
        <v>1539</v>
      </c>
      <c r="Q53" s="1878">
        <f ca="1">J54</f>
        <v>70</v>
      </c>
      <c r="R53" s="1878" t="s">
        <v>1540</v>
      </c>
    </row>
    <row r="54" spans="1:18" s="1834" customFormat="1" ht="24.75" thickBot="1">
      <c r="A54" s="1405" t="s">
        <v>1133</v>
      </c>
      <c r="B54" s="1823" t="s">
        <v>1403</v>
      </c>
      <c r="C54" s="361">
        <f ca="1">ROUND(IF(F54="押一",C50/12*F11,IF(F54="押二",C50/12*2*F11,IF(F54="押三",C50/12*3*F11,C55*F11))),0)</f>
        <v>0</v>
      </c>
      <c r="D54" s="1816" t="s">
        <v>3034</v>
      </c>
      <c r="E54" s="358" t="s">
        <v>1404</v>
      </c>
      <c r="F54" s="1366"/>
      <c r="I54" s="1897" t="s">
        <v>1541</v>
      </c>
      <c r="J54" s="2944">
        <f ca="1">IF(M48="住宅",IF(D1="——",MAX(J52,L49),MAX(J52,L49-'数据-取费表'!B24)),IF(D1="——",MIN(J52,L49),MIN(J52,L49-'数据-取费表'!B24)))</f>
        <v>70</v>
      </c>
      <c r="K54" s="3429" t="s">
        <v>1542</v>
      </c>
      <c r="L54" s="3430"/>
      <c r="O54" s="1876" t="s">
        <v>1042</v>
      </c>
      <c r="P54" s="1877" t="s">
        <v>1543</v>
      </c>
      <c r="Q54" s="1878">
        <f ca="1">Q48+Q49</f>
        <v>10770</v>
      </c>
      <c r="R54" s="1878" t="s">
        <v>1043</v>
      </c>
    </row>
    <row r="55" spans="1:18" s="1834" customFormat="1" ht="13.5" thickBot="1">
      <c r="A55" s="1406"/>
      <c r="B55" s="1817" t="s">
        <v>1382</v>
      </c>
      <c r="C55" s="1178"/>
      <c r="D55" s="1816"/>
      <c r="E55" s="1824"/>
      <c r="F55" s="1898"/>
      <c r="I55" s="189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900"/>
      <c r="K55" s="1900"/>
      <c r="L55" s="1900"/>
      <c r="M55" s="1883"/>
      <c r="O55" s="1861" t="s">
        <v>1544</v>
      </c>
      <c r="P55" s="1831"/>
      <c r="Q55" s="1831"/>
      <c r="R55" s="1831"/>
    </row>
    <row r="56" spans="1:18" s="1834" customFormat="1" ht="13.5" thickBot="1">
      <c r="A56" s="1333" t="s">
        <v>1071</v>
      </c>
      <c r="B56" s="1819" t="s">
        <v>1407</v>
      </c>
      <c r="C56" s="1334"/>
      <c r="D56" s="1816"/>
      <c r="E56" s="1824"/>
      <c r="F56" s="1898"/>
      <c r="I56" s="1901" t="s">
        <v>1545</v>
      </c>
      <c r="J56" s="1902" t="e">
        <f ca="1">ROUND(IF(J48="钢混",J58/J51,1-(1-2%)*(J51-J58)/J51),3)</f>
        <v>#VALUE!</v>
      </c>
      <c r="K56" s="1903" t="s">
        <v>1546</v>
      </c>
      <c r="L56" s="1904" t="s">
        <v>1547</v>
      </c>
      <c r="O56" s="1869" t="s">
        <v>1516</v>
      </c>
      <c r="P56" s="1870" t="s">
        <v>1517</v>
      </c>
      <c r="Q56" s="1871" t="s">
        <v>1518</v>
      </c>
      <c r="R56" s="1871" t="s">
        <v>1519</v>
      </c>
    </row>
    <row r="57" spans="1:18" s="1834" customFormat="1" ht="25.5" thickTop="1" thickBot="1">
      <c r="A57" s="1176">
        <v>2</v>
      </c>
      <c r="B57" s="1177" t="s">
        <v>1408</v>
      </c>
      <c r="C57" s="276">
        <f ca="1">C13</f>
        <v>7710</v>
      </c>
      <c r="D57" s="1905"/>
      <c r="E57" s="1906"/>
      <c r="F57" s="1898"/>
      <c r="I57" s="1907" t="s">
        <v>1548</v>
      </c>
      <c r="J57" s="1908"/>
      <c r="K57" s="1879" t="s">
        <v>1549</v>
      </c>
      <c r="L57" s="1882">
        <f ca="1">IF(L49&lt;J52,"——",L49-J54)</f>
        <v>0</v>
      </c>
      <c r="O57" s="1876" t="s">
        <v>1036</v>
      </c>
      <c r="P57" s="1877" t="s">
        <v>1522</v>
      </c>
      <c r="Q57" s="1878">
        <f ca="1">C41+J29</f>
        <v>10770</v>
      </c>
      <c r="R57" s="1878" t="s">
        <v>1523</v>
      </c>
    </row>
    <row r="58" spans="1:18" s="1834" customFormat="1" ht="24.75" thickBot="1">
      <c r="A58" s="1909"/>
      <c r="B58" s="1169" t="s">
        <v>1472</v>
      </c>
      <c r="C58" s="282">
        <f ca="1">C29</f>
        <v>7710</v>
      </c>
      <c r="D58" s="1910"/>
      <c r="E58" s="1911"/>
      <c r="F58" s="1912"/>
      <c r="I58" s="1913" t="s">
        <v>1550</v>
      </c>
      <c r="J58" s="1914" t="str">
        <f ca="1">IF(OR(M48="住宅",J52&lt;L49,J57="是"),"——",J52-L49)</f>
        <v>——</v>
      </c>
      <c r="K58" s="1879" t="s">
        <v>1551</v>
      </c>
      <c r="L58" s="1882">
        <f ca="1">IF(L49&lt;J52,"——",IF(L56="比较法",L50,IF(L56="基准地价",L51,L52)))</f>
        <v>0</v>
      </c>
      <c r="O58" s="1876" t="s">
        <v>1037</v>
      </c>
      <c r="P58" s="1877" t="s">
        <v>1552</v>
      </c>
      <c r="Q58" s="1878">
        <f ca="1">L61</f>
        <v>0</v>
      </c>
      <c r="R58" s="1878" t="s">
        <v>1553</v>
      </c>
    </row>
    <row r="59" spans="1:18" s="1834" customFormat="1" ht="24.75" thickBot="1">
      <c r="A59" s="360" t="s">
        <v>1026</v>
      </c>
      <c r="B59" s="1177" t="s">
        <v>1418</v>
      </c>
      <c r="C59" s="361">
        <f ca="1">ROUND(C60+C65+C66+C67,0)</f>
        <v>143</v>
      </c>
      <c r="D59" s="1179" t="s">
        <v>1419</v>
      </c>
      <c r="E59" s="1180"/>
      <c r="F59" s="1181"/>
      <c r="I59" s="1913" t="s">
        <v>1554</v>
      </c>
      <c r="J59" s="1915" t="e">
        <f ca="1">IF(J56&lt;0.4,0.4,J56)</f>
        <v>#VALUE!</v>
      </c>
      <c r="K59" s="1892" t="s">
        <v>1555</v>
      </c>
      <c r="L59" s="1882" t="e">
        <f ca="1">ROUND(POWER(1+L53,L48-L49)*(POWER(1+L53,L49)-1)/(POWER(1+L53,L48)-1),4)</f>
        <v>#DIV/0!</v>
      </c>
      <c r="O59" s="1886" t="s">
        <v>1038</v>
      </c>
      <c r="P59" s="1877" t="s">
        <v>1556</v>
      </c>
      <c r="Q59" s="1878">
        <f>IF(L56="比较法",L50,IF(L56="基准地价",L51,0))</f>
        <v>0</v>
      </c>
      <c r="R59" s="1878" t="s">
        <v>1523</v>
      </c>
    </row>
    <row r="60" spans="1:18" s="1834" customFormat="1" ht="24.75" thickBot="1">
      <c r="A60" s="1201" t="s">
        <v>1031</v>
      </c>
      <c r="B60" s="1169" t="s">
        <v>1423</v>
      </c>
      <c r="C60" s="24">
        <f ca="1">ROUND(IF(项目基本情况!B11="自然人",C49*F60,C61+C62+C63),1)</f>
        <v>0</v>
      </c>
      <c r="D60" s="1182" t="s">
        <v>1424</v>
      </c>
      <c r="E60" s="1183" t="s">
        <v>1425</v>
      </c>
      <c r="F60" s="368">
        <f ca="1">IF(项目基本情况!B11="企业","",IF(INDIRECT("'数据-取费表'!c"&amp;$G$1)="住宅",5%,IF(F50*F51*F52/12/(1+'数据-取费表'!C42)&gt;20000,12%,7%)))</f>
        <v>0.05</v>
      </c>
      <c r="I60" s="1913" t="s">
        <v>1557</v>
      </c>
      <c r="J60" s="1914" t="str">
        <f ca="1">IF(OR(M48="住宅",J52&lt;L49,J57="是"),"——",ROUND(C29*J59,0))</f>
        <v>——</v>
      </c>
      <c r="K60"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0" s="1882" t="e">
        <f ca="1">ROUND(IF(D1="在建（套用方法）",M60,IF(D1="土地（套用方法）",N60,POWER(1+L53,L48-J52)*(POWER(1+L53,J52)-1)/(POWER(1+L53,L48)-1))),4)</f>
        <v>#DIV/0!</v>
      </c>
      <c r="M60" s="1830" t="e">
        <f ca="1">ROUND(POWER(1+L53,L48-(J52+'数据-取费表'!B24))*(POWER(1+L53,(J52+'数据-取费表'!B24))-1)/(POWER(1+L53,L48)-1),4)</f>
        <v>#DIV/0!</v>
      </c>
      <c r="N60" s="1830" t="e">
        <f ca="1">ROUND(POWER(1+L53,L48-(J52+'数据-取费表'!B20))*(POWER(1+L53,(J52+'数据-取费表'!B20))-1)/(POWER(1+L53,L48)-1),4)</f>
        <v>#DIV/0!</v>
      </c>
      <c r="O60" s="1886" t="s">
        <v>1039</v>
      </c>
      <c r="P60" s="1877" t="s">
        <v>1558</v>
      </c>
      <c r="Q60" s="1889">
        <f>L53</f>
        <v>0</v>
      </c>
      <c r="R60" s="1878"/>
    </row>
    <row r="61" spans="1:18" s="1834" customFormat="1" ht="16.5" thickBot="1">
      <c r="A61" s="1201" t="s">
        <v>1030</v>
      </c>
      <c r="B61" s="1169" t="s">
        <v>1427</v>
      </c>
      <c r="C61" s="24">
        <f ca="1">IF(项目基本情况!B11="自然人","——",ROUND(C49*F61/(1+'数据-取费表'!C42),2))</f>
        <v>0</v>
      </c>
      <c r="D61" s="1183" t="s">
        <v>1428</v>
      </c>
      <c r="E61" s="1169" t="s">
        <v>1416</v>
      </c>
      <c r="F61" s="377">
        <f t="shared" ref="F61:F66" si="0">F32</f>
        <v>0</v>
      </c>
      <c r="I61" s="1916" t="s">
        <v>1559</v>
      </c>
      <c r="J61" s="1917" t="str">
        <f ca="1">IF(OR(M48="住宅",J52&lt;L49,J57="是"),"0",ROUND(J60/(1+J53)^J54,0))</f>
        <v>0</v>
      </c>
      <c r="K61" s="1918" t="s">
        <v>1560</v>
      </c>
      <c r="L61" s="1917">
        <f ca="1">IF(OR(M48="住宅",L49&lt;J52),0,ROUND(L58*(L59/L60-1),0))</f>
        <v>0</v>
      </c>
      <c r="O61" s="1886" t="s">
        <v>1040</v>
      </c>
      <c r="P61" s="1877" t="s">
        <v>1561</v>
      </c>
      <c r="Q61" s="1878" t="e">
        <f ca="1">L59</f>
        <v>#DIV/0!</v>
      </c>
      <c r="R61" s="1878" t="s">
        <v>1562</v>
      </c>
    </row>
    <row r="62" spans="1:18" s="1834" customFormat="1" ht="13.5" thickBot="1">
      <c r="A62" s="1201" t="s">
        <v>1486</v>
      </c>
      <c r="B62" s="1169" t="s">
        <v>1487</v>
      </c>
      <c r="C62" s="24">
        <f ca="1">IF(项目基本情况!B11="自然人","——",IF(D62="按租金收入计税",ROUND(C49*F62,2),IF(D62="按房产原值计税",ROUND(C58*F62*0.7,2),INDIRECT("'数据-取费表'!Aj"&amp;$G$1))))</f>
        <v>0</v>
      </c>
      <c r="D62" s="1820" t="s">
        <v>1432</v>
      </c>
      <c r="E62" s="1169" t="s">
        <v>1488</v>
      </c>
      <c r="F62" s="367">
        <f t="shared" si="0"/>
        <v>0</v>
      </c>
      <c r="I62" s="1919"/>
      <c r="J62" s="1919"/>
      <c r="K62" s="1919"/>
      <c r="L62" s="1919"/>
      <c r="O62" s="1886" t="s">
        <v>1041</v>
      </c>
      <c r="P62" s="1877" t="str">
        <f>K60</f>
        <v>建设期及建筑物耐用年限下的土地年期修正系数Kn</v>
      </c>
      <c r="Q62" s="1878" t="e">
        <f ca="1">L60</f>
        <v>#DIV/0!</v>
      </c>
      <c r="R62" s="1878" t="s">
        <v>1563</v>
      </c>
    </row>
    <row r="63" spans="1:18" s="1834" customFormat="1" ht="13.5" thickBot="1">
      <c r="A63" s="1201" t="s">
        <v>1489</v>
      </c>
      <c r="B63" s="1168" t="s">
        <v>1490</v>
      </c>
      <c r="C63" s="25">
        <f ca="1">IF(项目基本情况!B11="自然人","——",ROUND(F63*F64/10000,2))</f>
        <v>0</v>
      </c>
      <c r="D63" s="1184" t="s">
        <v>1491</v>
      </c>
      <c r="E63" s="1169" t="s">
        <v>1492</v>
      </c>
      <c r="F63" s="371">
        <f t="shared" si="0"/>
        <v>0</v>
      </c>
      <c r="I63" s="1920" t="s">
        <v>1564</v>
      </c>
      <c r="J63" s="1921" t="s">
        <v>1565</v>
      </c>
      <c r="K63" s="1921" t="s">
        <v>1566</v>
      </c>
      <c r="L63" s="1921" t="s">
        <v>1567</v>
      </c>
      <c r="M63" s="1922" t="s">
        <v>1568</v>
      </c>
      <c r="O63" s="1876" t="s">
        <v>1042</v>
      </c>
      <c r="P63" s="1877" t="s">
        <v>1569</v>
      </c>
      <c r="Q63" s="1878">
        <f ca="1">Q57+Q58</f>
        <v>10770</v>
      </c>
      <c r="R63" s="1878" t="s">
        <v>1043</v>
      </c>
    </row>
    <row r="64" spans="1:18" s="1834" customFormat="1" ht="13.5" thickBot="1">
      <c r="A64" s="372"/>
      <c r="B64" s="1175"/>
      <c r="C64" s="29"/>
      <c r="D64" s="1185"/>
      <c r="E64" s="1169" t="s">
        <v>1493</v>
      </c>
      <c r="F64" s="348">
        <f t="shared" ca="1" si="0"/>
        <v>0</v>
      </c>
      <c r="I64" s="1920" t="s">
        <v>1570</v>
      </c>
      <c r="J64" s="1921">
        <v>70</v>
      </c>
      <c r="K64" s="1921">
        <v>50</v>
      </c>
      <c r="L64" s="1921">
        <v>80</v>
      </c>
      <c r="M64" s="1923">
        <v>0.02</v>
      </c>
      <c r="O64" s="1861" t="s">
        <v>1571</v>
      </c>
      <c r="P64" s="1831"/>
      <c r="Q64" s="1831"/>
      <c r="R64" s="1831"/>
    </row>
    <row r="65" spans="1:18" s="1834" customFormat="1" ht="13.5" thickBot="1">
      <c r="A65" s="1201" t="s">
        <v>1494</v>
      </c>
      <c r="B65" s="1169" t="s">
        <v>1495</v>
      </c>
      <c r="C65" s="24">
        <f ca="1">ROUND(C58*F65,1)</f>
        <v>131.1</v>
      </c>
      <c r="D65" s="1183" t="s">
        <v>1496</v>
      </c>
      <c r="E65" s="1169" t="s">
        <v>1488</v>
      </c>
      <c r="F65" s="374">
        <f t="shared" ca="1" si="0"/>
        <v>1.7000000000000001E-2</v>
      </c>
      <c r="I65" s="1920" t="s">
        <v>1572</v>
      </c>
      <c r="J65" s="1921">
        <v>50</v>
      </c>
      <c r="K65" s="1921">
        <v>35</v>
      </c>
      <c r="L65" s="1921">
        <v>60</v>
      </c>
      <c r="M65" s="1922">
        <v>0</v>
      </c>
      <c r="O65" s="1869" t="s">
        <v>1516</v>
      </c>
      <c r="P65" s="1870" t="s">
        <v>1517</v>
      </c>
      <c r="Q65" s="1871" t="s">
        <v>1518</v>
      </c>
      <c r="R65" s="1871" t="s">
        <v>1519</v>
      </c>
    </row>
    <row r="66" spans="1:18" s="1834" customFormat="1" ht="13.5" thickBot="1">
      <c r="A66" s="1201" t="s">
        <v>1497</v>
      </c>
      <c r="B66" s="1169" t="s">
        <v>1447</v>
      </c>
      <c r="C66" s="24">
        <f ca="1">ROUND(C57*F66,1)</f>
        <v>11.6</v>
      </c>
      <c r="D66" s="1183" t="s">
        <v>1448</v>
      </c>
      <c r="E66" s="1169" t="s">
        <v>1449</v>
      </c>
      <c r="F66" s="376">
        <f t="shared" ca="1" si="0"/>
        <v>1.5E-3</v>
      </c>
      <c r="I66" s="1920" t="s">
        <v>1573</v>
      </c>
      <c r="J66" s="1921">
        <v>40</v>
      </c>
      <c r="K66" s="1921">
        <v>30</v>
      </c>
      <c r="L66" s="1921">
        <v>50</v>
      </c>
      <c r="M66" s="1923">
        <v>0.02</v>
      </c>
      <c r="O66" s="1876" t="s">
        <v>1036</v>
      </c>
      <c r="P66" s="1877" t="s">
        <v>1574</v>
      </c>
      <c r="Q66" s="1878">
        <f ca="1">C41+J29</f>
        <v>10770</v>
      </c>
      <c r="R66" s="1878" t="s">
        <v>1523</v>
      </c>
    </row>
    <row r="67" spans="1:18" s="1834" customFormat="1" ht="16.5" thickBot="1">
      <c r="A67" s="1201" t="s">
        <v>1498</v>
      </c>
      <c r="B67" s="1169" t="s">
        <v>1433</v>
      </c>
      <c r="C67" s="24">
        <f ca="1">ROUND(C49*F67,1)</f>
        <v>0</v>
      </c>
      <c r="D67" s="1183" t="s">
        <v>1499</v>
      </c>
      <c r="E67" s="1169" t="s">
        <v>1416</v>
      </c>
      <c r="F67" s="357">
        <f t="shared" ref="F67" si="1">F39</f>
        <v>36</v>
      </c>
      <c r="O67" s="1876" t="s">
        <v>1037</v>
      </c>
      <c r="P67" s="1877" t="s">
        <v>1552</v>
      </c>
      <c r="Q67" s="1878">
        <f ca="1">L61</f>
        <v>0</v>
      </c>
      <c r="R67" s="1878" t="s">
        <v>1575</v>
      </c>
    </row>
    <row r="68" spans="1:18" s="1834" customFormat="1" ht="16.5" thickBot="1">
      <c r="A68" s="1176" t="s">
        <v>1027</v>
      </c>
      <c r="B68" s="1186" t="s">
        <v>1457</v>
      </c>
      <c r="C68" s="361">
        <f ca="1">C49-C59</f>
        <v>-143</v>
      </c>
      <c r="D68" s="1182" t="s">
        <v>1458</v>
      </c>
      <c r="E68" s="1187"/>
      <c r="F68" s="1188"/>
      <c r="O68" s="1886" t="s">
        <v>1038</v>
      </c>
      <c r="P68" s="1877" t="s">
        <v>1556</v>
      </c>
      <c r="Q68" s="1924">
        <f ca="1">L52</f>
        <v>0</v>
      </c>
      <c r="R68" s="1878" t="s">
        <v>1576</v>
      </c>
    </row>
    <row r="69" spans="1:18" s="1834" customFormat="1" ht="16.5" thickBot="1">
      <c r="A69" s="1166" t="s">
        <v>1028</v>
      </c>
      <c r="B69" s="1167" t="s">
        <v>1479</v>
      </c>
      <c r="C69" s="346">
        <f ca="1">ROUND(C68*(1-((1+F71)/(1+F69))^F70)/(F69-F71),0)</f>
        <v>-2539</v>
      </c>
      <c r="D69" s="1184" t="s">
        <v>1463</v>
      </c>
      <c r="E69" s="1169" t="s">
        <v>1464</v>
      </c>
      <c r="F69" s="357">
        <f ca="1">F41</f>
        <v>5.5E-2</v>
      </c>
      <c r="O69" s="1886" t="s">
        <v>1039</v>
      </c>
      <c r="P69" s="1925" t="s">
        <v>1577</v>
      </c>
      <c r="Q69" s="1878">
        <f ca="1">ROUND(Q70-Q71*Q72,0)</f>
        <v>-294</v>
      </c>
      <c r="R69" s="1878" t="s">
        <v>1047</v>
      </c>
    </row>
    <row r="70" spans="1:18" s="1834" customFormat="1" ht="13.5" thickBot="1">
      <c r="A70" s="1170"/>
      <c r="B70" s="1171"/>
      <c r="C70" s="351"/>
      <c r="D70" s="1189" t="s">
        <v>1467</v>
      </c>
      <c r="E70" s="1169" t="s">
        <v>1468</v>
      </c>
      <c r="F70" s="379">
        <f ca="1">F42</f>
        <v>70</v>
      </c>
      <c r="O70" s="1886" t="s">
        <v>1044</v>
      </c>
      <c r="P70" s="1925" t="s">
        <v>1578</v>
      </c>
      <c r="Q70" s="1878">
        <f ca="1">C40</f>
        <v>323</v>
      </c>
      <c r="R70" s="1878" t="s">
        <v>1523</v>
      </c>
    </row>
    <row r="71" spans="1:18" s="1834" customFormat="1" ht="13.5" thickBot="1">
      <c r="A71" s="1173"/>
      <c r="B71" s="1174"/>
      <c r="C71" s="355"/>
      <c r="D71" s="1185"/>
      <c r="E71" s="1169" t="s">
        <v>1471</v>
      </c>
      <c r="F71" s="1275"/>
      <c r="O71" s="1886" t="s">
        <v>1045</v>
      </c>
      <c r="P71" s="1925" t="s">
        <v>1579</v>
      </c>
      <c r="Q71" s="1878">
        <f ca="1">C13</f>
        <v>7710</v>
      </c>
      <c r="R71" s="1878" t="s">
        <v>1523</v>
      </c>
    </row>
    <row r="72" spans="1:18" s="1834" customFormat="1" ht="13.5" thickBot="1">
      <c r="A72" s="1190" t="s">
        <v>1029</v>
      </c>
      <c r="B72" s="1191" t="s">
        <v>1481</v>
      </c>
      <c r="C72" s="382">
        <f ca="1">ROUND(C69*10000/F72,0)</f>
        <v>-2551</v>
      </c>
      <c r="D72" s="1192" t="s">
        <v>1482</v>
      </c>
      <c r="E72" s="1193" t="s">
        <v>1483</v>
      </c>
      <c r="F72" s="385">
        <f ca="1">F44</f>
        <v>9952.6299999999992</v>
      </c>
      <c r="O72" s="1886" t="s">
        <v>1046</v>
      </c>
      <c r="P72" s="1925" t="s">
        <v>1580</v>
      </c>
      <c r="Q72" s="1889">
        <f ca="1">C77</f>
        <v>0.08</v>
      </c>
      <c r="R72" s="1878"/>
    </row>
    <row r="73" spans="1:18" s="1834" customFormat="1" ht="13.5" thickBot="1">
      <c r="B73" s="796"/>
      <c r="C73" s="796"/>
      <c r="O73" s="1886" t="s">
        <v>1040</v>
      </c>
      <c r="P73" s="1877" t="s">
        <v>1558</v>
      </c>
      <c r="Q73" s="1889">
        <f>L53</f>
        <v>0</v>
      </c>
      <c r="R73" s="1878"/>
    </row>
    <row r="74" spans="1:18" ht="16.5" thickBot="1">
      <c r="A74" s="1834"/>
      <c r="B74" s="796"/>
      <c r="C74" s="796"/>
      <c r="D74" s="1834"/>
      <c r="E74" s="1834"/>
      <c r="F74" s="1834"/>
      <c r="O74" s="1886" t="s">
        <v>1041</v>
      </c>
      <c r="P74" s="1877" t="s">
        <v>1561</v>
      </c>
      <c r="Q74" s="1878" t="e">
        <f ca="1">L59</f>
        <v>#DIV/0!</v>
      </c>
      <c r="R74" s="1878" t="s">
        <v>1562</v>
      </c>
    </row>
    <row r="75" spans="1:18" ht="13.5" thickBot="1">
      <c r="A75" s="1834"/>
      <c r="B75" s="317" t="s">
        <v>1581</v>
      </c>
      <c r="C75" s="1927"/>
      <c r="D75" s="1834"/>
      <c r="E75" s="1834"/>
      <c r="F75" s="1834"/>
      <c r="O75" s="1886" t="s">
        <v>1048</v>
      </c>
      <c r="P75" s="1877" t="str">
        <f>K60</f>
        <v>建设期及建筑物耐用年限下的土地年期修正系数Kn</v>
      </c>
      <c r="Q75" s="1878" t="e">
        <f ca="1">L60</f>
        <v>#DIV/0!</v>
      </c>
      <c r="R75" s="1878" t="s">
        <v>1563</v>
      </c>
    </row>
    <row r="76" spans="1:18" ht="13.5" thickBot="1">
      <c r="A76" s="1834"/>
      <c r="B76" s="386" t="s">
        <v>1500</v>
      </c>
      <c r="C76" s="387">
        <f ca="1">ROUND(C13*C77,0)</f>
        <v>617</v>
      </c>
      <c r="D76" s="1834"/>
      <c r="E76" s="1834"/>
      <c r="F76" s="1834"/>
      <c r="K76" s="1860"/>
      <c r="L76" s="1834"/>
      <c r="O76" s="1876" t="s">
        <v>1042</v>
      </c>
      <c r="P76" s="1877" t="s">
        <v>1543</v>
      </c>
      <c r="Q76" s="1878">
        <f ca="1">Q66+Q67</f>
        <v>10770</v>
      </c>
      <c r="R76" s="1878" t="s">
        <v>1043</v>
      </c>
    </row>
    <row r="77" spans="1:18">
      <c r="B77" s="388" t="s">
        <v>1501</v>
      </c>
      <c r="C77" s="389">
        <f ca="1">INDIRECT("'数据-取费表'!j"&amp;$G$1)</f>
        <v>0.08</v>
      </c>
      <c r="I77" s="1834"/>
      <c r="J77" s="1834"/>
      <c r="K77" s="1860"/>
      <c r="L77" s="1834"/>
    </row>
    <row r="78" spans="1:18">
      <c r="B78" s="390" t="s">
        <v>1502</v>
      </c>
      <c r="C78" s="391"/>
      <c r="I78" s="1834"/>
      <c r="J78" s="1834"/>
      <c r="K78" s="1860"/>
      <c r="L78" s="1834"/>
    </row>
    <row r="79" spans="1:18">
      <c r="B79" s="314" t="s">
        <v>1503</v>
      </c>
      <c r="C79" s="392"/>
    </row>
    <row r="80" spans="1:18">
      <c r="B80" s="386" t="s">
        <v>1504</v>
      </c>
      <c r="C80" s="318">
        <f ca="1">1-C81</f>
        <v>-0.90999999999999992</v>
      </c>
    </row>
    <row r="81" spans="2:3">
      <c r="B81" s="386" t="s">
        <v>1505</v>
      </c>
      <c r="C81" s="318">
        <f ca="1">ROUND(C76/C40,3)</f>
        <v>1.91</v>
      </c>
    </row>
    <row r="82" spans="2:3">
      <c r="B82" s="314" t="s">
        <v>1506</v>
      </c>
      <c r="C82" s="282"/>
    </row>
    <row r="83" spans="2:3">
      <c r="B83" s="317" t="s">
        <v>1507</v>
      </c>
      <c r="C83" s="319">
        <f ca="1">1-C84</f>
        <v>0.28400000000000003</v>
      </c>
    </row>
    <row r="84" spans="2:3">
      <c r="B84" s="317" t="s">
        <v>1508</v>
      </c>
      <c r="C84" s="318">
        <f ca="1">ROUND(C13/C41,3)</f>
        <v>0.71599999999999997</v>
      </c>
    </row>
  </sheetData>
  <sheetProtection formatCells="0" formatColumns="0" formatRows="0"/>
  <mergeCells count="3">
    <mergeCell ref="K54:L54"/>
    <mergeCell ref="B6:B9"/>
    <mergeCell ref="I6:I9"/>
  </mergeCells>
  <phoneticPr fontId="4" type="noConversion"/>
  <conditionalFormatting sqref="K56 K61">
    <cfRule type="expression" dxfId="142" priority="56">
      <formula>$L$49&gt;$J$52</formula>
    </cfRule>
  </conditionalFormatting>
  <conditionalFormatting sqref="I56 I61">
    <cfRule type="expression" dxfId="141" priority="57">
      <formula>$J$52&gt;$L$49</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5">
    <cfRule type="expression" dxfId="138" priority="1">
      <formula>$F$54="自定义"</formula>
    </cfRule>
  </conditionalFormatting>
  <dataValidations disablePrompts="1"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2"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8" xr:uid="{00000000-0002-0000-1900-000003000000}">
      <formula1>"钢,钢混,砖混"</formula1>
    </dataValidation>
    <dataValidation type="list" allowBlank="1" showInputMessage="1" showErrorMessage="1" sqref="J49" xr:uid="{00000000-0002-0000-1900-000004000000}">
      <formula1>"非生产用房,生产用房,受腐蚀的生产用房"</formula1>
    </dataValidation>
    <dataValidation type="list" allowBlank="1" showInputMessage="1" showErrorMessage="1" sqref="J57" xr:uid="{00000000-0002-0000-1900-000005000000}">
      <formula1>判定</formula1>
    </dataValidation>
    <dataValidation type="list" allowBlank="1" showInputMessage="1" showErrorMessage="1" sqref="L56" xr:uid="{00000000-0002-0000-1900-000006000000}">
      <formula1>"比较法,基准地价,收益还原"</formula1>
    </dataValidation>
    <dataValidation type="list" allowBlank="1" showInputMessage="1" showErrorMessage="1" sqref="M10 F10 F54"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5"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4"/>
  <sheetViews>
    <sheetView topLeftCell="B22" zoomScale="90" zoomScaleNormal="90" zoomScaleSheetLayoutView="90" workbookViewId="0">
      <selection activeCell="F41" sqref="F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26" customWidth="1"/>
    <col min="12" max="12" width="16.375" style="302" customWidth="1"/>
    <col min="13" max="13" width="13" style="302" customWidth="1"/>
    <col min="14" max="14" width="13.875" style="1834" customWidth="1"/>
    <col min="15" max="15" width="5.125" style="1834" customWidth="1"/>
    <col min="16" max="16" width="25.875" style="1834" customWidth="1"/>
    <col min="17" max="17" width="13.875" style="1834" customWidth="1"/>
    <col min="18" max="18" width="20.5" style="1834" customWidth="1"/>
    <col min="19" max="19" width="13.125" style="1834" customWidth="1"/>
    <col min="20" max="37" width="9" style="1834"/>
    <col min="38" max="16384" width="9" style="302"/>
  </cols>
  <sheetData>
    <row r="1" spans="1:37" s="337" customFormat="1" ht="21">
      <c r="A1" s="1825" t="s">
        <v>1583</v>
      </c>
      <c r="B1" s="782"/>
      <c r="C1" s="1829" t="s">
        <v>3196</v>
      </c>
      <c r="D1" s="1812"/>
      <c r="E1" s="1813" t="s">
        <v>1381</v>
      </c>
      <c r="F1" s="1283">
        <f ca="1">J54</f>
        <v>50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C41+J29+L47</f>
        <v>177</v>
      </c>
      <c r="C2" s="1837" t="s">
        <v>1510</v>
      </c>
      <c r="D2" s="1837"/>
      <c r="E2" s="1838"/>
      <c r="F2" s="1839"/>
      <c r="G2" s="1840"/>
      <c r="H2" s="1832"/>
      <c r="I2" s="1832"/>
      <c r="J2" s="1832"/>
      <c r="K2" s="1833"/>
      <c r="L2" s="1832"/>
      <c r="M2" s="1832"/>
    </row>
    <row r="3" spans="1:37" ht="18" customHeight="1" thickBot="1">
      <c r="A3" s="1841" t="s">
        <v>1511</v>
      </c>
      <c r="B3" s="1842">
        <f ca="1">IF(ISERROR(B2*10000/F44),0,ROUND(B2*10000/F44,0))</f>
        <v>4503</v>
      </c>
      <c r="C3" s="1837" t="s">
        <v>1512</v>
      </c>
      <c r="D3" s="1837"/>
      <c r="E3" s="1838"/>
      <c r="F3" s="1839"/>
      <c r="G3" s="1840"/>
      <c r="H3" s="744" t="s">
        <v>1582</v>
      </c>
      <c r="I3" s="1832"/>
      <c r="J3" s="1832"/>
      <c r="K3" s="1833"/>
      <c r="L3" s="1832"/>
      <c r="M3" s="1832"/>
    </row>
    <row r="4" spans="1:37" ht="18" customHeight="1">
      <c r="A4" s="3006" t="s">
        <v>1390</v>
      </c>
      <c r="B4" s="3007" t="s">
        <v>1391</v>
      </c>
      <c r="C4" s="3007" t="s">
        <v>1392</v>
      </c>
      <c r="D4" s="3007" t="s">
        <v>1393</v>
      </c>
      <c r="E4" s="3008" t="s">
        <v>1394</v>
      </c>
      <c r="F4" s="3009"/>
      <c r="G4" s="1843"/>
      <c r="H4" s="340" t="s">
        <v>1390</v>
      </c>
      <c r="I4" s="341" t="s">
        <v>1391</v>
      </c>
      <c r="J4" s="341" t="s">
        <v>1392</v>
      </c>
      <c r="K4" s="341" t="s">
        <v>1393</v>
      </c>
      <c r="L4" s="342" t="s">
        <v>1394</v>
      </c>
      <c r="M4" s="343"/>
    </row>
    <row r="5" spans="1:37" ht="18" customHeight="1">
      <c r="A5" s="3010">
        <v>1</v>
      </c>
      <c r="B5" s="3011" t="s">
        <v>1395</v>
      </c>
      <c r="C5" s="3012">
        <f ca="1">C6+C10+C12</f>
        <v>13</v>
      </c>
      <c r="D5" s="3013" t="s">
        <v>1396</v>
      </c>
      <c r="E5" s="3014"/>
      <c r="F5" s="3015"/>
      <c r="G5" s="1843"/>
      <c r="H5" s="344">
        <v>1</v>
      </c>
      <c r="I5" s="345" t="s">
        <v>1395</v>
      </c>
      <c r="J5" s="1292">
        <f ca="1">J6+J10+J12</f>
        <v>0</v>
      </c>
      <c r="K5" s="1814" t="s">
        <v>1396</v>
      </c>
      <c r="L5" s="1293"/>
      <c r="M5" s="1294"/>
    </row>
    <row r="6" spans="1:37" ht="18" customHeight="1">
      <c r="A6" s="3016" t="s">
        <v>1031</v>
      </c>
      <c r="B6" s="3431" t="s">
        <v>1397</v>
      </c>
      <c r="C6" s="3017">
        <f ca="1">ROUND(F6*F8*F7*(1-F9)/10000,0)</f>
        <v>13</v>
      </c>
      <c r="D6" s="3018" t="s">
        <v>3026</v>
      </c>
      <c r="E6" s="3019" t="s">
        <v>1399</v>
      </c>
      <c r="F6" s="3020">
        <f ca="1">INDIRECT("'数据-取费表'!u"&amp;$G$1)</f>
        <v>30</v>
      </c>
      <c r="G6" s="1843"/>
      <c r="H6" s="1291" t="s">
        <v>1031</v>
      </c>
      <c r="I6" s="3434" t="s">
        <v>1397</v>
      </c>
      <c r="J6" s="346">
        <f ca="1">ROUND(M6*M8*M7*(1-M9)/10000,0)</f>
        <v>0</v>
      </c>
      <c r="K6" s="164" t="s">
        <v>3025</v>
      </c>
      <c r="L6" s="347" t="s">
        <v>1399</v>
      </c>
      <c r="M6" s="348">
        <f ca="1">INDIRECT("'数据-取费表'!z"&amp;$G$1)</f>
        <v>0</v>
      </c>
    </row>
    <row r="7" spans="1:37" ht="18" customHeight="1">
      <c r="A7" s="3021"/>
      <c r="B7" s="3432"/>
      <c r="C7" s="3022"/>
      <c r="D7" s="3023"/>
      <c r="E7" s="3024" t="s">
        <v>1400</v>
      </c>
      <c r="F7" s="3099">
        <f ca="1">F44</f>
        <v>393.1</v>
      </c>
      <c r="G7" s="1843"/>
      <c r="H7" s="349"/>
      <c r="I7" s="3435"/>
      <c r="J7" s="351"/>
      <c r="K7" s="352"/>
      <c r="L7" s="347" t="s">
        <v>1400</v>
      </c>
      <c r="M7" s="348">
        <f ca="1">F7</f>
        <v>393.1</v>
      </c>
    </row>
    <row r="8" spans="1:37" ht="18" customHeight="1">
      <c r="A8" s="3025"/>
      <c r="B8" s="3432"/>
      <c r="C8" s="3026"/>
      <c r="D8" s="3023"/>
      <c r="E8" s="3019" t="s">
        <v>1401</v>
      </c>
      <c r="F8" s="3020">
        <f ca="1">INDIRECT("'数据-取费表'!ai"&amp;$G$1)</f>
        <v>12</v>
      </c>
      <c r="G8" s="1843"/>
      <c r="H8" s="349"/>
      <c r="I8" s="3435"/>
      <c r="J8" s="351"/>
      <c r="K8" s="352"/>
      <c r="L8" s="347" t="s">
        <v>1401</v>
      </c>
      <c r="M8" s="348">
        <f ca="1">INDIRECT("'数据-取费表'!ai"&amp;$G$1)</f>
        <v>12</v>
      </c>
    </row>
    <row r="9" spans="1:37" ht="18" customHeight="1">
      <c r="A9" s="3025"/>
      <c r="B9" s="3433"/>
      <c r="C9" s="3026"/>
      <c r="D9" s="3023"/>
      <c r="E9" s="3019" t="s">
        <v>1402</v>
      </c>
      <c r="F9" s="3027">
        <f ca="1">INDIRECT("'数据-取费表'!w"&amp;$G$1)</f>
        <v>0.1</v>
      </c>
      <c r="G9" s="1843"/>
      <c r="H9" s="349"/>
      <c r="I9" s="3436"/>
      <c r="J9" s="351"/>
      <c r="K9" s="352"/>
      <c r="L9" s="358" t="s">
        <v>1402</v>
      </c>
      <c r="M9" s="359">
        <f ca="1">INDIRECT("'数据-取费表'!ab"&amp;$G$1)</f>
        <v>0</v>
      </c>
    </row>
    <row r="10" spans="1:37" ht="18" customHeight="1">
      <c r="A10" s="3016" t="s">
        <v>1035</v>
      </c>
      <c r="B10" s="3028" t="s">
        <v>1403</v>
      </c>
      <c r="C10" s="3029">
        <f ca="1">ROUND(IF(F10="押一",C6/12*F11,IF(F10="押二",C6/12*2*F11,IF(F10="押三",C6/12*3*F11,C11*F11))),0)</f>
        <v>0</v>
      </c>
      <c r="D10" s="3030" t="s">
        <v>3034</v>
      </c>
      <c r="E10" s="3031" t="s">
        <v>1404</v>
      </c>
      <c r="F10" s="3032" t="s">
        <v>3185</v>
      </c>
      <c r="G10" s="1843"/>
      <c r="H10" s="1291" t="s">
        <v>1035</v>
      </c>
      <c r="I10" s="1815" t="s">
        <v>1403</v>
      </c>
      <c r="J10" s="346">
        <f ca="1">ROUND(IF(M10="押一",J6/12*M11,IF(M10="押二",J6/12*2*M11,IF(M10="押三",J6/12*3*M11,J11*M11))),0)</f>
        <v>0</v>
      </c>
      <c r="K10" s="1816" t="s">
        <v>3034</v>
      </c>
      <c r="L10" s="358" t="s">
        <v>1404</v>
      </c>
      <c r="M10" s="1366" t="s">
        <v>1405</v>
      </c>
    </row>
    <row r="11" spans="1:37" ht="18" customHeight="1">
      <c r="A11" s="3033"/>
      <c r="B11" s="3034" t="s">
        <v>1382</v>
      </c>
      <c r="C11" s="3035"/>
      <c r="D11" s="3036"/>
      <c r="E11" s="3031" t="s">
        <v>1406</v>
      </c>
      <c r="F11" s="3037">
        <f ca="1">'数据-取费表'!B39</f>
        <v>1.4999999999999999E-2</v>
      </c>
      <c r="G11" s="1843"/>
      <c r="H11" s="1299"/>
      <c r="I11" s="1817" t="s">
        <v>1382</v>
      </c>
      <c r="J11" s="1178"/>
      <c r="K11" s="748"/>
      <c r="L11" s="358" t="s">
        <v>1406</v>
      </c>
      <c r="M11" s="1056">
        <f ca="1">'数据-取费表'!B39</f>
        <v>1.4999999999999999E-2</v>
      </c>
    </row>
    <row r="12" spans="1:37" ht="18" customHeight="1" thickBot="1">
      <c r="A12" s="3038" t="s">
        <v>1071</v>
      </c>
      <c r="B12" s="3039" t="s">
        <v>1407</v>
      </c>
      <c r="C12" s="3040"/>
      <c r="D12" s="3041"/>
      <c r="E12" s="3042"/>
      <c r="F12" s="3043"/>
      <c r="G12" s="1843"/>
      <c r="H12" s="1333" t="s">
        <v>1071</v>
      </c>
      <c r="I12" s="1819" t="s">
        <v>1407</v>
      </c>
      <c r="J12" s="1334"/>
      <c r="K12" s="1348"/>
      <c r="L12" s="1340"/>
      <c r="M12" s="1349"/>
    </row>
    <row r="13" spans="1:37" ht="18" customHeight="1" thickTop="1">
      <c r="A13" s="3044">
        <v>2</v>
      </c>
      <c r="B13" s="3045" t="s">
        <v>1408</v>
      </c>
      <c r="C13" s="3046">
        <f ca="1">ROUND(C29*F13,0)</f>
        <v>179</v>
      </c>
      <c r="D13" s="3047" t="s">
        <v>1409</v>
      </c>
      <c r="E13" s="3047" t="s">
        <v>1410</v>
      </c>
      <c r="F13" s="3048">
        <f ca="1">INDIRECT("'数据-取费表'!y"&amp;$G$1)</f>
        <v>1</v>
      </c>
      <c r="G13" s="1843"/>
      <c r="H13" s="1329">
        <v>2</v>
      </c>
      <c r="I13" s="1330" t="s">
        <v>1408</v>
      </c>
      <c r="J13" s="1290">
        <f ca="1">ROUND(J14*J15,0)</f>
        <v>0</v>
      </c>
      <c r="K13" s="1337" t="s">
        <v>1409</v>
      </c>
      <c r="L13" s="1844"/>
      <c r="M13" s="1845"/>
    </row>
    <row r="14" spans="1:37" ht="18" customHeight="1">
      <c r="A14" s="3049" t="s">
        <v>1030</v>
      </c>
      <c r="B14" s="3019" t="s">
        <v>1411</v>
      </c>
      <c r="C14" s="3166">
        <f>'数据-取费表'!M7</f>
        <v>138</v>
      </c>
      <c r="D14" s="3051" t="s">
        <v>1412</v>
      </c>
      <c r="E14" s="3052"/>
      <c r="F14" s="3053"/>
      <c r="G14" s="1843"/>
      <c r="H14" s="1201" t="s">
        <v>1031</v>
      </c>
      <c r="I14" s="347" t="s">
        <v>1413</v>
      </c>
      <c r="J14" s="24">
        <f ca="1">C29</f>
        <v>179</v>
      </c>
      <c r="K14" s="3121"/>
      <c r="L14" s="979"/>
      <c r="M14" s="980"/>
    </row>
    <row r="15" spans="1:37" s="1850" customFormat="1" ht="18" customHeight="1" thickBot="1">
      <c r="A15" s="3049" t="s">
        <v>1032</v>
      </c>
      <c r="B15" s="3019" t="s">
        <v>1414</v>
      </c>
      <c r="C15" s="3054">
        <f>ROUND(C14*F15,0)</f>
        <v>4</v>
      </c>
      <c r="D15" s="3055" t="s">
        <v>1415</v>
      </c>
      <c r="E15" s="3055" t="s">
        <v>1416</v>
      </c>
      <c r="F15" s="305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3049" t="s">
        <v>1383</v>
      </c>
      <c r="B16" s="3019" t="s">
        <v>1417</v>
      </c>
      <c r="C16" s="3054">
        <f ca="1">ROUND(INDIRECT("'数据-取费表'!m"&amp;$G$1)*F16,0)</f>
        <v>0</v>
      </c>
      <c r="D16" s="3019" t="s">
        <v>1415</v>
      </c>
      <c r="E16" s="3019" t="s">
        <v>1416</v>
      </c>
      <c r="F16" s="3057">
        <f ca="1">IF(INDIRECT("'数据-取费表'!c"&amp;$G$1)="住宅",'数据-取费表'!B34,0)</f>
        <v>0</v>
      </c>
      <c r="G16" s="1843"/>
      <c r="H16" s="1329" t="s">
        <v>1026</v>
      </c>
      <c r="I16" s="1330" t="s">
        <v>1418</v>
      </c>
      <c r="J16" s="355">
        <f ca="1">ROUND(J17+J22+J23+J24,0)</f>
        <v>4</v>
      </c>
      <c r="K16" s="1337" t="s">
        <v>1419</v>
      </c>
      <c r="L16" s="3118"/>
      <c r="M16" s="1294"/>
    </row>
    <row r="17" spans="1:37" s="1850" customFormat="1" ht="18" customHeight="1">
      <c r="A17" s="3049" t="s">
        <v>1384</v>
      </c>
      <c r="B17" s="3019" t="s">
        <v>1420</v>
      </c>
      <c r="C17" s="3054">
        <f ca="1">ROUND(F17*F44/10000,0)</f>
        <v>8</v>
      </c>
      <c r="D17" s="3019" t="s">
        <v>1421</v>
      </c>
      <c r="E17" s="3019" t="s">
        <v>1422</v>
      </c>
      <c r="F17" s="3058">
        <v>200</v>
      </c>
      <c r="G17" s="1846"/>
      <c r="H17" s="1201" t="s">
        <v>1031</v>
      </c>
      <c r="I17" s="347" t="s">
        <v>1423</v>
      </c>
      <c r="J17" s="24">
        <f ca="1">ROUND(IF(项目基本情况!B11="自然人",J6*M17/(1+'数据-取费表'!C42),J18+J19+J20),1)</f>
        <v>1.5</v>
      </c>
      <c r="K17" s="3117" t="s">
        <v>1424</v>
      </c>
      <c r="L17" s="3116" t="s">
        <v>1425</v>
      </c>
      <c r="M17" s="368">
        <f ca="1">IF(项目基本情况!B11="企业","",IF(INDIRECT("'数据-取费表'!c"&amp;$G$1)="住宅",5%,IF(M6*M7*M8/12/(1+'数据-取费表'!C42)&gt;20000,12%,7%)))</f>
        <v>7.0000000000000007E-2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3049" t="s">
        <v>1385</v>
      </c>
      <c r="B18" s="3019" t="s">
        <v>1426</v>
      </c>
      <c r="C18" s="3054">
        <f>ROUND(C14*F18,0)</f>
        <v>2</v>
      </c>
      <c r="D18" s="3019" t="s">
        <v>1415</v>
      </c>
      <c r="E18" s="3019" t="s">
        <v>1416</v>
      </c>
      <c r="F18" s="3057">
        <f>'数据-取费表'!B36</f>
        <v>1.4999999999999999E-2</v>
      </c>
      <c r="G18" s="1846"/>
      <c r="H18" s="1201" t="s">
        <v>1030</v>
      </c>
      <c r="I18" s="347" t="s">
        <v>1427</v>
      </c>
      <c r="J18" s="24">
        <f ca="1">ROUND(J6*M18/(1+'数据-取费表'!C42),2)</f>
        <v>0</v>
      </c>
      <c r="K18" s="3116" t="s">
        <v>1428</v>
      </c>
      <c r="L18" s="347" t="s">
        <v>1416</v>
      </c>
      <c r="M18" s="367">
        <f>'数据-取费表'!B41</f>
        <v>0.09</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3049" t="s">
        <v>1031</v>
      </c>
      <c r="B19" s="3019" t="s">
        <v>1429</v>
      </c>
      <c r="C19" s="3054">
        <f ca="1">SUM(C14:C18)</f>
        <v>152</v>
      </c>
      <c r="D19" s="3059" t="s">
        <v>1430</v>
      </c>
      <c r="E19" s="3060"/>
      <c r="F19" s="3058"/>
      <c r="G19" s="1843"/>
      <c r="H19" s="1201" t="s">
        <v>1032</v>
      </c>
      <c r="I19" s="347" t="s">
        <v>1431</v>
      </c>
      <c r="J19" s="24">
        <f ca="1">IF(K19="按租金收入计税",ROUND(J6*M19/(1+'数据-取费表'!C42),2),ROUND(C29*M19*0.7,2))</f>
        <v>1.5</v>
      </c>
      <c r="K19" s="1820" t="s">
        <v>1432</v>
      </c>
      <c r="L19" s="347" t="s">
        <v>1416</v>
      </c>
      <c r="M19" s="367">
        <f>IF(K19="按租金收入计税",'数据-取费表'!B51,'数据-取费表'!B50)</f>
        <v>1.2E-2</v>
      </c>
    </row>
    <row r="20" spans="1:37" s="1850" customFormat="1" ht="18" customHeight="1">
      <c r="A20" s="3049" t="s">
        <v>1035</v>
      </c>
      <c r="B20" s="3019" t="s">
        <v>1433</v>
      </c>
      <c r="C20" s="3054">
        <f ca="1">ROUND(C19*F20,0)</f>
        <v>3</v>
      </c>
      <c r="D20" s="3061" t="s">
        <v>1434</v>
      </c>
      <c r="E20" s="3019" t="s">
        <v>1416</v>
      </c>
      <c r="F20" s="3057">
        <f>'数据-取费表'!B37</f>
        <v>0.02</v>
      </c>
      <c r="G20" s="1846"/>
      <c r="H20" s="1201" t="s">
        <v>1383</v>
      </c>
      <c r="I20" s="164" t="s">
        <v>1435</v>
      </c>
      <c r="J20" s="25">
        <f ca="1">ROUND(M20*M21/10000,2)</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3049" t="s">
        <v>1071</v>
      </c>
      <c r="B21" s="3019" t="s">
        <v>1438</v>
      </c>
      <c r="C21" s="3054" t="s">
        <v>1</v>
      </c>
      <c r="D21" s="3061" t="s">
        <v>1439</v>
      </c>
      <c r="E21" s="3019" t="s">
        <v>1440</v>
      </c>
      <c r="F21" s="3057">
        <f>'数据-取费表'!B38</f>
        <v>0</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3049" t="s">
        <v>1386</v>
      </c>
      <c r="B22" s="3019" t="s">
        <v>1442</v>
      </c>
      <c r="C22" s="3054"/>
      <c r="D22" s="3059" t="str">
        <f>IF(F23&lt;=1,"单利计息。","复利计息。")&amp;"建造成本、管理费用、销售费用产生的利息。"</f>
        <v>复利计息。建造成本、管理费用、销售费用产生的利息。</v>
      </c>
      <c r="E22" s="3060"/>
      <c r="F22" s="3058"/>
      <c r="G22" s="1843"/>
      <c r="H22" s="1201" t="s">
        <v>1035</v>
      </c>
      <c r="I22" s="347" t="s">
        <v>1443</v>
      </c>
      <c r="J22" s="24">
        <f ca="1">ROUND(J14*M22,1)</f>
        <v>2.2999999999999998</v>
      </c>
      <c r="K22" s="3116" t="s">
        <v>1444</v>
      </c>
      <c r="L22" s="347" t="s">
        <v>1416</v>
      </c>
      <c r="M22" s="374">
        <f ca="1">INDIRECT("'数据-取费表'!Ak"&amp;$G$1)</f>
        <v>1.2999999999999999E-2</v>
      </c>
    </row>
    <row r="23" spans="1:37" s="1850" customFormat="1" ht="18" customHeight="1">
      <c r="A23" s="3049" t="s">
        <v>1030</v>
      </c>
      <c r="B23" s="3019" t="s">
        <v>1445</v>
      </c>
      <c r="C23" s="3054">
        <f ca="1">IF('数据-取费表'!B22&lt;=1,ROUND(C19*F24*F23/2,0)+ROUND(C20*F24*F23/2,0),ROUND(C19*(POWER((1+F24),F23/2)-1),0)+ROUND(C20*(POWER((1+F24),F23/2)-1),0))</f>
        <v>6</v>
      </c>
      <c r="D23" s="3062" t="str">
        <f>IF(F23&lt;=1,"(建造成本+管理费用)×利率×(建设周期÷2)","(建造成本+管理费用)×((1+利率)^(建设周期÷2)-1)")</f>
        <v>(建造成本+管理费用)×((1+利率)^(建设周期÷2)-1)</v>
      </c>
      <c r="E23" s="3019" t="s">
        <v>1446</v>
      </c>
      <c r="F23" s="3063">
        <f>'数据-取费表'!B20</f>
        <v>2</v>
      </c>
      <c r="G23" s="1846"/>
      <c r="H23" s="1201" t="s">
        <v>1071</v>
      </c>
      <c r="I23" s="347" t="s">
        <v>1447</v>
      </c>
      <c r="J23" s="24">
        <f ca="1">ROUND(J13*M23,1)</f>
        <v>0</v>
      </c>
      <c r="K23" s="3116" t="s">
        <v>1448</v>
      </c>
      <c r="L23" s="347" t="s">
        <v>1416</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3049" t="s">
        <v>1032</v>
      </c>
      <c r="B24" s="3019" t="s">
        <v>1451</v>
      </c>
      <c r="C24" s="3054">
        <f>ROUND(IF('数据-取费表'!B22&lt;=1,F21*F24*F23/2,F21*(POWER((1+F24),F23/2)-1)),4)</f>
        <v>0</v>
      </c>
      <c r="D24" s="3062" t="str">
        <f>IF(F23&lt;=1,"销售费用×利率×(建设周期÷2)","销售费用×((1+利率)^(建设周期÷2)-1)")</f>
        <v>销售费用×((1+利率)^(建设周期÷2)-1)</v>
      </c>
      <c r="E24" s="3019" t="s">
        <v>1452</v>
      </c>
      <c r="F24" s="3064">
        <f>'数据-取费表'!B40</f>
        <v>3.85E-2</v>
      </c>
      <c r="G24" s="1846"/>
      <c r="H24" s="1339" t="s">
        <v>1386</v>
      </c>
      <c r="I24" s="1340" t="s">
        <v>1433</v>
      </c>
      <c r="J24" s="1341">
        <f ca="1">ROUND(J5*M24,1)</f>
        <v>0</v>
      </c>
      <c r="K24" s="1342" t="s">
        <v>1453</v>
      </c>
      <c r="L24" s="1340" t="s">
        <v>1416</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3049" t="s">
        <v>1454</v>
      </c>
      <c r="B25" s="3019" t="s">
        <v>1455</v>
      </c>
      <c r="C25" s="3054"/>
      <c r="D25" s="3059" t="s">
        <v>1456</v>
      </c>
      <c r="E25" s="3060"/>
      <c r="F25" s="3058"/>
      <c r="G25" s="1843"/>
      <c r="H25" s="1329" t="s">
        <v>1027</v>
      </c>
      <c r="I25" s="1344" t="s">
        <v>1457</v>
      </c>
      <c r="J25" s="355">
        <f ca="1">J5-J16</f>
        <v>-4</v>
      </c>
      <c r="K25" s="1345" t="s">
        <v>1458</v>
      </c>
      <c r="L25" s="1346"/>
      <c r="M25" s="1347"/>
    </row>
    <row r="26" spans="1:37">
      <c r="A26" s="3049" t="s">
        <v>1030</v>
      </c>
      <c r="B26" s="3019" t="s">
        <v>1459</v>
      </c>
      <c r="C26" s="3054">
        <f ca="1">ROUND((C19+C20)*F26,0)</f>
        <v>2</v>
      </c>
      <c r="D26" s="3061" t="s">
        <v>1460</v>
      </c>
      <c r="E26" s="3031" t="s">
        <v>1461</v>
      </c>
      <c r="F26" s="3027">
        <f ca="1">INDIRECT("'数据-取费表'!q"&amp;$G$1)</f>
        <v>0.01</v>
      </c>
      <c r="G26" s="1843"/>
      <c r="H26" s="344" t="s">
        <v>1028</v>
      </c>
      <c r="I26" s="345" t="s">
        <v>1462</v>
      </c>
      <c r="J26" s="346">
        <f ca="1">IF(J5&lt;&gt;0,ROUND(J25*(1-((1+M28)/(1+M26))^M27)/(M26-M28),0),0)</f>
        <v>0</v>
      </c>
      <c r="K26" s="370" t="s">
        <v>1463</v>
      </c>
      <c r="L26" s="347" t="s">
        <v>1464</v>
      </c>
      <c r="M26" s="357">
        <f ca="1">INDIRECT("'数据-取费表'!I"&amp;$G$1)</f>
        <v>5.5E-2</v>
      </c>
    </row>
    <row r="27" spans="1:37" ht="18" customHeight="1">
      <c r="A27" s="3049" t="s">
        <v>1032</v>
      </c>
      <c r="B27" s="3019" t="s">
        <v>1465</v>
      </c>
      <c r="C27" s="3054">
        <f ca="1">ROUND(F21*F26,4)</f>
        <v>0</v>
      </c>
      <c r="D27" s="3061" t="s">
        <v>1466</v>
      </c>
      <c r="E27" s="3055"/>
      <c r="F27" s="3056"/>
      <c r="G27" s="1843"/>
      <c r="H27" s="349"/>
      <c r="I27" s="350"/>
      <c r="J27" s="351"/>
      <c r="K27" s="378" t="s">
        <v>1467</v>
      </c>
      <c r="L27" s="347" t="s">
        <v>1468</v>
      </c>
      <c r="M27" s="379">
        <f ca="1">INDIRECT("'数据-取费表'!ag"&amp;$G$1)</f>
        <v>0</v>
      </c>
    </row>
    <row r="28" spans="1:37" s="1850" customFormat="1" ht="18" customHeight="1">
      <c r="A28" s="3049" t="s">
        <v>1033</v>
      </c>
      <c r="B28" s="3019" t="s">
        <v>1469</v>
      </c>
      <c r="C28" s="3110">
        <f>F28</f>
        <v>0.09</v>
      </c>
      <c r="D28" s="3061" t="s">
        <v>1470</v>
      </c>
      <c r="E28" s="3019" t="s">
        <v>1416</v>
      </c>
      <c r="F28" s="3057">
        <f>'成本法-住宅'!C48</f>
        <v>0.09</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3065" t="s">
        <v>1034</v>
      </c>
      <c r="B29" s="3042" t="s">
        <v>1472</v>
      </c>
      <c r="C29" s="3066">
        <f ca="1">ROUND((C19+C20+C23+C26)/(1-F21-C24-C27-C28),0)</f>
        <v>179</v>
      </c>
      <c r="D29" s="3067"/>
      <c r="E29" s="3042"/>
      <c r="F29" s="3068"/>
      <c r="G29" s="1846"/>
      <c r="H29" s="380" t="s">
        <v>1029</v>
      </c>
      <c r="I29" s="381" t="s">
        <v>1473</v>
      </c>
      <c r="J29" s="382">
        <f ca="1">ROUND(J26/(1+F41)^F42,0)</f>
        <v>0</v>
      </c>
      <c r="K29" s="383" t="s">
        <v>1474</v>
      </c>
      <c r="L29" s="384"/>
      <c r="M29" s="385">
        <f ca="1">INDIRECT("'数据-取费表'!k"&amp;$G$1)</f>
        <v>393.1</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3044" t="s">
        <v>1026</v>
      </c>
      <c r="B30" s="3045" t="s">
        <v>1418</v>
      </c>
      <c r="C30" s="3046">
        <f ca="1">ROUND(C31+C36+C37+C38+C39,0)</f>
        <v>4</v>
      </c>
      <c r="D30" s="3069" t="s">
        <v>1419</v>
      </c>
      <c r="E30" s="3070"/>
      <c r="F30" s="3015"/>
      <c r="G30" s="1843"/>
      <c r="H30" s="745"/>
      <c r="I30" s="746"/>
      <c r="J30" s="747"/>
      <c r="K30" s="748"/>
      <c r="L30" s="749"/>
      <c r="M30" s="750"/>
    </row>
    <row r="31" spans="1:37" ht="18" customHeight="1">
      <c r="A31" s="3049" t="s">
        <v>1031</v>
      </c>
      <c r="B31" s="3019" t="s">
        <v>1423</v>
      </c>
      <c r="C31" s="3054">
        <f ca="1">ROUND(IF(项目基本情况!B11="自然人",C6*F31/(1+'数据-取费表'!C42),C32+C33+C34),1)</f>
        <v>0</v>
      </c>
      <c r="D31" s="3051" t="s">
        <v>1424</v>
      </c>
      <c r="E31" s="3071" t="s">
        <v>1475</v>
      </c>
      <c r="F31" s="3072">
        <v>0</v>
      </c>
      <c r="G31" s="1843"/>
      <c r="H31" s="745"/>
      <c r="I31" s="746"/>
      <c r="J31" s="747"/>
      <c r="K31" s="748"/>
      <c r="L31" s="749"/>
      <c r="M31" s="750"/>
    </row>
    <row r="32" spans="1:37" ht="18" customHeight="1">
      <c r="A32" s="3049" t="s">
        <v>1030</v>
      </c>
      <c r="B32" s="3019" t="s">
        <v>1427</v>
      </c>
      <c r="C32" s="3054">
        <f ca="1">IF(项目基本情况!B11="自然人","——",ROUND(C6*F32/(1+'数据-取费表'!C42),2))</f>
        <v>0</v>
      </c>
      <c r="D32" s="3071" t="s">
        <v>1428</v>
      </c>
      <c r="E32" s="3019" t="s">
        <v>1416</v>
      </c>
      <c r="F32" s="3064"/>
      <c r="G32" s="1843"/>
      <c r="H32" s="745"/>
      <c r="I32" s="746"/>
      <c r="J32" s="747"/>
      <c r="K32" s="748"/>
      <c r="L32" s="749"/>
      <c r="M32" s="750"/>
    </row>
    <row r="33" spans="1:18" ht="18" customHeight="1">
      <c r="A33" s="3049" t="s">
        <v>1032</v>
      </c>
      <c r="B33" s="3019" t="s">
        <v>1431</v>
      </c>
      <c r="C33" s="3054">
        <f ca="1">IF(项目基本情况!B11="自然人","——",IF(D33="按租金收入计税",ROUND(C6*F33/(1+'数据-取费表'!C42),2),IF(D33="按房产原值计税",ROUND(C29*F33*0.7,2),INDIRECT("'数据-取费表'!Aj"&amp;$G$1))))</f>
        <v>0</v>
      </c>
      <c r="D33" s="3073" t="s">
        <v>1432</v>
      </c>
      <c r="E33" s="3019" t="s">
        <v>1416</v>
      </c>
      <c r="F33" s="3057">
        <v>0</v>
      </c>
      <c r="G33" s="1843"/>
      <c r="H33" s="1851"/>
      <c r="I33" s="1852"/>
      <c r="J33" s="1853"/>
      <c r="K33" s="1854"/>
      <c r="L33" s="1851"/>
      <c r="M33" s="1851"/>
    </row>
    <row r="34" spans="1:18" ht="18" customHeight="1">
      <c r="A34" s="3016" t="s">
        <v>1383</v>
      </c>
      <c r="B34" s="3018" t="s">
        <v>1435</v>
      </c>
      <c r="C34" s="3074">
        <f ca="1">IF(项目基本情况!B11="自然人","——",ROUND(F34*F35/10000,2))</f>
        <v>0</v>
      </c>
      <c r="D34" s="3075" t="s">
        <v>1436</v>
      </c>
      <c r="E34" s="3019" t="s">
        <v>1437</v>
      </c>
      <c r="F34" s="3063">
        <v>0</v>
      </c>
      <c r="G34" s="1843"/>
      <c r="H34" s="745"/>
      <c r="I34" s="1852"/>
      <c r="J34" s="1853"/>
      <c r="K34" s="1855"/>
      <c r="L34" s="1856"/>
      <c r="M34" s="1856"/>
    </row>
    <row r="35" spans="1:18" ht="18" customHeight="1">
      <c r="A35" s="3076"/>
      <c r="B35" s="3077"/>
      <c r="C35" s="3078"/>
      <c r="D35" s="3079"/>
      <c r="E35" s="3019" t="s">
        <v>1441</v>
      </c>
      <c r="F35" s="3020">
        <f ca="1">INDIRECT("'数据-取费表'!r"&amp;$G$1)</f>
        <v>0</v>
      </c>
      <c r="G35" s="1843"/>
      <c r="H35" s="745"/>
      <c r="I35" s="1852"/>
      <c r="J35" s="1853"/>
      <c r="K35" s="1854"/>
      <c r="L35" s="1851"/>
      <c r="M35" s="1851"/>
    </row>
    <row r="36" spans="1:18" ht="18" customHeight="1">
      <c r="A36" s="3080" t="s">
        <v>1035</v>
      </c>
      <c r="B36" s="3019" t="s">
        <v>1443</v>
      </c>
      <c r="C36" s="3054">
        <f ca="1">ROUND(C29*F36,1)</f>
        <v>2.2999999999999998</v>
      </c>
      <c r="D36" s="3071" t="s">
        <v>1476</v>
      </c>
      <c r="E36" s="3019" t="s">
        <v>1416</v>
      </c>
      <c r="F36" s="3081">
        <f ca="1">INDIRECT("'数据-取费表'!Ak"&amp;$G$1)</f>
        <v>1.2999999999999999E-2</v>
      </c>
      <c r="G36" s="1843"/>
      <c r="H36" s="1851"/>
      <c r="I36" s="1852"/>
      <c r="J36" s="1853"/>
      <c r="K36" s="751"/>
      <c r="L36" s="1851"/>
      <c r="M36" s="1851"/>
    </row>
    <row r="37" spans="1:18" ht="18" customHeight="1">
      <c r="A37" s="3049" t="s">
        <v>1071</v>
      </c>
      <c r="B37" s="3019" t="s">
        <v>1447</v>
      </c>
      <c r="C37" s="3054">
        <f ca="1">ROUND(C13*F37,1)</f>
        <v>0.3</v>
      </c>
      <c r="D37" s="3071" t="s">
        <v>1448</v>
      </c>
      <c r="E37" s="3019" t="s">
        <v>1416</v>
      </c>
      <c r="F37" s="3082">
        <f ca="1">INDIRECT("'数据-取费表'!Al"&amp;$G$1)</f>
        <v>1.5E-3</v>
      </c>
      <c r="G37" s="1843"/>
      <c r="H37" s="1851"/>
      <c r="I37" s="1852"/>
      <c r="J37" s="1853"/>
      <c r="K37" s="751"/>
      <c r="L37" s="1851"/>
      <c r="M37" s="1851"/>
    </row>
    <row r="38" spans="1:18" ht="18" customHeight="1">
      <c r="A38" s="3016" t="s">
        <v>3142</v>
      </c>
      <c r="B38" s="3031" t="s">
        <v>3144</v>
      </c>
      <c r="C38" s="3083">
        <f ca="1">ROUND(F38*F7/10000,1)</f>
        <v>0.7</v>
      </c>
      <c r="D38" s="3084" t="s">
        <v>3145</v>
      </c>
      <c r="E38" s="3085" t="s">
        <v>3147</v>
      </c>
      <c r="F38" s="3086">
        <f>3*12/2</f>
        <v>18</v>
      </c>
      <c r="G38" s="1843"/>
      <c r="H38" s="1851"/>
      <c r="I38" s="1852"/>
      <c r="J38" s="1853"/>
      <c r="K38" s="751"/>
      <c r="L38" s="1851"/>
      <c r="M38" s="1851"/>
    </row>
    <row r="39" spans="1:18" ht="18" customHeight="1" thickBot="1">
      <c r="A39" s="3087" t="s">
        <v>3143</v>
      </c>
      <c r="B39" s="3042" t="s">
        <v>1433</v>
      </c>
      <c r="C39" s="3088">
        <f ca="1">ROUND(F39*F7/10000,1)</f>
        <v>0.4</v>
      </c>
      <c r="D39" s="3089" t="s">
        <v>3146</v>
      </c>
      <c r="E39" s="3090" t="s">
        <v>3147</v>
      </c>
      <c r="F39" s="3091">
        <f>12*3/4</f>
        <v>9</v>
      </c>
      <c r="G39" s="1843"/>
      <c r="H39" s="1851"/>
      <c r="I39" s="1852"/>
      <c r="J39" s="1853"/>
      <c r="K39" s="1857"/>
      <c r="L39" s="1851"/>
      <c r="M39" s="1851"/>
    </row>
    <row r="40" spans="1:18" ht="24.6" customHeight="1" thickTop="1">
      <c r="A40" s="3044" t="s">
        <v>1027</v>
      </c>
      <c r="B40" s="3092" t="s">
        <v>1457</v>
      </c>
      <c r="C40" s="3046">
        <f ca="1">C5-C30</f>
        <v>9</v>
      </c>
      <c r="D40" s="3093" t="s">
        <v>1458</v>
      </c>
      <c r="E40" s="3094"/>
      <c r="F40" s="3095"/>
      <c r="G40" s="1843"/>
      <c r="H40" s="1851"/>
      <c r="I40" s="1852"/>
      <c r="J40" s="1853"/>
      <c r="K40" s="1857"/>
      <c r="L40" s="1851"/>
      <c r="M40" s="1851"/>
    </row>
    <row r="41" spans="1:18" ht="18" customHeight="1">
      <c r="A41" s="3010" t="s">
        <v>1028</v>
      </c>
      <c r="B41" s="3011" t="s">
        <v>1479</v>
      </c>
      <c r="C41" s="3096">
        <f ca="1">ROUND(C40*(1-((1+F43)/(1+F41))^F42)/(F41-F43),0)</f>
        <v>177</v>
      </c>
      <c r="D41" s="3075" t="s">
        <v>1463</v>
      </c>
      <c r="E41" s="3019" t="s">
        <v>1464</v>
      </c>
      <c r="F41" s="3111">
        <f ca="1">INDIRECT("'数据-取费表'!I"&amp;$G$1)</f>
        <v>5.5E-2</v>
      </c>
      <c r="G41" s="1843"/>
      <c r="H41" s="1831"/>
      <c r="I41" s="1852"/>
      <c r="J41" s="1853"/>
      <c r="K41" s="1857"/>
      <c r="L41" s="1831"/>
      <c r="M41" s="1831"/>
    </row>
    <row r="42" spans="1:18" ht="18" customHeight="1">
      <c r="A42" s="3025"/>
      <c r="B42" s="3097"/>
      <c r="C42" s="3026"/>
      <c r="D42" s="3098" t="s">
        <v>1480</v>
      </c>
      <c r="E42" s="3019" t="s">
        <v>1468</v>
      </c>
      <c r="F42" s="3099">
        <f ca="1">IF(INDIRECT("'数据-取费表'!af"&amp;$G$1)=0,INDIRECT("'数据-取费表'!ae"&amp;$G$1),INDIRECT("'数据-取费表'!af"&amp;$G$1))</f>
        <v>50</v>
      </c>
      <c r="G42" s="1843"/>
      <c r="H42" s="732"/>
      <c r="I42" s="1852"/>
      <c r="J42" s="1853"/>
      <c r="K42" s="751"/>
      <c r="L42" s="732"/>
      <c r="M42" s="732"/>
    </row>
    <row r="43" spans="1:18" ht="18" customHeight="1">
      <c r="A43" s="3033"/>
      <c r="B43" s="3100"/>
      <c r="C43" s="3046"/>
      <c r="D43" s="3079"/>
      <c r="E43" s="3019" t="s">
        <v>1471</v>
      </c>
      <c r="F43" s="3027">
        <f ca="1">INDIRECT("'数据-取费表'!v"&amp;$G$1)</f>
        <v>0.01</v>
      </c>
      <c r="G43" s="1843"/>
      <c r="H43" s="732"/>
      <c r="I43" s="1852"/>
      <c r="J43" s="1853"/>
      <c r="K43" s="751"/>
      <c r="L43" s="732"/>
      <c r="M43" s="732"/>
    </row>
    <row r="44" spans="1:18" ht="18" customHeight="1" thickBot="1">
      <c r="A44" s="3101" t="s">
        <v>1029</v>
      </c>
      <c r="B44" s="3102" t="s">
        <v>1481</v>
      </c>
      <c r="C44" s="3103">
        <f ca="1">ROUND(C41*10000/F44,0)</f>
        <v>4503</v>
      </c>
      <c r="D44" s="3104" t="s">
        <v>1482</v>
      </c>
      <c r="E44" s="3105" t="s">
        <v>1483</v>
      </c>
      <c r="F44" s="3106">
        <f ca="1">INDIRECT("'数据-取费表'!k"&amp;$G$1)</f>
        <v>393.1</v>
      </c>
      <c r="G44" s="1843"/>
      <c r="H44" s="732"/>
      <c r="I44" s="732"/>
      <c r="J44" s="732"/>
      <c r="K44" s="751"/>
      <c r="L44" s="732"/>
      <c r="M44" s="732"/>
    </row>
    <row r="45" spans="1:18" s="1834" customFormat="1" ht="18" customHeight="1">
      <c r="A45" s="1858"/>
      <c r="B45" s="1858"/>
      <c r="C45" s="1859"/>
      <c r="D45" s="1858"/>
      <c r="E45" s="1858"/>
      <c r="F45" s="1858"/>
      <c r="K45" s="1860"/>
    </row>
    <row r="46" spans="1:18" s="1834" customFormat="1" ht="18" customHeight="1" thickBot="1">
      <c r="A46" s="1858"/>
      <c r="B46" s="1858"/>
      <c r="C46" s="1859"/>
      <c r="D46" s="1858"/>
      <c r="E46" s="1858"/>
      <c r="F46" s="1858"/>
      <c r="J46" s="796"/>
      <c r="O46" s="1861" t="s">
        <v>1513</v>
      </c>
      <c r="P46" s="1831"/>
      <c r="Q46" s="1831"/>
      <c r="R46" s="1831"/>
    </row>
    <row r="47" spans="1:18" s="1834" customFormat="1" ht="13.5" thickBot="1">
      <c r="A47" s="1862" t="s">
        <v>1514</v>
      </c>
      <c r="C47" s="1863">
        <f ca="1">C69-C41</f>
        <v>-228</v>
      </c>
      <c r="D47" s="1864" t="str">
        <f>C2</f>
        <v>万元</v>
      </c>
      <c r="E47" s="1858"/>
      <c r="F47" s="1858"/>
      <c r="I47" s="1865" t="s">
        <v>1515</v>
      </c>
      <c r="J47" s="1866"/>
      <c r="K47" s="1867"/>
      <c r="L47" s="1868" t="str">
        <f ca="1">IF(M48="住宅",0,IF(L49&gt;J52,L61,J61))</f>
        <v>0</v>
      </c>
      <c r="O47" s="1869" t="s">
        <v>1516</v>
      </c>
      <c r="P47" s="1870" t="s">
        <v>1517</v>
      </c>
      <c r="Q47" s="1871" t="s">
        <v>1518</v>
      </c>
      <c r="R47" s="1871" t="s">
        <v>1519</v>
      </c>
    </row>
    <row r="48" spans="1:18" s="1834" customFormat="1" ht="13.5" thickBot="1">
      <c r="A48" s="1165" t="s">
        <v>1390</v>
      </c>
      <c r="B48" s="1197" t="s">
        <v>1391</v>
      </c>
      <c r="C48" s="1367" t="s">
        <v>1392</v>
      </c>
      <c r="D48" s="1197" t="s">
        <v>1393</v>
      </c>
      <c r="E48" s="1279" t="s">
        <v>1394</v>
      </c>
      <c r="F48" s="1280"/>
      <c r="G48" s="792"/>
      <c r="I48" s="1872" t="s">
        <v>1520</v>
      </c>
      <c r="J48" s="1873" t="s">
        <v>3148</v>
      </c>
      <c r="K48" s="1874" t="s">
        <v>1521</v>
      </c>
      <c r="L48" s="1875">
        <f ca="1">INDIRECT("'数据-取费表'!d"&amp;$G$1)</f>
        <v>50</v>
      </c>
      <c r="M48" s="1830" t="str">
        <f>IF(ISNUMBER(FIND("住宅",C1)),"住宅","非住宅")</f>
        <v>非住宅</v>
      </c>
      <c r="O48" s="1876" t="s">
        <v>1036</v>
      </c>
      <c r="P48" s="1877" t="s">
        <v>1522</v>
      </c>
      <c r="Q48" s="1878">
        <f ca="1">C41+J29</f>
        <v>177</v>
      </c>
      <c r="R48" s="1878" t="s">
        <v>1523</v>
      </c>
    </row>
    <row r="49" spans="1:18" s="1834" customFormat="1" ht="28.5" thickBot="1">
      <c r="A49" s="1360" t="s">
        <v>1131</v>
      </c>
      <c r="B49" s="345" t="s">
        <v>1395</v>
      </c>
      <c r="C49" s="3120">
        <f ca="1">C50+C54+C56</f>
        <v>0</v>
      </c>
      <c r="D49" s="1362"/>
      <c r="E49" s="1363"/>
      <c r="F49" s="1181"/>
      <c r="G49" s="792"/>
      <c r="H49" s="793"/>
      <c r="I49" s="1879" t="s">
        <v>1524</v>
      </c>
      <c r="J49" s="1880" t="s">
        <v>3149</v>
      </c>
      <c r="K49" s="1881" t="s">
        <v>1525</v>
      </c>
      <c r="L49" s="1882">
        <f ca="1">INDIRECT("'数据-取费表'!f"&amp;$G$1)</f>
        <v>50</v>
      </c>
      <c r="O49" s="1876" t="s">
        <v>1037</v>
      </c>
      <c r="P49" s="1877" t="s">
        <v>1526</v>
      </c>
      <c r="Q49" s="1878" t="str">
        <f ca="1">J61</f>
        <v>0</v>
      </c>
      <c r="R49" s="1878" t="s">
        <v>1527</v>
      </c>
    </row>
    <row r="50" spans="1:18" s="1834" customFormat="1" ht="13.5" thickBot="1">
      <c r="A50" s="1194" t="s">
        <v>1132</v>
      </c>
      <c r="B50" s="1821" t="s">
        <v>1484</v>
      </c>
      <c r="C50" s="1364">
        <f ca="1">ROUND(F50*F52*F51*(1-F53)/10000,0)</f>
        <v>0</v>
      </c>
      <c r="D50" s="1276" t="s">
        <v>3025</v>
      </c>
      <c r="E50" s="1822" t="s">
        <v>1485</v>
      </c>
      <c r="F50" s="1281"/>
      <c r="G50" s="1883"/>
      <c r="H50" s="793"/>
      <c r="I50" s="1879" t="s">
        <v>1528</v>
      </c>
      <c r="J50" s="1884"/>
      <c r="K50" s="1881" t="s">
        <v>1529</v>
      </c>
      <c r="L50" s="1885"/>
      <c r="O50" s="1886" t="s">
        <v>1038</v>
      </c>
      <c r="P50" s="1877" t="s">
        <v>1530</v>
      </c>
      <c r="Q50" s="1878">
        <f ca="1">C29</f>
        <v>179</v>
      </c>
      <c r="R50" s="1878" t="s">
        <v>1523</v>
      </c>
    </row>
    <row r="51" spans="1:18" s="1834" customFormat="1" ht="13.5" thickBot="1">
      <c r="A51" s="1195"/>
      <c r="B51" s="1198"/>
      <c r="C51" s="1368"/>
      <c r="D51" s="1172"/>
      <c r="E51" s="1277" t="s">
        <v>1400</v>
      </c>
      <c r="F51" s="1278">
        <f ca="1">F7</f>
        <v>393.1</v>
      </c>
      <c r="H51" s="793"/>
      <c r="I51" s="1879" t="s">
        <v>1531</v>
      </c>
      <c r="J51" s="1887">
        <f>SUMPRODUCT((I64:I66=J48)*(J63:L63=J49)*(J64:L66))</f>
        <v>60</v>
      </c>
      <c r="K51" s="1881" t="s">
        <v>1532</v>
      </c>
      <c r="L51" s="1885"/>
      <c r="M51" s="1888"/>
      <c r="O51" s="1886" t="s">
        <v>1039</v>
      </c>
      <c r="P51" s="1877" t="s">
        <v>1533</v>
      </c>
      <c r="Q51" s="1889" t="e">
        <f ca="1">J59</f>
        <v>#VALUE!</v>
      </c>
      <c r="R51" s="1878"/>
    </row>
    <row r="52" spans="1:18" s="1834" customFormat="1" ht="13.5" thickBot="1">
      <c r="A52" s="1196"/>
      <c r="B52" s="1198"/>
      <c r="C52" s="1199"/>
      <c r="D52" s="1172"/>
      <c r="E52" s="1200" t="s">
        <v>1401</v>
      </c>
      <c r="F52" s="348">
        <f ca="1">F8</f>
        <v>12</v>
      </c>
      <c r="I52" s="1890" t="s">
        <v>1534</v>
      </c>
      <c r="J52" s="1891">
        <f>IF(J50="",J51,J50+J51-YEAR('数据-取费表'!B2))</f>
        <v>60</v>
      </c>
      <c r="K52" s="1892" t="s">
        <v>1535</v>
      </c>
      <c r="L52" s="1893">
        <f ca="1">ROUND(-PV(INDIRECT("'数据-取费表'!h"&amp;$G$1),J52,(C40-C13*C77),0),0)</f>
        <v>-133</v>
      </c>
      <c r="M52" s="1894"/>
      <c r="O52" s="1886" t="s">
        <v>1040</v>
      </c>
      <c r="P52" s="1877" t="s">
        <v>1536</v>
      </c>
      <c r="Q52" s="1889">
        <f>J53</f>
        <v>0</v>
      </c>
      <c r="R52" s="1878"/>
    </row>
    <row r="53" spans="1:18" s="1834" customFormat="1" ht="13.5" thickBot="1">
      <c r="A53" s="1196"/>
      <c r="B53" s="1198"/>
      <c r="C53" s="1199"/>
      <c r="D53" s="1172"/>
      <c r="E53" s="1200" t="s">
        <v>1402</v>
      </c>
      <c r="F53" s="1275"/>
      <c r="I53" s="1895" t="s">
        <v>1537</v>
      </c>
      <c r="J53" s="1896"/>
      <c r="K53" s="1895" t="s">
        <v>1538</v>
      </c>
      <c r="L53" s="1896"/>
      <c r="O53" s="1886" t="s">
        <v>1041</v>
      </c>
      <c r="P53" s="1877" t="s">
        <v>1539</v>
      </c>
      <c r="Q53" s="1878">
        <f ca="1">J54</f>
        <v>50</v>
      </c>
      <c r="R53" s="1878" t="s">
        <v>1540</v>
      </c>
    </row>
    <row r="54" spans="1:18" s="1834" customFormat="1" ht="24.75" thickBot="1">
      <c r="A54" s="1405" t="s">
        <v>1133</v>
      </c>
      <c r="B54" s="1823" t="s">
        <v>1403</v>
      </c>
      <c r="C54" s="361">
        <f ca="1">ROUND(IF(F54="押一",C50/12*F11,IF(F54="押二",C50/12*2*F11,IF(F54="押三",C50/12*3*F11,C55*F11))),0)</f>
        <v>0</v>
      </c>
      <c r="D54" s="1816" t="s">
        <v>3034</v>
      </c>
      <c r="E54" s="358" t="s">
        <v>1404</v>
      </c>
      <c r="F54" s="1366"/>
      <c r="I54" s="1897" t="s">
        <v>1541</v>
      </c>
      <c r="J54" s="2944">
        <f ca="1">IF(M48="住宅",IF(D1="——",MAX(J52,L49),MAX(J52,L49-'数据-取费表'!B24)),IF(D1="——",MIN(J52,L49),MIN(J52,L49-'数据-取费表'!B24)))</f>
        <v>50</v>
      </c>
      <c r="K54" s="3429" t="s">
        <v>1542</v>
      </c>
      <c r="L54" s="3430"/>
      <c r="O54" s="1876" t="s">
        <v>1042</v>
      </c>
      <c r="P54" s="1877" t="s">
        <v>1543</v>
      </c>
      <c r="Q54" s="1878">
        <f ca="1">Q48+Q49</f>
        <v>177</v>
      </c>
      <c r="R54" s="1878" t="s">
        <v>1043</v>
      </c>
    </row>
    <row r="55" spans="1:18" s="1834" customFormat="1" ht="13.5" thickBot="1">
      <c r="A55" s="1406"/>
      <c r="B55" s="1817" t="s">
        <v>1382</v>
      </c>
      <c r="C55" s="1178"/>
      <c r="D55" s="1816"/>
      <c r="E55" s="3119"/>
      <c r="F55" s="1898"/>
      <c r="I55" s="189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900"/>
      <c r="K55" s="1900"/>
      <c r="L55" s="1900"/>
      <c r="M55" s="1883"/>
      <c r="O55" s="1861" t="s">
        <v>1544</v>
      </c>
      <c r="P55" s="1831"/>
      <c r="Q55" s="1831"/>
      <c r="R55" s="1831"/>
    </row>
    <row r="56" spans="1:18" s="1834" customFormat="1" ht="13.5" thickBot="1">
      <c r="A56" s="1333" t="s">
        <v>1071</v>
      </c>
      <c r="B56" s="1819" t="s">
        <v>1407</v>
      </c>
      <c r="C56" s="1334"/>
      <c r="D56" s="1816"/>
      <c r="E56" s="3119"/>
      <c r="F56" s="1898"/>
      <c r="I56" s="1901" t="s">
        <v>1545</v>
      </c>
      <c r="J56" s="1902" t="e">
        <f ca="1">ROUND(IF(J48="钢混",J58/J51,1-(1-2%)*(J51-J58)/J51),3)</f>
        <v>#VALUE!</v>
      </c>
      <c r="K56" s="1903" t="s">
        <v>1546</v>
      </c>
      <c r="L56" s="1904" t="s">
        <v>1547</v>
      </c>
      <c r="O56" s="1869" t="s">
        <v>1516</v>
      </c>
      <c r="P56" s="1870" t="s">
        <v>1517</v>
      </c>
      <c r="Q56" s="1871" t="s">
        <v>1518</v>
      </c>
      <c r="R56" s="1871" t="s">
        <v>1519</v>
      </c>
    </row>
    <row r="57" spans="1:18" s="1834" customFormat="1" ht="25.5" thickTop="1" thickBot="1">
      <c r="A57" s="1176">
        <v>2</v>
      </c>
      <c r="B57" s="1177" t="s">
        <v>1408</v>
      </c>
      <c r="C57" s="276">
        <f ca="1">C13</f>
        <v>179</v>
      </c>
      <c r="D57" s="1905"/>
      <c r="E57" s="1906"/>
      <c r="F57" s="1898"/>
      <c r="I57" s="1907" t="s">
        <v>1548</v>
      </c>
      <c r="J57" s="1908" t="s">
        <v>3111</v>
      </c>
      <c r="K57" s="1879" t="s">
        <v>1549</v>
      </c>
      <c r="L57" s="1882" t="str">
        <f ca="1">IF(L49&lt;J52,"——",L49-J54)</f>
        <v>——</v>
      </c>
      <c r="O57" s="1876" t="s">
        <v>1036</v>
      </c>
      <c r="P57" s="1877" t="s">
        <v>1522</v>
      </c>
      <c r="Q57" s="1878">
        <f ca="1">C41+J29</f>
        <v>177</v>
      </c>
      <c r="R57" s="1878" t="s">
        <v>1523</v>
      </c>
    </row>
    <row r="58" spans="1:18" s="1834" customFormat="1" ht="24.75" thickBot="1">
      <c r="A58" s="1909"/>
      <c r="B58" s="1169" t="s">
        <v>1472</v>
      </c>
      <c r="C58" s="282">
        <f ca="1">C29</f>
        <v>179</v>
      </c>
      <c r="D58" s="1910"/>
      <c r="E58" s="1911"/>
      <c r="F58" s="1912"/>
      <c r="I58" s="1913" t="s">
        <v>1550</v>
      </c>
      <c r="J58" s="1914" t="str">
        <f ca="1">IF(OR(M48="住宅",J52&lt;L49,J57="是"),"——",J52-L49)</f>
        <v>——</v>
      </c>
      <c r="K58" s="1879" t="s">
        <v>1551</v>
      </c>
      <c r="L58" s="1882" t="str">
        <f ca="1">IF(L49&lt;J52,"——",IF(L56="比较法",L50,IF(L56="基准地价",L51,L52)))</f>
        <v>——</v>
      </c>
      <c r="O58" s="1876" t="s">
        <v>1037</v>
      </c>
      <c r="P58" s="1877" t="s">
        <v>1552</v>
      </c>
      <c r="Q58" s="1878">
        <f ca="1">L61</f>
        <v>0</v>
      </c>
      <c r="R58" s="1878" t="s">
        <v>1553</v>
      </c>
    </row>
    <row r="59" spans="1:18" s="1834" customFormat="1" ht="24.75" thickBot="1">
      <c r="A59" s="360" t="s">
        <v>1026</v>
      </c>
      <c r="B59" s="1177" t="s">
        <v>1418</v>
      </c>
      <c r="C59" s="361">
        <f ca="1">ROUND(C60+C65+C66+C67,0)</f>
        <v>3</v>
      </c>
      <c r="D59" s="1179" t="s">
        <v>1419</v>
      </c>
      <c r="E59" s="1180"/>
      <c r="F59" s="1181"/>
      <c r="I59" s="1913" t="s">
        <v>1554</v>
      </c>
      <c r="J59" s="1915" t="e">
        <f ca="1">IF(J56&lt;0.4,0.4,J56)</f>
        <v>#VALUE!</v>
      </c>
      <c r="K59" s="1892" t="s">
        <v>1555</v>
      </c>
      <c r="L59" s="1882" t="e">
        <f ca="1">ROUND(POWER(1+L53,L48-L49)*(POWER(1+L53,L49)-1)/(POWER(1+L53,L48)-1),4)</f>
        <v>#DIV/0!</v>
      </c>
      <c r="O59" s="1886" t="s">
        <v>1038</v>
      </c>
      <c r="P59" s="1877" t="s">
        <v>1556</v>
      </c>
      <c r="Q59" s="1878">
        <f>IF(L56="比较法",L50,IF(L56="基准地价",L51,0))</f>
        <v>0</v>
      </c>
      <c r="R59" s="1878" t="s">
        <v>1523</v>
      </c>
    </row>
    <row r="60" spans="1:18" s="1834" customFormat="1" ht="24.75" thickBot="1">
      <c r="A60" s="1201" t="s">
        <v>1031</v>
      </c>
      <c r="B60" s="1169" t="s">
        <v>1423</v>
      </c>
      <c r="C60" s="24">
        <f ca="1">ROUND(IF(项目基本情况!B11="自然人",C49*F60,C61+C62+C63),1)</f>
        <v>0</v>
      </c>
      <c r="D60" s="1182" t="s">
        <v>1424</v>
      </c>
      <c r="E60" s="1183" t="s">
        <v>1425</v>
      </c>
      <c r="F60" s="368">
        <f ca="1">IF(项目基本情况!B11="企业","",IF(INDIRECT("'数据-取费表'!c"&amp;$G$1)="住宅",5%,IF(F50*F51*F52/12/(1+'数据-取费表'!C42)&gt;20000,12%,7%)))</f>
        <v>7.0000000000000007E-2</v>
      </c>
      <c r="I60" s="1913" t="s">
        <v>1557</v>
      </c>
      <c r="J60" s="1914" t="str">
        <f ca="1">IF(OR(M48="住宅",J52&lt;L49,J57="是"),"——",ROUND(C29*J59,0))</f>
        <v>——</v>
      </c>
      <c r="K60"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0" s="1882" t="e">
        <f ca="1">ROUND(IF(D1="在建（套用方法）",M60,IF(D1="土地（套用方法）",N60,POWER(1+L53,L48-J52)*(POWER(1+L53,J52)-1)/(POWER(1+L53,L48)-1))),4)</f>
        <v>#DIV/0!</v>
      </c>
      <c r="M60" s="1830" t="e">
        <f ca="1">ROUND(POWER(1+L53,L48-(J52+'数据-取费表'!B24))*(POWER(1+L53,(J52+'数据-取费表'!B24))-1)/(POWER(1+L53,L48)-1),4)</f>
        <v>#DIV/0!</v>
      </c>
      <c r="N60" s="1830" t="e">
        <f ca="1">ROUND(POWER(1+L53,L48-(J52+'数据-取费表'!B20))*(POWER(1+L53,(J52+'数据-取费表'!B20))-1)/(POWER(1+L53,L48)-1),4)</f>
        <v>#DIV/0!</v>
      </c>
      <c r="O60" s="1886" t="s">
        <v>1039</v>
      </c>
      <c r="P60" s="1877" t="s">
        <v>1558</v>
      </c>
      <c r="Q60" s="1889">
        <f>L53</f>
        <v>0</v>
      </c>
      <c r="R60" s="1878"/>
    </row>
    <row r="61" spans="1:18" s="1834" customFormat="1" ht="16.5" thickBot="1">
      <c r="A61" s="1201" t="s">
        <v>1030</v>
      </c>
      <c r="B61" s="1169" t="s">
        <v>1427</v>
      </c>
      <c r="C61" s="24">
        <f ca="1">IF(项目基本情况!B11="自然人","——",ROUND(C49*F61/(1+'数据-取费表'!C42),2))</f>
        <v>0</v>
      </c>
      <c r="D61" s="1183" t="s">
        <v>1428</v>
      </c>
      <c r="E61" s="1169" t="s">
        <v>1416</v>
      </c>
      <c r="F61" s="377">
        <f t="shared" ref="F61:F66" si="0">F32</f>
        <v>0</v>
      </c>
      <c r="I61" s="1916" t="s">
        <v>1559</v>
      </c>
      <c r="J61" s="1917" t="str">
        <f ca="1">IF(OR(M48="住宅",J52&lt;L49,J57="是"),"0",ROUND(J60/(1+J53)^J54,0))</f>
        <v>0</v>
      </c>
      <c r="K61" s="1918" t="s">
        <v>1560</v>
      </c>
      <c r="L61" s="1917">
        <f ca="1">IF(OR(M48="住宅",L49&lt;J52),0,ROUND(L58*(L59/L60-1),0))</f>
        <v>0</v>
      </c>
      <c r="O61" s="1886" t="s">
        <v>1040</v>
      </c>
      <c r="P61" s="1877" t="s">
        <v>1561</v>
      </c>
      <c r="Q61" s="1878" t="e">
        <f ca="1">L59</f>
        <v>#DIV/0!</v>
      </c>
      <c r="R61" s="1878" t="s">
        <v>1562</v>
      </c>
    </row>
    <row r="62" spans="1:18" s="1834" customFormat="1" ht="13.5" thickBot="1">
      <c r="A62" s="1201" t="s">
        <v>1486</v>
      </c>
      <c r="B62" s="1169" t="s">
        <v>1431</v>
      </c>
      <c r="C62" s="24">
        <f ca="1">IF(项目基本情况!B11="自然人","——",IF(D62="按租金收入计税",ROUND(C49*F62,2),IF(D62="按房产原值计税",ROUND(C58*F62*0.7,2),INDIRECT("'数据-取费表'!Aj"&amp;$G$1))))</f>
        <v>0</v>
      </c>
      <c r="D62" s="1820" t="s">
        <v>1432</v>
      </c>
      <c r="E62" s="1169" t="s">
        <v>1416</v>
      </c>
      <c r="F62" s="367">
        <f t="shared" si="0"/>
        <v>0</v>
      </c>
      <c r="I62" s="1919"/>
      <c r="J62" s="1919"/>
      <c r="K62" s="1919"/>
      <c r="L62" s="1919"/>
      <c r="O62" s="1886" t="s">
        <v>1041</v>
      </c>
      <c r="P62" s="1877" t="str">
        <f>K60</f>
        <v>建设期及建筑物耐用年限下的土地年期修正系数Kn</v>
      </c>
      <c r="Q62" s="1878" t="e">
        <f ca="1">L60</f>
        <v>#DIV/0!</v>
      </c>
      <c r="R62" s="1878" t="s">
        <v>1563</v>
      </c>
    </row>
    <row r="63" spans="1:18" s="1834" customFormat="1" ht="13.5" thickBot="1">
      <c r="A63" s="1201" t="s">
        <v>1489</v>
      </c>
      <c r="B63" s="1168" t="s">
        <v>1435</v>
      </c>
      <c r="C63" s="25">
        <f ca="1">IF(项目基本情况!B11="自然人","——",ROUND(F63*F64/10000,2))</f>
        <v>0</v>
      </c>
      <c r="D63" s="1184" t="s">
        <v>1436</v>
      </c>
      <c r="E63" s="1169" t="s">
        <v>1437</v>
      </c>
      <c r="F63" s="371">
        <f t="shared" si="0"/>
        <v>0</v>
      </c>
      <c r="I63" s="1920" t="s">
        <v>1564</v>
      </c>
      <c r="J63" s="1921" t="s">
        <v>1565</v>
      </c>
      <c r="K63" s="1921" t="s">
        <v>1566</v>
      </c>
      <c r="L63" s="1921" t="s">
        <v>1567</v>
      </c>
      <c r="M63" s="1922" t="s">
        <v>1568</v>
      </c>
      <c r="O63" s="1876" t="s">
        <v>1042</v>
      </c>
      <c r="P63" s="1877" t="s">
        <v>1543</v>
      </c>
      <c r="Q63" s="1878">
        <f ca="1">Q57+Q58</f>
        <v>177</v>
      </c>
      <c r="R63" s="1878" t="s">
        <v>1043</v>
      </c>
    </row>
    <row r="64" spans="1:18" s="1834" customFormat="1" ht="13.5" thickBot="1">
      <c r="A64" s="372"/>
      <c r="B64" s="1175"/>
      <c r="C64" s="29"/>
      <c r="D64" s="1185"/>
      <c r="E64" s="1169" t="s">
        <v>1441</v>
      </c>
      <c r="F64" s="348">
        <f t="shared" ca="1" si="0"/>
        <v>0</v>
      </c>
      <c r="I64" s="1920" t="s">
        <v>1570</v>
      </c>
      <c r="J64" s="1921">
        <v>70</v>
      </c>
      <c r="K64" s="1921">
        <v>50</v>
      </c>
      <c r="L64" s="1921">
        <v>80</v>
      </c>
      <c r="M64" s="1923">
        <v>0.02</v>
      </c>
      <c r="O64" s="1861" t="s">
        <v>1571</v>
      </c>
      <c r="P64" s="1831"/>
      <c r="Q64" s="1831"/>
      <c r="R64" s="1831"/>
    </row>
    <row r="65" spans="1:18" s="1834" customFormat="1" ht="13.5" thickBot="1">
      <c r="A65" s="1201" t="s">
        <v>1035</v>
      </c>
      <c r="B65" s="1169" t="s">
        <v>1443</v>
      </c>
      <c r="C65" s="24">
        <f ca="1">ROUND(C58*F65,1)</f>
        <v>2.2999999999999998</v>
      </c>
      <c r="D65" s="1183" t="s">
        <v>1476</v>
      </c>
      <c r="E65" s="1169" t="s">
        <v>1416</v>
      </c>
      <c r="F65" s="374">
        <f t="shared" ca="1" si="0"/>
        <v>1.2999999999999999E-2</v>
      </c>
      <c r="I65" s="1920" t="s">
        <v>1572</v>
      </c>
      <c r="J65" s="1921">
        <v>50</v>
      </c>
      <c r="K65" s="1921">
        <v>35</v>
      </c>
      <c r="L65" s="1921">
        <v>60</v>
      </c>
      <c r="M65" s="1922">
        <v>0</v>
      </c>
      <c r="O65" s="1869" t="s">
        <v>1516</v>
      </c>
      <c r="P65" s="1870" t="s">
        <v>1517</v>
      </c>
      <c r="Q65" s="1871" t="s">
        <v>1518</v>
      </c>
      <c r="R65" s="1871" t="s">
        <v>1519</v>
      </c>
    </row>
    <row r="66" spans="1:18" s="1834" customFormat="1" ht="13.5" thickBot="1">
      <c r="A66" s="1201" t="s">
        <v>1497</v>
      </c>
      <c r="B66" s="1169" t="s">
        <v>1447</v>
      </c>
      <c r="C66" s="24">
        <f ca="1">ROUND(C57*F66,1)</f>
        <v>0.3</v>
      </c>
      <c r="D66" s="1183" t="s">
        <v>1448</v>
      </c>
      <c r="E66" s="1169" t="s">
        <v>1416</v>
      </c>
      <c r="F66" s="376">
        <f t="shared" ca="1" si="0"/>
        <v>1.5E-3</v>
      </c>
      <c r="I66" s="1920" t="s">
        <v>1573</v>
      </c>
      <c r="J66" s="1921">
        <v>40</v>
      </c>
      <c r="K66" s="1921">
        <v>30</v>
      </c>
      <c r="L66" s="1921">
        <v>50</v>
      </c>
      <c r="M66" s="1923">
        <v>0.02</v>
      </c>
      <c r="O66" s="1876" t="s">
        <v>1036</v>
      </c>
      <c r="P66" s="1877" t="s">
        <v>1522</v>
      </c>
      <c r="Q66" s="1878">
        <f ca="1">C41+J29</f>
        <v>177</v>
      </c>
      <c r="R66" s="1878" t="s">
        <v>1523</v>
      </c>
    </row>
    <row r="67" spans="1:18" s="1834" customFormat="1" ht="16.5" thickBot="1">
      <c r="A67" s="1201" t="s">
        <v>1498</v>
      </c>
      <c r="B67" s="1169" t="s">
        <v>1433</v>
      </c>
      <c r="C67" s="24">
        <f ca="1">ROUND(C49*F67,1)</f>
        <v>0</v>
      </c>
      <c r="D67" s="1183" t="s">
        <v>1453</v>
      </c>
      <c r="E67" s="1169" t="s">
        <v>1416</v>
      </c>
      <c r="F67" s="357">
        <f t="shared" ref="F67" si="1">F39</f>
        <v>9</v>
      </c>
      <c r="O67" s="1876" t="s">
        <v>1037</v>
      </c>
      <c r="P67" s="1877" t="s">
        <v>1552</v>
      </c>
      <c r="Q67" s="1878">
        <f ca="1">L61</f>
        <v>0</v>
      </c>
      <c r="R67" s="1878" t="s">
        <v>1575</v>
      </c>
    </row>
    <row r="68" spans="1:18" s="1834" customFormat="1" ht="16.5" thickBot="1">
      <c r="A68" s="1176" t="s">
        <v>1027</v>
      </c>
      <c r="B68" s="1186" t="s">
        <v>1457</v>
      </c>
      <c r="C68" s="361">
        <f ca="1">C49-C59</f>
        <v>-3</v>
      </c>
      <c r="D68" s="1182" t="s">
        <v>1458</v>
      </c>
      <c r="E68" s="1187"/>
      <c r="F68" s="1188"/>
      <c r="O68" s="1886" t="s">
        <v>1038</v>
      </c>
      <c r="P68" s="1877" t="s">
        <v>1556</v>
      </c>
      <c r="Q68" s="1924">
        <f ca="1">L52</f>
        <v>-133</v>
      </c>
      <c r="R68" s="1878" t="s">
        <v>1576</v>
      </c>
    </row>
    <row r="69" spans="1:18" s="1834" customFormat="1" ht="16.5" thickBot="1">
      <c r="A69" s="1166" t="s">
        <v>1028</v>
      </c>
      <c r="B69" s="1167" t="s">
        <v>1479</v>
      </c>
      <c r="C69" s="346">
        <f ca="1">ROUND(C68*(1-((1+F71)/(1+F69))^F70)/(F69-F71),0)</f>
        <v>-51</v>
      </c>
      <c r="D69" s="1184" t="s">
        <v>1463</v>
      </c>
      <c r="E69" s="1169" t="s">
        <v>1464</v>
      </c>
      <c r="F69" s="357">
        <f ca="1">F41</f>
        <v>5.5E-2</v>
      </c>
      <c r="O69" s="1886" t="s">
        <v>1039</v>
      </c>
      <c r="P69" s="1925" t="s">
        <v>1577</v>
      </c>
      <c r="Q69" s="1878">
        <f ca="1">ROUND(Q70-Q71*Q72,0)</f>
        <v>-5</v>
      </c>
      <c r="R69" s="1878" t="s">
        <v>1047</v>
      </c>
    </row>
    <row r="70" spans="1:18" s="1834" customFormat="1" ht="13.5" thickBot="1">
      <c r="A70" s="1170"/>
      <c r="B70" s="1171"/>
      <c r="C70" s="351"/>
      <c r="D70" s="1189" t="s">
        <v>1467</v>
      </c>
      <c r="E70" s="1169" t="s">
        <v>1468</v>
      </c>
      <c r="F70" s="379">
        <f ca="1">F42</f>
        <v>50</v>
      </c>
      <c r="O70" s="1886" t="s">
        <v>1044</v>
      </c>
      <c r="P70" s="1925" t="s">
        <v>1578</v>
      </c>
      <c r="Q70" s="1878">
        <f ca="1">C40</f>
        <v>9</v>
      </c>
      <c r="R70" s="1878" t="s">
        <v>1523</v>
      </c>
    </row>
    <row r="71" spans="1:18" s="1834" customFormat="1" ht="13.5" thickBot="1">
      <c r="A71" s="1173"/>
      <c r="B71" s="1174"/>
      <c r="C71" s="355"/>
      <c r="D71" s="1185"/>
      <c r="E71" s="1169" t="s">
        <v>1471</v>
      </c>
      <c r="F71" s="1275"/>
      <c r="O71" s="1886" t="s">
        <v>1045</v>
      </c>
      <c r="P71" s="1925" t="s">
        <v>1579</v>
      </c>
      <c r="Q71" s="1878">
        <f ca="1">C13</f>
        <v>179</v>
      </c>
      <c r="R71" s="1878" t="s">
        <v>1523</v>
      </c>
    </row>
    <row r="72" spans="1:18" s="1834" customFormat="1" ht="13.5" thickBot="1">
      <c r="A72" s="1190" t="s">
        <v>1029</v>
      </c>
      <c r="B72" s="1191" t="s">
        <v>1481</v>
      </c>
      <c r="C72" s="382">
        <f ca="1">ROUND(C69*10000/F72,0)</f>
        <v>-1297</v>
      </c>
      <c r="D72" s="1192" t="s">
        <v>1482</v>
      </c>
      <c r="E72" s="1193" t="s">
        <v>1483</v>
      </c>
      <c r="F72" s="385">
        <f ca="1">F44</f>
        <v>393.1</v>
      </c>
      <c r="O72" s="1886" t="s">
        <v>1046</v>
      </c>
      <c r="P72" s="1925" t="s">
        <v>1580</v>
      </c>
      <c r="Q72" s="1889">
        <f ca="1">C77</f>
        <v>0.08</v>
      </c>
      <c r="R72" s="1878"/>
    </row>
    <row r="73" spans="1:18" s="1834" customFormat="1" ht="13.5" thickBot="1">
      <c r="B73" s="796"/>
      <c r="C73" s="796"/>
      <c r="O73" s="1886" t="s">
        <v>1040</v>
      </c>
      <c r="P73" s="1877" t="s">
        <v>1558</v>
      </c>
      <c r="Q73" s="1889">
        <f>L53</f>
        <v>0</v>
      </c>
      <c r="R73" s="1878"/>
    </row>
    <row r="74" spans="1:18" ht="16.5" thickBot="1">
      <c r="A74" s="1834"/>
      <c r="B74" s="796"/>
      <c r="C74" s="796"/>
      <c r="D74" s="1834"/>
      <c r="E74" s="1834"/>
      <c r="F74" s="1834"/>
      <c r="O74" s="1886" t="s">
        <v>1041</v>
      </c>
      <c r="P74" s="1877" t="s">
        <v>1561</v>
      </c>
      <c r="Q74" s="1878" t="e">
        <f ca="1">L59</f>
        <v>#DIV/0!</v>
      </c>
      <c r="R74" s="1878" t="s">
        <v>1562</v>
      </c>
    </row>
    <row r="75" spans="1:18" ht="13.5" thickBot="1">
      <c r="A75" s="1834"/>
      <c r="B75" s="317" t="s">
        <v>1581</v>
      </c>
      <c r="C75" s="1927"/>
      <c r="D75" s="1834"/>
      <c r="E75" s="1834"/>
      <c r="F75" s="1834"/>
      <c r="O75" s="1886" t="s">
        <v>1048</v>
      </c>
      <c r="P75" s="1877" t="str">
        <f>K60</f>
        <v>建设期及建筑物耐用年限下的土地年期修正系数Kn</v>
      </c>
      <c r="Q75" s="1878" t="e">
        <f ca="1">L60</f>
        <v>#DIV/0!</v>
      </c>
      <c r="R75" s="1878" t="s">
        <v>1563</v>
      </c>
    </row>
    <row r="76" spans="1:18" ht="13.5" thickBot="1">
      <c r="A76" s="1834"/>
      <c r="B76" s="386" t="s">
        <v>1500</v>
      </c>
      <c r="C76" s="387">
        <f ca="1">ROUND(C13*C77,0)</f>
        <v>14</v>
      </c>
      <c r="D76" s="1834"/>
      <c r="E76" s="1834"/>
      <c r="F76" s="1834"/>
      <c r="K76" s="1860"/>
      <c r="L76" s="1834"/>
      <c r="O76" s="1876" t="s">
        <v>1042</v>
      </c>
      <c r="P76" s="1877" t="s">
        <v>1543</v>
      </c>
      <c r="Q76" s="1878">
        <f ca="1">Q66+Q67</f>
        <v>177</v>
      </c>
      <c r="R76" s="1878" t="s">
        <v>1043</v>
      </c>
    </row>
    <row r="77" spans="1:18">
      <c r="B77" s="388" t="s">
        <v>1501</v>
      </c>
      <c r="C77" s="389">
        <f ca="1">INDIRECT("'数据-取费表'!j"&amp;$G$1)</f>
        <v>0.08</v>
      </c>
      <c r="I77" s="1834"/>
      <c r="J77" s="1834"/>
      <c r="K77" s="1860"/>
      <c r="L77" s="1834"/>
    </row>
    <row r="78" spans="1:18">
      <c r="B78" s="390" t="s">
        <v>1502</v>
      </c>
      <c r="C78" s="391"/>
      <c r="I78" s="1834"/>
      <c r="J78" s="1834"/>
      <c r="K78" s="1860"/>
      <c r="L78" s="1834"/>
    </row>
    <row r="79" spans="1:18">
      <c r="B79" s="314" t="s">
        <v>1503</v>
      </c>
      <c r="C79" s="392"/>
    </row>
    <row r="80" spans="1:18">
      <c r="B80" s="386" t="s">
        <v>1504</v>
      </c>
      <c r="C80" s="318">
        <f ca="1">1-C81</f>
        <v>-0.55600000000000005</v>
      </c>
    </row>
    <row r="81" spans="2:3">
      <c r="B81" s="386" t="s">
        <v>1505</v>
      </c>
      <c r="C81" s="318">
        <f ca="1">ROUND(C76/C40,3)</f>
        <v>1.556</v>
      </c>
    </row>
    <row r="82" spans="2:3">
      <c r="B82" s="314" t="s">
        <v>1506</v>
      </c>
      <c r="C82" s="282"/>
    </row>
    <row r="83" spans="2:3">
      <c r="B83" s="317" t="s">
        <v>1507</v>
      </c>
      <c r="C83" s="319">
        <f ca="1">1-C84</f>
        <v>-1.0999999999999899E-2</v>
      </c>
    </row>
    <row r="84" spans="2:3">
      <c r="B84" s="317" t="s">
        <v>1508</v>
      </c>
      <c r="C84" s="318">
        <f ca="1">ROUND(C13/C41,3)</f>
        <v>1.0109999999999999</v>
      </c>
    </row>
  </sheetData>
  <sheetProtection formatCells="0" formatColumns="0" formatRows="0"/>
  <mergeCells count="3">
    <mergeCell ref="B6:B9"/>
    <mergeCell ref="I6:I9"/>
    <mergeCell ref="K54:L54"/>
  </mergeCells>
  <phoneticPr fontId="143" type="noConversion"/>
  <conditionalFormatting sqref="K56 K61">
    <cfRule type="expression" dxfId="137" priority="4">
      <formula>$L$49&gt;$J$52</formula>
    </cfRule>
  </conditionalFormatting>
  <conditionalFormatting sqref="I56 I61">
    <cfRule type="expression" dxfId="136" priority="5">
      <formula>$J$52&gt;$L$49</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5">
    <cfRule type="expression" dxfId="133" priority="1">
      <formula>$F$54="自定义"</formula>
    </cfRule>
  </conditionalFormatting>
  <dataValidations count="9">
    <dataValidation type="list" allowBlank="1" showInputMessage="1" showErrorMessage="1" sqref="D1" xr:uid="{00000000-0002-0000-1A00-000000000000}">
      <formula1>"在建（套用方法）,土地（套用方法）,——"</formula1>
    </dataValidation>
    <dataValidation type="list" allowBlank="1" showInputMessage="1" showErrorMessage="1" sqref="M10 F10 F54" xr:uid="{00000000-0002-0000-1A00-000001000000}">
      <formula1>"押一,押二,押三,自定义"</formula1>
    </dataValidation>
    <dataValidation type="list" allowBlank="1" showInputMessage="1" showErrorMessage="1" sqref="L56" xr:uid="{00000000-0002-0000-1A00-000002000000}">
      <formula1>"比较法,基准地价,收益还原"</formula1>
    </dataValidation>
    <dataValidation type="list" allowBlank="1" showInputMessage="1" showErrorMessage="1" sqref="J57" xr:uid="{00000000-0002-0000-1A00-000003000000}">
      <formula1>判定</formula1>
    </dataValidation>
    <dataValidation type="list" allowBlank="1" showInputMessage="1" showErrorMessage="1" sqref="J49" xr:uid="{00000000-0002-0000-1A00-000004000000}">
      <formula1>"非生产用房,生产用房,受腐蚀的生产用房"</formula1>
    </dataValidation>
    <dataValidation type="list" allowBlank="1" showInputMessage="1" showErrorMessage="1" sqref="J48" xr:uid="{00000000-0002-0000-1A00-000005000000}">
      <formula1>"钢,钢混,砖混"</formula1>
    </dataValidation>
    <dataValidation type="list" allowBlank="1" showInputMessage="1" showErrorMessage="1" sqref="C1" xr:uid="{00000000-0002-0000-1A00-000006000000}">
      <formula1>项目类型</formula1>
    </dataValidation>
    <dataValidation type="list" allowBlank="1" showInputMessage="1" showErrorMessage="1" sqref="D33 D62" xr:uid="{00000000-0002-0000-1A00-000007000000}">
      <formula1>"按租金收入计税,按房产原值计税,按票据"</formula1>
    </dataValidation>
    <dataValidation type="list" allowBlank="1" showInputMessage="1" showErrorMessage="1" sqref="K19" xr:uid="{00000000-0002-0000-1A00-000008000000}">
      <formula1>"按租金收入计税,按房产原值计税"</formula1>
    </dataValidation>
  </dataValidations>
  <pageMargins left="0.7" right="0.7" top="0.75" bottom="0.75" header="0.3" footer="0.3"/>
  <pageSetup paperSize="9" scale="75" orientation="portrait" r:id="rId1"/>
  <rowBreaks count="1" manualBreakCount="1">
    <brk id="45"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33"/>
  <sheetViews>
    <sheetView zoomScaleNormal="100" workbookViewId="0">
      <selection activeCell="C16" sqref="C16"/>
    </sheetView>
  </sheetViews>
  <sheetFormatPr defaultColWidth="8.875" defaultRowHeight="13.5"/>
  <cols>
    <col min="3" max="3" width="10.5" bestFit="1" customWidth="1"/>
    <col min="5" max="5" width="9.5" bestFit="1" customWidth="1"/>
    <col min="7" max="7" width="9.625" customWidth="1"/>
    <col min="8" max="9" width="11.625" customWidth="1"/>
    <col min="11" max="11" width="10.625" customWidth="1"/>
    <col min="12" max="12" width="13.125" customWidth="1"/>
    <col min="13" max="13" width="10.5" bestFit="1" customWidth="1"/>
  </cols>
  <sheetData>
    <row r="1" spans="1:14">
      <c r="B1" s="2984" t="s">
        <v>3198</v>
      </c>
      <c r="C1" s="2984" t="s">
        <v>3200</v>
      </c>
      <c r="D1" s="2984" t="s">
        <v>3202</v>
      </c>
      <c r="E1" s="2984" t="s">
        <v>3210</v>
      </c>
    </row>
    <row r="2" spans="1:14">
      <c r="A2" s="2984" t="s">
        <v>3155</v>
      </c>
      <c r="B2">
        <v>2574.5100000000002</v>
      </c>
      <c r="C2">
        <v>240</v>
      </c>
      <c r="D2">
        <v>1040</v>
      </c>
      <c r="E2">
        <f>SUM(B2:D2)</f>
        <v>3854.51</v>
      </c>
    </row>
    <row r="3" spans="1:14">
      <c r="A3" s="2984" t="s">
        <v>3154</v>
      </c>
      <c r="E3">
        <f>C16</f>
        <v>6180.6</v>
      </c>
    </row>
    <row r="7" spans="1:14">
      <c r="B7" t="s">
        <v>3193</v>
      </c>
    </row>
    <row r="8" spans="1:14">
      <c r="B8" s="2984" t="s">
        <v>3194</v>
      </c>
    </row>
    <row r="10" spans="1:14">
      <c r="B10" s="2984" t="s">
        <v>3156</v>
      </c>
      <c r="F10">
        <v>400</v>
      </c>
      <c r="H10">
        <v>100</v>
      </c>
      <c r="J10" s="2984" t="s">
        <v>3157</v>
      </c>
    </row>
    <row r="11" spans="1:14">
      <c r="D11" s="2984" t="s">
        <v>3162</v>
      </c>
      <c r="F11" s="2984" t="s">
        <v>3187</v>
      </c>
      <c r="H11" s="2984" t="s">
        <v>3188</v>
      </c>
      <c r="I11" s="2984"/>
    </row>
    <row r="12" spans="1:14">
      <c r="B12" s="2984" t="s">
        <v>3155</v>
      </c>
      <c r="C12">
        <f>E2-C25</f>
        <v>1280</v>
      </c>
      <c r="D12">
        <v>3500</v>
      </c>
      <c r="E12">
        <f>C12*D12</f>
        <v>4480000</v>
      </c>
      <c r="F12">
        <f>D12+F10</f>
        <v>3900</v>
      </c>
      <c r="G12">
        <f>F12*$C$12</f>
        <v>4992000</v>
      </c>
      <c r="H12">
        <f>D12</f>
        <v>3500</v>
      </c>
      <c r="I12">
        <f>H12*C12</f>
        <v>4480000</v>
      </c>
      <c r="J12" s="2984" t="s">
        <v>3158</v>
      </c>
      <c r="K12">
        <v>25775.56</v>
      </c>
      <c r="L12">
        <v>2750</v>
      </c>
      <c r="N12" s="2984" t="s">
        <v>3159</v>
      </c>
    </row>
    <row r="13" spans="1:14">
      <c r="L13">
        <v>1000</v>
      </c>
      <c r="N13" s="2984" t="s">
        <v>3160</v>
      </c>
    </row>
    <row r="14" spans="1:14">
      <c r="B14" s="2984" t="s">
        <v>3163</v>
      </c>
      <c r="C14">
        <f>12361.15-6180.6</f>
        <v>6180.5499999999993</v>
      </c>
      <c r="D14">
        <v>3500</v>
      </c>
      <c r="E14">
        <f>C14*D14</f>
        <v>21631924.999999996</v>
      </c>
      <c r="F14">
        <f>D14+F10</f>
        <v>3900</v>
      </c>
      <c r="G14">
        <f>F14*C14</f>
        <v>24104144.999999996</v>
      </c>
      <c r="H14">
        <f>H12</f>
        <v>3500</v>
      </c>
      <c r="I14">
        <f t="shared" ref="I14" si="0">H14*C14</f>
        <v>21631924.999999996</v>
      </c>
      <c r="L14">
        <v>500</v>
      </c>
      <c r="N14" s="2984" t="s">
        <v>3161</v>
      </c>
    </row>
    <row r="16" spans="1:14">
      <c r="B16" s="2984" t="s">
        <v>3154</v>
      </c>
      <c r="C16">
        <v>6180.6</v>
      </c>
      <c r="D16">
        <f>D12+500</f>
        <v>4000</v>
      </c>
      <c r="E16">
        <f>C16*D16</f>
        <v>24722400</v>
      </c>
      <c r="F16">
        <f>D16+F10</f>
        <v>4400</v>
      </c>
      <c r="G16">
        <f>F16*C16</f>
        <v>27194640</v>
      </c>
      <c r="H16">
        <f>D16+H10</f>
        <v>4100</v>
      </c>
      <c r="I16">
        <f>H16*C16</f>
        <v>25340460</v>
      </c>
    </row>
    <row r="18" spans="2:13">
      <c r="E18">
        <f>SUM(E12:E17)</f>
        <v>50834325</v>
      </c>
      <c r="G18">
        <f>SUM(G12:G17)</f>
        <v>56290785</v>
      </c>
      <c r="I18">
        <f>SUM(I12:I17)</f>
        <v>51452385</v>
      </c>
    </row>
    <row r="20" spans="2:13">
      <c r="C20">
        <f>SUM(C12:C16)</f>
        <v>13641.15</v>
      </c>
      <c r="E20">
        <f>SUM(E12:E16)</f>
        <v>50834325</v>
      </c>
      <c r="G20">
        <f>G12+G16</f>
        <v>32186640</v>
      </c>
      <c r="I20">
        <f>I12+I16</f>
        <v>29820460</v>
      </c>
    </row>
    <row r="22" spans="2:13">
      <c r="E22" s="2983">
        <f>E18/E20</f>
        <v>1</v>
      </c>
      <c r="G22">
        <f>G20/(C12+C16)</f>
        <v>4314.2160147977374</v>
      </c>
      <c r="I22">
        <f>ROUND(I20/(C12+C16),0)</f>
        <v>3997</v>
      </c>
      <c r="L22" s="2983">
        <f>SUM(L12:L21)</f>
        <v>4250</v>
      </c>
      <c r="M22">
        <f>K12*L22</f>
        <v>109546130</v>
      </c>
    </row>
    <row r="24" spans="2:13">
      <c r="E24">
        <f>E12+E16</f>
        <v>29202400</v>
      </c>
      <c r="G24">
        <f>G12+G16</f>
        <v>32186640</v>
      </c>
    </row>
    <row r="25" spans="2:13">
      <c r="B25" s="2984" t="s">
        <v>3195</v>
      </c>
      <c r="C25">
        <v>2574.5100000000002</v>
      </c>
      <c r="H25">
        <f>H12</f>
        <v>3500</v>
      </c>
      <c r="I25">
        <f>H25*C25</f>
        <v>9010785</v>
      </c>
      <c r="K25">
        <f>G20-I20</f>
        <v>2366180</v>
      </c>
    </row>
    <row r="26" spans="2:13">
      <c r="K26" s="3112">
        <f>K25/K12</f>
        <v>91.799363427991466</v>
      </c>
    </row>
    <row r="30" spans="2:13">
      <c r="B30" s="2985"/>
      <c r="C30" s="2986" t="s">
        <v>3167</v>
      </c>
      <c r="D30" s="2986" t="s">
        <v>3168</v>
      </c>
      <c r="E30" s="2986" t="s">
        <v>3169</v>
      </c>
    </row>
    <row r="31" spans="2:13">
      <c r="B31" s="2986" t="s">
        <v>3165</v>
      </c>
      <c r="C31" s="2985">
        <f>M22</f>
        <v>109546130</v>
      </c>
      <c r="D31" s="2985">
        <f>K12</f>
        <v>25775.56</v>
      </c>
      <c r="E31" s="2985"/>
      <c r="K31" s="3437" t="s">
        <v>3192</v>
      </c>
      <c r="L31" s="3437"/>
      <c r="M31" s="3113">
        <f>I20+M22</f>
        <v>139366590</v>
      </c>
    </row>
    <row r="32" spans="2:13">
      <c r="B32" s="2986" t="s">
        <v>3166</v>
      </c>
      <c r="C32" s="2985">
        <f>G24</f>
        <v>32186640</v>
      </c>
      <c r="D32" s="2985">
        <f>C12+C16</f>
        <v>7460.6</v>
      </c>
      <c r="E32" s="2985"/>
      <c r="K32" s="3437" t="s">
        <v>3189</v>
      </c>
      <c r="L32" s="3114" t="s">
        <v>3190</v>
      </c>
      <c r="M32" s="3115">
        <f>M31/K12</f>
        <v>5406.9277253336104</v>
      </c>
    </row>
    <row r="33" spans="2:13">
      <c r="B33" s="2986" t="s">
        <v>3164</v>
      </c>
      <c r="C33" s="2985">
        <f>SUM(C31:C32)</f>
        <v>141732770</v>
      </c>
      <c r="D33" s="2985">
        <f>SUM(D31:D32)</f>
        <v>33236.160000000003</v>
      </c>
      <c r="E33" s="2985">
        <f>C33/D31</f>
        <v>5498.7270887616014</v>
      </c>
      <c r="K33" s="3437"/>
      <c r="L33" s="3114" t="s">
        <v>3191</v>
      </c>
      <c r="M33" s="3115">
        <f>M31/(K12+C12+C16)</f>
        <v>4193.2217801334446</v>
      </c>
    </row>
  </sheetData>
  <mergeCells count="2">
    <mergeCell ref="K32:K33"/>
    <mergeCell ref="K31:L3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topLeftCell="A7" zoomScale="90" zoomScaleNormal="90"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26" customWidth="1"/>
    <col min="12" max="12" width="16.375" style="302" customWidth="1"/>
    <col min="13" max="13" width="13" style="302" customWidth="1"/>
    <col min="14" max="14" width="13.875" style="1834" customWidth="1"/>
    <col min="15" max="15" width="5.125" style="1834" customWidth="1"/>
    <col min="16" max="16" width="25.875" style="1834" customWidth="1"/>
    <col min="17" max="17" width="13.875" style="1834" customWidth="1"/>
    <col min="18" max="18" width="20.5" style="1834" customWidth="1"/>
    <col min="19" max="19" width="13.125" style="1834" customWidth="1"/>
    <col min="20" max="37" width="9" style="1834"/>
    <col min="38" max="16384" width="9" style="302"/>
  </cols>
  <sheetData>
    <row r="1" spans="1:37" s="337" customFormat="1" ht="21">
      <c r="A1" s="1825" t="s">
        <v>1583</v>
      </c>
      <c r="B1" s="782"/>
      <c r="C1" s="1829" t="s">
        <v>3115</v>
      </c>
      <c r="D1" s="1812"/>
      <c r="E1" s="1813" t="s">
        <v>1381</v>
      </c>
      <c r="F1" s="1283" t="e">
        <f ca="1">J53</f>
        <v>#N/A</v>
      </c>
      <c r="G1" s="182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t="e">
        <f ca="1">C40+J29+L46</f>
        <v>#N/A</v>
      </c>
      <c r="C2" s="1837" t="s">
        <v>1510</v>
      </c>
      <c r="D2" s="1837"/>
      <c r="E2" s="1838"/>
      <c r="F2" s="1839"/>
      <c r="G2" s="1840"/>
      <c r="H2" s="1832"/>
      <c r="I2" s="1832"/>
      <c r="J2" s="1832"/>
      <c r="K2" s="1833"/>
      <c r="L2" s="1832"/>
      <c r="M2" s="1832"/>
    </row>
    <row r="3" spans="1:37" ht="18" customHeight="1" thickBot="1">
      <c r="A3" s="1841" t="s">
        <v>1511</v>
      </c>
      <c r="B3" s="1842">
        <f ca="1">IF(ISERROR(B2*10000/F43),0,ROUND(B2*10000/F43,0))</f>
        <v>0</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t="e">
        <f ca="1">C6+C10+C12</f>
        <v>#N/A</v>
      </c>
      <c r="D5" s="1814" t="s">
        <v>1396</v>
      </c>
      <c r="E5" s="1293"/>
      <c r="F5" s="1294"/>
      <c r="G5" s="1843"/>
      <c r="H5" s="344">
        <v>1</v>
      </c>
      <c r="I5" s="345" t="s">
        <v>1395</v>
      </c>
      <c r="J5" s="1292" t="e">
        <f ca="1">J6+J10+J12</f>
        <v>#N/A</v>
      </c>
      <c r="K5" s="1814" t="s">
        <v>1396</v>
      </c>
      <c r="L5" s="1293"/>
      <c r="M5" s="1294"/>
    </row>
    <row r="6" spans="1:37" ht="18" customHeight="1">
      <c r="A6" s="1291" t="s">
        <v>1031</v>
      </c>
      <c r="B6" s="3434" t="s">
        <v>1397</v>
      </c>
      <c r="C6" s="1296" t="e">
        <f ca="1">ROUND(F6*F8*F7*(1-F9)/10000,0)</f>
        <v>#N/A</v>
      </c>
      <c r="D6" s="164" t="s">
        <v>3026</v>
      </c>
      <c r="E6" s="347" t="s">
        <v>1399</v>
      </c>
      <c r="F6" s="348" t="e">
        <f ca="1">INDIRECT("'数据-取费表'!u"&amp;$G$1)</f>
        <v>#N/A</v>
      </c>
      <c r="G6" s="1843"/>
      <c r="H6" s="1291" t="s">
        <v>1031</v>
      </c>
      <c r="I6" s="3434" t="s">
        <v>1397</v>
      </c>
      <c r="J6" s="346" t="e">
        <f ca="1">ROUND(M6*M8*M7*(1-M9)/10000,0)</f>
        <v>#N/A</v>
      </c>
      <c r="K6" s="164" t="s">
        <v>3025</v>
      </c>
      <c r="L6" s="347" t="s">
        <v>1399</v>
      </c>
      <c r="M6" s="348" t="e">
        <f ca="1">INDIRECT("'数据-取费表'!z"&amp;$G$1)</f>
        <v>#N/A</v>
      </c>
    </row>
    <row r="7" spans="1:37" ht="18" customHeight="1">
      <c r="A7" s="1295"/>
      <c r="B7" s="3435"/>
      <c r="C7" s="1297"/>
      <c r="D7" s="352"/>
      <c r="E7" s="2969" t="s">
        <v>1400</v>
      </c>
      <c r="F7" s="348" t="e">
        <f ca="1">IF(INDIRECT("'数据-取费表'!ah"&amp;$G$1)="",INDIRECT("'数据-取费表'!k"&amp;$G$1),INDIRECT("'数据-取费表'!ah"&amp;$G$1))</f>
        <v>#N/A</v>
      </c>
      <c r="G7" s="1843"/>
      <c r="H7" s="349"/>
      <c r="I7" s="3435"/>
      <c r="J7" s="351"/>
      <c r="K7" s="352"/>
      <c r="L7" s="347" t="s">
        <v>1400</v>
      </c>
      <c r="M7" s="348" t="e">
        <f ca="1">F7</f>
        <v>#N/A</v>
      </c>
    </row>
    <row r="8" spans="1:37" ht="18" customHeight="1">
      <c r="A8" s="349"/>
      <c r="B8" s="3435"/>
      <c r="C8" s="351"/>
      <c r="D8" s="352"/>
      <c r="E8" s="347" t="s">
        <v>1401</v>
      </c>
      <c r="F8" s="348" t="e">
        <f ca="1">INDIRECT("'数据-取费表'!ai"&amp;$G$1)</f>
        <v>#N/A</v>
      </c>
      <c r="G8" s="1843"/>
      <c r="H8" s="349"/>
      <c r="I8" s="3435"/>
      <c r="J8" s="351"/>
      <c r="K8" s="352"/>
      <c r="L8" s="347" t="s">
        <v>1401</v>
      </c>
      <c r="M8" s="348" t="e">
        <f ca="1">INDIRECT("'数据-取费表'!ai"&amp;$G$1)</f>
        <v>#N/A</v>
      </c>
    </row>
    <row r="9" spans="1:37" ht="18" customHeight="1">
      <c r="A9" s="349"/>
      <c r="B9" s="3436"/>
      <c r="C9" s="351"/>
      <c r="D9" s="352"/>
      <c r="E9" s="347" t="s">
        <v>1402</v>
      </c>
      <c r="F9" s="357" t="e">
        <f ca="1">INDIRECT("'数据-取费表'!w"&amp;$G$1)</f>
        <v>#N/A</v>
      </c>
      <c r="G9" s="1843"/>
      <c r="H9" s="349"/>
      <c r="I9" s="3436"/>
      <c r="J9" s="351"/>
      <c r="K9" s="352"/>
      <c r="L9" s="358" t="s">
        <v>1402</v>
      </c>
      <c r="M9" s="359" t="e">
        <f ca="1">INDIRECT("'数据-取费表'!ab"&amp;$G$1)</f>
        <v>#N/A</v>
      </c>
    </row>
    <row r="10" spans="1:37" ht="18" customHeight="1">
      <c r="A10" s="1291" t="s">
        <v>1035</v>
      </c>
      <c r="B10" s="1815" t="s">
        <v>1403</v>
      </c>
      <c r="C10" s="361" t="e">
        <f ca="1">ROUND(IF(F10="押一",C6/12*F11,IF(F10="押二",C6/12*2*F11,IF(F10="押三",C6/12*3*F11,C11*F11))),0)</f>
        <v>#N/A</v>
      </c>
      <c r="D10" s="1816" t="s">
        <v>3034</v>
      </c>
      <c r="E10" s="358" t="s">
        <v>1404</v>
      </c>
      <c r="F10" s="1366" t="s">
        <v>3141</v>
      </c>
      <c r="G10" s="1843"/>
      <c r="H10" s="1291" t="s">
        <v>1035</v>
      </c>
      <c r="I10" s="1815" t="s">
        <v>1403</v>
      </c>
      <c r="J10" s="346" t="e">
        <f ca="1">ROUND(IF(M10="押一",J6/12*M11,IF(M10="押二",J6/12*2*M11,IF(M10="押三",J6/12*3*M11,J11*M11))),0)</f>
        <v>#N/A</v>
      </c>
      <c r="K10" s="1816" t="s">
        <v>3034</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t="e">
        <f ca="1">ROUND(C29*F13,0)</f>
        <v>#N/A</v>
      </c>
      <c r="D13" s="1331" t="s">
        <v>1409</v>
      </c>
      <c r="E13" s="1331" t="s">
        <v>1410</v>
      </c>
      <c r="F13" s="1332" t="e">
        <f ca="1">INDIRECT("'数据-取费表'!y"&amp;$G$1)</f>
        <v>#N/A</v>
      </c>
      <c r="G13" s="1843"/>
      <c r="H13" s="1329">
        <v>2</v>
      </c>
      <c r="I13" s="1330" t="s">
        <v>1408</v>
      </c>
      <c r="J13" s="1290" t="e">
        <f ca="1">ROUND(J14*J15,0)</f>
        <v>#N/A</v>
      </c>
      <c r="K13" s="1337" t="s">
        <v>1409</v>
      </c>
      <c r="L13" s="1844"/>
      <c r="M13" s="1845"/>
    </row>
    <row r="14" spans="1:37" ht="18" customHeight="1">
      <c r="A14" s="1201" t="s">
        <v>1030</v>
      </c>
      <c r="B14" s="347" t="s">
        <v>1411</v>
      </c>
      <c r="C14" s="363" t="e">
        <f ca="1">INDIRECT("'数据-取费表'!m"&amp;$G$1)+INDIRECT("'数据-取费表'!t"&amp;$G$1)</f>
        <v>#N/A</v>
      </c>
      <c r="D14" s="2963" t="s">
        <v>1412</v>
      </c>
      <c r="E14" s="2961"/>
      <c r="F14" s="364"/>
      <c r="G14" s="1843"/>
      <c r="H14" s="1201" t="s">
        <v>1031</v>
      </c>
      <c r="I14" s="347" t="s">
        <v>1413</v>
      </c>
      <c r="J14" s="24" t="e">
        <f ca="1">C29</f>
        <v>#N/A</v>
      </c>
      <c r="K14" s="2968"/>
      <c r="L14" s="979"/>
      <c r="M14" s="980"/>
    </row>
    <row r="15" spans="1:37" s="1850" customFormat="1" ht="18" customHeight="1" thickBot="1">
      <c r="A15" s="1201" t="s">
        <v>1032</v>
      </c>
      <c r="B15" s="347" t="s">
        <v>1414</v>
      </c>
      <c r="C15" s="24" t="e">
        <f ca="1">ROUND(C14*F15,0)</f>
        <v>#N/A</v>
      </c>
      <c r="D15" s="365" t="s">
        <v>1415</v>
      </c>
      <c r="E15" s="365" t="s">
        <v>1416</v>
      </c>
      <c r="F15" s="366">
        <f>'数据-取费表'!B33</f>
        <v>0.03</v>
      </c>
      <c r="G15" s="1846"/>
      <c r="H15" s="1339" t="s">
        <v>1035</v>
      </c>
      <c r="I15" s="1340" t="s">
        <v>1410</v>
      </c>
      <c r="J15" s="1349" t="e">
        <f ca="1">INDIRECT("'数据-取费表'!ad"&amp;$G$1)</f>
        <v>#N/A</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t="e">
        <f ca="1">ROUND(INDIRECT("'数据-取费表'!m"&amp;$G$1)*F16,0)</f>
        <v>#N/A</v>
      </c>
      <c r="D16" s="347" t="s">
        <v>1415</v>
      </c>
      <c r="E16" s="347" t="s">
        <v>1416</v>
      </c>
      <c r="F16" s="367" t="e">
        <f ca="1">IF(INDIRECT("'数据-取费表'!c"&amp;$G$1)="住宅",'数据-取费表'!B34,0)</f>
        <v>#N/A</v>
      </c>
      <c r="G16" s="1843"/>
      <c r="H16" s="1329" t="s">
        <v>1026</v>
      </c>
      <c r="I16" s="1330" t="s">
        <v>1418</v>
      </c>
      <c r="J16" s="355" t="e">
        <f ca="1">ROUND(J17+J22+J23+J24,0)</f>
        <v>#N/A</v>
      </c>
      <c r="K16" s="1337" t="s">
        <v>1419</v>
      </c>
      <c r="L16" s="2964"/>
      <c r="M16" s="1294"/>
    </row>
    <row r="17" spans="1:37" s="1850" customFormat="1" ht="18" customHeight="1">
      <c r="A17" s="1201" t="s">
        <v>1384</v>
      </c>
      <c r="B17" s="347" t="s">
        <v>1420</v>
      </c>
      <c r="C17" s="24" t="e">
        <f ca="1">ROUND(F17*(F43+INDIRECT("'数据-取费表'!S"&amp;$G$1))/10000,0)</f>
        <v>#N/A</v>
      </c>
      <c r="D17" s="347" t="s">
        <v>1421</v>
      </c>
      <c r="E17" s="347" t="s">
        <v>1422</v>
      </c>
      <c r="F17" s="26">
        <f>'数据-取费表'!B35</f>
        <v>360</v>
      </c>
      <c r="G17" s="1846"/>
      <c r="H17" s="1201" t="s">
        <v>1031</v>
      </c>
      <c r="I17" s="347" t="s">
        <v>1423</v>
      </c>
      <c r="J17" s="24" t="e">
        <f ca="1">ROUND(IF(项目基本情况!B11="自然人",J6*M17/(1+'数据-取费表'!C42),J18+J19+J20),1)</f>
        <v>#N/A</v>
      </c>
      <c r="K17" s="2963" t="s">
        <v>1424</v>
      </c>
      <c r="L17" s="2962" t="s">
        <v>1425</v>
      </c>
      <c r="M17" s="368" t="e">
        <f ca="1">IF(项目基本情况!B11="企业","",IF(INDIRECT("'数据-取费表'!c"&amp;$G$1)="住宅",5%,IF(M6*M7*M8/12/(1+'数据-取费表'!C42)&gt;20000,12%,7%)))</f>
        <v>#N/A</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t="e">
        <f ca="1">ROUND(C14*F18,0)</f>
        <v>#N/A</v>
      </c>
      <c r="D18" s="347" t="s">
        <v>1415</v>
      </c>
      <c r="E18" s="347" t="s">
        <v>1416</v>
      </c>
      <c r="F18" s="367">
        <f>'数据-取费表'!B36</f>
        <v>1.4999999999999999E-2</v>
      </c>
      <c r="G18" s="1846"/>
      <c r="H18" s="1201" t="s">
        <v>1030</v>
      </c>
      <c r="I18" s="347" t="s">
        <v>1427</v>
      </c>
      <c r="J18" s="24" t="e">
        <f ca="1">ROUND(J6*M18/(1+'数据-取费表'!C42),2)</f>
        <v>#N/A</v>
      </c>
      <c r="K18" s="2962" t="s">
        <v>1428</v>
      </c>
      <c r="L18" s="347" t="s">
        <v>1416</v>
      </c>
      <c r="M18" s="367">
        <f>'数据-取费表'!B41</f>
        <v>0.09</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t="e">
        <f ca="1">SUM(C14:C18)</f>
        <v>#N/A</v>
      </c>
      <c r="D19" s="140" t="s">
        <v>1430</v>
      </c>
      <c r="E19" s="2967"/>
      <c r="F19" s="26"/>
      <c r="G19" s="1843"/>
      <c r="H19" s="1201" t="s">
        <v>1032</v>
      </c>
      <c r="I19" s="347" t="s">
        <v>1431</v>
      </c>
      <c r="J19" s="24" t="e">
        <f ca="1">IF(K19="按租金收入计税",ROUND(J6*M19/(1+'数据-取费表'!C42),2),ROUND(C29*M19*0.7,2))</f>
        <v>#N/A</v>
      </c>
      <c r="K19" s="1820" t="s">
        <v>1432</v>
      </c>
      <c r="L19" s="347" t="s">
        <v>1416</v>
      </c>
      <c r="M19" s="367">
        <f>IF(K19="按租金收入计税",'数据-取费表'!B51,'数据-取费表'!B50)</f>
        <v>1.2E-2</v>
      </c>
    </row>
    <row r="20" spans="1:37" s="1850" customFormat="1" ht="18" customHeight="1">
      <c r="A20" s="1201" t="s">
        <v>1035</v>
      </c>
      <c r="B20" s="347" t="s">
        <v>1433</v>
      </c>
      <c r="C20" s="24" t="e">
        <f ca="1">ROUND(C19*F20,0)</f>
        <v>#N/A</v>
      </c>
      <c r="D20" s="369" t="s">
        <v>1434</v>
      </c>
      <c r="E20" s="347" t="s">
        <v>1416</v>
      </c>
      <c r="F20" s="367">
        <f>'数据-取费表'!B37</f>
        <v>0.02</v>
      </c>
      <c r="G20" s="1846"/>
      <c r="H20" s="1201" t="s">
        <v>1383</v>
      </c>
      <c r="I20" s="164" t="s">
        <v>1435</v>
      </c>
      <c r="J20" s="25" t="e">
        <f ca="1">ROUND(M20*M21/10000,2)</f>
        <v>#N/A</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v>
      </c>
      <c r="G21" s="1846"/>
      <c r="H21" s="372"/>
      <c r="I21" s="356"/>
      <c r="J21" s="29"/>
      <c r="K21" s="373"/>
      <c r="L21" s="347" t="s">
        <v>1441</v>
      </c>
      <c r="M21" s="348" t="e">
        <f ca="1">INDIRECT("'数据-取费表'!r"&amp;$G$1)</f>
        <v>#N/A</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67"/>
      <c r="F22" s="26"/>
      <c r="G22" s="1843"/>
      <c r="H22" s="1201" t="s">
        <v>1035</v>
      </c>
      <c r="I22" s="347" t="s">
        <v>1443</v>
      </c>
      <c r="J22" s="24" t="e">
        <f ca="1">ROUND(J14*M22,1)</f>
        <v>#N/A</v>
      </c>
      <c r="K22" s="2962" t="s">
        <v>1444</v>
      </c>
      <c r="L22" s="347" t="s">
        <v>1416</v>
      </c>
      <c r="M22" s="374" t="e">
        <f ca="1">INDIRECT("'数据-取费表'!Ak"&amp;$G$1)</f>
        <v>#N/A</v>
      </c>
    </row>
    <row r="23" spans="1:37" s="1850" customFormat="1" ht="18" customHeight="1">
      <c r="A23" s="1201"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t="e">
        <f ca="1">ROUND(J13*M23,1)</f>
        <v>#N/A</v>
      </c>
      <c r="K23" s="2962" t="s">
        <v>1448</v>
      </c>
      <c r="L23" s="347" t="s">
        <v>1416</v>
      </c>
      <c r="M23" s="376" t="e">
        <f ca="1">INDIRECT("'数据-取费表'!Al"&amp;$G$1)</f>
        <v>#N/A</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1032</v>
      </c>
      <c r="B24" s="347" t="s">
        <v>1451</v>
      </c>
      <c r="C24" s="24">
        <f>ROUND(IF('数据-取费表'!B22&lt;=1,F21*F24*F23/2,F21*(POWER((1+F24),F23/2)-1)),4)</f>
        <v>0</v>
      </c>
      <c r="D24" s="375" t="str">
        <f>IF(F23&lt;=1,"销售费用×利率×(建设周期÷2)","销售费用×((1+利率)^(建设周期÷2)-1)")</f>
        <v>销售费用×((1+利率)^(建设周期÷2)-1)</v>
      </c>
      <c r="E24" s="347" t="s">
        <v>1452</v>
      </c>
      <c r="F24" s="377">
        <f>'数据-取费表'!B40</f>
        <v>3.85E-2</v>
      </c>
      <c r="G24" s="1846"/>
      <c r="H24" s="1339" t="s">
        <v>1386</v>
      </c>
      <c r="I24" s="1340" t="s">
        <v>1433</v>
      </c>
      <c r="J24" s="1341" t="e">
        <f ca="1">ROUND(J5*M24,1)</f>
        <v>#N/A</v>
      </c>
      <c r="K24" s="1342" t="s">
        <v>1453</v>
      </c>
      <c r="L24" s="1340" t="s">
        <v>1416</v>
      </c>
      <c r="M24" s="1336" t="e">
        <f ca="1">INDIRECT("'数据-取费表'!Am"&amp;$G$1)</f>
        <v>#N/A</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2967"/>
      <c r="F25" s="26"/>
      <c r="G25" s="1843"/>
      <c r="H25" s="1329" t="s">
        <v>1027</v>
      </c>
      <c r="I25" s="1344" t="s">
        <v>1457</v>
      </c>
      <c r="J25" s="355" t="e">
        <f ca="1">J5-J16</f>
        <v>#N/A</v>
      </c>
      <c r="K25" s="1345" t="s">
        <v>1458</v>
      </c>
      <c r="L25" s="1346"/>
      <c r="M25" s="1347"/>
    </row>
    <row r="26" spans="1:37">
      <c r="A26" s="1201" t="s">
        <v>1030</v>
      </c>
      <c r="B26" s="347" t="s">
        <v>1459</v>
      </c>
      <c r="C26" s="24" t="e">
        <f ca="1">ROUND((C19+C20)*F26,0)</f>
        <v>#N/A</v>
      </c>
      <c r="D26" s="369" t="s">
        <v>1460</v>
      </c>
      <c r="E26" s="358" t="s">
        <v>1461</v>
      </c>
      <c r="F26" s="357" t="e">
        <f ca="1">INDIRECT("'数据-取费表'!q"&amp;$G$1)</f>
        <v>#N/A</v>
      </c>
      <c r="G26" s="1843"/>
      <c r="H26" s="344" t="s">
        <v>1028</v>
      </c>
      <c r="I26" s="345" t="s">
        <v>1462</v>
      </c>
      <c r="J26" s="346" t="e">
        <f ca="1">IF(J5&lt;&gt;0,ROUND(J25*(1-((1+M28)/(1+M26))^M27)/(M26-M28),0),0)</f>
        <v>#N/A</v>
      </c>
      <c r="K26" s="370" t="s">
        <v>1463</v>
      </c>
      <c r="L26" s="347" t="s">
        <v>1464</v>
      </c>
      <c r="M26" s="357" t="e">
        <f ca="1">INDIRECT("'数据-取费表'!I"&amp;$G$1)</f>
        <v>#N/A</v>
      </c>
    </row>
    <row r="27" spans="1:37" ht="18" customHeight="1">
      <c r="A27" s="1201" t="s">
        <v>1032</v>
      </c>
      <c r="B27" s="347" t="s">
        <v>1465</v>
      </c>
      <c r="C27" s="24" t="e">
        <f ca="1">ROUND(F21*F26,4)</f>
        <v>#N/A</v>
      </c>
      <c r="D27" s="369" t="s">
        <v>1466</v>
      </c>
      <c r="E27" s="365"/>
      <c r="F27" s="366"/>
      <c r="G27" s="1843"/>
      <c r="H27" s="349"/>
      <c r="I27" s="350"/>
      <c r="J27" s="351"/>
      <c r="K27" s="378" t="s">
        <v>1467</v>
      </c>
      <c r="L27" s="347" t="s">
        <v>1468</v>
      </c>
      <c r="M27" s="379" t="e">
        <f ca="1">INDIRECT("'数据-取费表'!ag"&amp;$G$1)</f>
        <v>#N/A</v>
      </c>
    </row>
    <row r="28" spans="1:37" s="1850" customFormat="1" ht="18" customHeight="1">
      <c r="A28" s="1201" t="s">
        <v>1033</v>
      </c>
      <c r="B28" s="347" t="s">
        <v>1469</v>
      </c>
      <c r="C28" s="24">
        <f>ROUND(F28/(1+'数据-取费表'!C42),4)</f>
        <v>0</v>
      </c>
      <c r="D28" s="369" t="s">
        <v>1470</v>
      </c>
      <c r="E28" s="347" t="s">
        <v>1416</v>
      </c>
      <c r="F28" s="367">
        <v>0</v>
      </c>
      <c r="G28" s="1846"/>
      <c r="H28" s="353"/>
      <c r="I28" s="354"/>
      <c r="J28" s="355"/>
      <c r="K28" s="373"/>
      <c r="L28" s="347" t="s">
        <v>1471</v>
      </c>
      <c r="M28" s="357" t="e">
        <f ca="1">INDIRECT("'数据-取费表'!aa"&amp;$G$1)</f>
        <v>#N/A</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t="e">
        <f ca="1">ROUND((C19+C20+C23+C26)/(1-F21-C24-C27-C28),0)</f>
        <v>#N/A</v>
      </c>
      <c r="D29" s="1342"/>
      <c r="E29" s="1340"/>
      <c r="F29" s="1343"/>
      <c r="G29" s="1846"/>
      <c r="H29" s="380" t="s">
        <v>1029</v>
      </c>
      <c r="I29" s="381" t="s">
        <v>1473</v>
      </c>
      <c r="J29" s="382" t="e">
        <f ca="1">ROUND(J26/(1+F40)^F41,0)</f>
        <v>#N/A</v>
      </c>
      <c r="K29" s="383" t="s">
        <v>1474</v>
      </c>
      <c r="L29" s="384"/>
      <c r="M29" s="385" t="e">
        <f ca="1">INDIRECT("'数据-取费表'!k"&amp;$G$1)</f>
        <v>#N/A</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t="e">
        <f ca="1">ROUND(C31+C36+C37+C38,0)</f>
        <v>#N/A</v>
      </c>
      <c r="D30" s="1337" t="s">
        <v>1419</v>
      </c>
      <c r="E30" s="2964"/>
      <c r="F30" s="1294"/>
      <c r="G30" s="1843"/>
      <c r="H30" s="745"/>
      <c r="I30" s="746"/>
      <c r="J30" s="747"/>
      <c r="K30" s="748"/>
      <c r="L30" s="749"/>
      <c r="M30" s="750"/>
    </row>
    <row r="31" spans="1:37" ht="18" customHeight="1">
      <c r="A31" s="1201" t="s">
        <v>1031</v>
      </c>
      <c r="B31" s="347" t="s">
        <v>1423</v>
      </c>
      <c r="C31" s="24" t="e">
        <f ca="1">ROUND(IF(项目基本情况!B11="自然人",C6*F31/(1+'数据-取费表'!C42),C32+C33+C34),1)</f>
        <v>#N/A</v>
      </c>
      <c r="D31" s="2963" t="s">
        <v>1424</v>
      </c>
      <c r="E31" s="2962" t="s">
        <v>1475</v>
      </c>
      <c r="F31" s="368" t="e">
        <f ca="1">IF(项目基本情况!B11="企业","",IF(INDIRECT("'数据-取费表'!c"&amp;$G$1)="住宅",5%,IF(F6*F7*F8/12/(1+'数据-取费表'!C42)&gt;20000,12%,7%)))</f>
        <v>#N/A</v>
      </c>
      <c r="G31" s="1843"/>
      <c r="H31" s="745"/>
      <c r="I31" s="746"/>
      <c r="J31" s="747"/>
      <c r="K31" s="748"/>
      <c r="L31" s="749"/>
      <c r="M31" s="750"/>
    </row>
    <row r="32" spans="1:37" ht="18" customHeight="1">
      <c r="A32" s="1201" t="s">
        <v>1030</v>
      </c>
      <c r="B32" s="347" t="s">
        <v>1427</v>
      </c>
      <c r="C32" s="24" t="e">
        <f ca="1">IF(项目基本情况!B11="自然人","——",ROUND(C6*F32/(1+'数据-取费表'!C42),2))</f>
        <v>#N/A</v>
      </c>
      <c r="D32" s="2962" t="s">
        <v>1428</v>
      </c>
      <c r="E32" s="347" t="s">
        <v>1416</v>
      </c>
      <c r="F32" s="377">
        <v>0</v>
      </c>
      <c r="G32" s="1843"/>
      <c r="H32" s="745"/>
      <c r="I32" s="746"/>
      <c r="J32" s="747"/>
      <c r="K32" s="748"/>
      <c r="L32" s="749"/>
      <c r="M32" s="750"/>
    </row>
    <row r="33" spans="1:18" ht="18" customHeight="1">
      <c r="A33" s="1201" t="s">
        <v>1032</v>
      </c>
      <c r="B33" s="347" t="s">
        <v>1431</v>
      </c>
      <c r="C33" s="24" t="e">
        <f ca="1">IF(项目基本情况!B11="自然人","——",IF(D33="按租金收入计税",ROUND(C6*F33/(1+'数据-取费表'!C42),2),IF(D33="按房产原值计税",ROUND(C29*F33*0.7,2),INDIRECT("'数据-取费表'!Aj"&amp;$G$1))))</f>
        <v>#N/A</v>
      </c>
      <c r="D33" s="1820" t="s">
        <v>1432</v>
      </c>
      <c r="E33" s="347" t="s">
        <v>1416</v>
      </c>
      <c r="F33" s="367">
        <v>0</v>
      </c>
      <c r="G33" s="1843"/>
      <c r="H33" s="1851"/>
      <c r="I33" s="1852"/>
      <c r="J33" s="1853"/>
      <c r="K33" s="1854"/>
      <c r="L33" s="1851"/>
      <c r="M33" s="1851"/>
    </row>
    <row r="34" spans="1:18" ht="18" customHeight="1">
      <c r="A34" s="1291" t="s">
        <v>1383</v>
      </c>
      <c r="B34" s="164" t="s">
        <v>1435</v>
      </c>
      <c r="C34" s="25" t="e">
        <f ca="1">IF(项目基本情况!B11="自然人","——",ROUND(F34*F35/10000,2))</f>
        <v>#N/A</v>
      </c>
      <c r="D34" s="370" t="s">
        <v>1436</v>
      </c>
      <c r="E34" s="347" t="s">
        <v>1437</v>
      </c>
      <c r="F34" s="371">
        <v>0</v>
      </c>
      <c r="G34" s="1843"/>
      <c r="H34" s="745"/>
      <c r="I34" s="1852"/>
      <c r="J34" s="1853"/>
      <c r="K34" s="1855"/>
      <c r="L34" s="1856"/>
      <c r="M34" s="1856"/>
    </row>
    <row r="35" spans="1:18" ht="18" customHeight="1">
      <c r="A35" s="1353"/>
      <c r="B35" s="1351"/>
      <c r="C35" s="29"/>
      <c r="D35" s="373"/>
      <c r="E35" s="347" t="s">
        <v>1441</v>
      </c>
      <c r="F35" s="348" t="e">
        <f ca="1">INDIRECT("'数据-取费表'!r"&amp;$G$1)</f>
        <v>#N/A</v>
      </c>
      <c r="G35" s="1843"/>
      <c r="H35" s="745"/>
      <c r="I35" s="1852"/>
      <c r="J35" s="1853"/>
      <c r="K35" s="1854"/>
      <c r="L35" s="1851"/>
      <c r="M35" s="1851"/>
    </row>
    <row r="36" spans="1:18" ht="18" customHeight="1">
      <c r="A36" s="1352" t="s">
        <v>1035</v>
      </c>
      <c r="B36" s="347" t="s">
        <v>1443</v>
      </c>
      <c r="C36" s="24" t="e">
        <f ca="1">ROUND(C29*F36,1)</f>
        <v>#N/A</v>
      </c>
      <c r="D36" s="2962" t="s">
        <v>1476</v>
      </c>
      <c r="E36" s="347" t="s">
        <v>1416</v>
      </c>
      <c r="F36" s="374" t="e">
        <f ca="1">INDIRECT("'数据-取费表'!Ak"&amp;$G$1)</f>
        <v>#N/A</v>
      </c>
      <c r="G36" s="1843"/>
      <c r="H36" s="1851"/>
      <c r="I36" s="1852"/>
      <c r="J36" s="1853"/>
      <c r="K36" s="751"/>
      <c r="L36" s="1851"/>
      <c r="M36" s="1851"/>
    </row>
    <row r="37" spans="1:18" ht="18" customHeight="1">
      <c r="A37" s="1201" t="s">
        <v>1071</v>
      </c>
      <c r="B37" s="347" t="s">
        <v>1447</v>
      </c>
      <c r="C37" s="24" t="e">
        <f ca="1">ROUND(C13*F37,1)</f>
        <v>#N/A</v>
      </c>
      <c r="D37" s="2962" t="s">
        <v>1448</v>
      </c>
      <c r="E37" s="347" t="s">
        <v>1416</v>
      </c>
      <c r="F37" s="376" t="e">
        <f ca="1">INDIRECT("'数据-取费表'!Al"&amp;$G$1)</f>
        <v>#N/A</v>
      </c>
      <c r="G37" s="1843"/>
      <c r="H37" s="1851"/>
      <c r="I37" s="1852"/>
      <c r="J37" s="1853"/>
      <c r="K37" s="751"/>
      <c r="L37" s="1851"/>
      <c r="M37" s="1851"/>
    </row>
    <row r="38" spans="1:18" ht="18" customHeight="1" thickBot="1">
      <c r="A38" s="2978" t="s">
        <v>1386</v>
      </c>
      <c r="B38" s="2977" t="s">
        <v>1433</v>
      </c>
      <c r="C38" s="2979" t="e">
        <f ca="1">ROUND(C5*F38,1)</f>
        <v>#N/A</v>
      </c>
      <c r="D38" s="2980" t="s">
        <v>1453</v>
      </c>
      <c r="E38" s="2977" t="s">
        <v>1416</v>
      </c>
      <c r="F38" s="2981" t="e">
        <f ca="1">INDIRECT("'数据-取费表'!Am"&amp;$G$1)</f>
        <v>#N/A</v>
      </c>
      <c r="G38" s="1843"/>
      <c r="H38" s="1851"/>
      <c r="I38" s="1852"/>
      <c r="J38" s="1853"/>
      <c r="K38" s="1857"/>
      <c r="L38" s="1851"/>
      <c r="M38" s="1851"/>
    </row>
    <row r="39" spans="1:18" ht="24.6" customHeight="1" thickTop="1">
      <c r="A39" s="1329" t="s">
        <v>1027</v>
      </c>
      <c r="B39" s="1344" t="s">
        <v>1457</v>
      </c>
      <c r="C39" s="355" t="e">
        <f ca="1">C5-C30</f>
        <v>#N/A</v>
      </c>
      <c r="D39" s="1345" t="s">
        <v>1458</v>
      </c>
      <c r="E39" s="1346"/>
      <c r="F39" s="1347"/>
      <c r="G39" s="1843"/>
      <c r="H39" s="1851"/>
      <c r="I39" s="1852"/>
      <c r="J39" s="1853"/>
      <c r="K39" s="1857"/>
      <c r="L39" s="1851"/>
      <c r="M39" s="1851"/>
    </row>
    <row r="40" spans="1:18" ht="18" customHeight="1">
      <c r="A40" s="344" t="s">
        <v>1028</v>
      </c>
      <c r="B40" s="345" t="s">
        <v>1479</v>
      </c>
      <c r="C40" s="346" t="e">
        <f ca="1">ROUND(C39*(1-((1+F42)/(1+F40))^F41)/(F40-F42),0)</f>
        <v>#N/A</v>
      </c>
      <c r="D40" s="370" t="s">
        <v>1463</v>
      </c>
      <c r="E40" s="347" t="s">
        <v>1464</v>
      </c>
      <c r="F40" s="357" t="e">
        <f ca="1">INDIRECT("'数据-取费表'!I"&amp;$G$1)</f>
        <v>#N/A</v>
      </c>
      <c r="G40" s="1843"/>
      <c r="H40" s="1831"/>
      <c r="I40" s="1852"/>
      <c r="J40" s="1853"/>
      <c r="K40" s="1857"/>
      <c r="L40" s="1831"/>
      <c r="M40" s="1831"/>
    </row>
    <row r="41" spans="1:18" ht="18" customHeight="1">
      <c r="A41" s="349"/>
      <c r="B41" s="350"/>
      <c r="C41" s="351"/>
      <c r="D41" s="378" t="s">
        <v>1480</v>
      </c>
      <c r="E41" s="347" t="s">
        <v>1468</v>
      </c>
      <c r="F41" s="379" t="e">
        <f ca="1">IF(INDIRECT("'数据-取费表'!af"&amp;$G$1)=0,INDIRECT("'数据-取费表'!ae"&amp;$G$1),INDIRECT("'数据-取费表'!af"&amp;$G$1))</f>
        <v>#N/A</v>
      </c>
      <c r="G41" s="1843"/>
      <c r="H41" s="732"/>
      <c r="I41" s="1852"/>
      <c r="J41" s="1853"/>
      <c r="K41" s="751"/>
      <c r="L41" s="732"/>
      <c r="M41" s="732"/>
    </row>
    <row r="42" spans="1:18" ht="18" customHeight="1">
      <c r="A42" s="353"/>
      <c r="B42" s="354"/>
      <c r="C42" s="355"/>
      <c r="D42" s="373"/>
      <c r="E42" s="347" t="s">
        <v>1471</v>
      </c>
      <c r="F42" s="357" t="e">
        <f ca="1">INDIRECT("'数据-取费表'!v"&amp;$G$1)</f>
        <v>#N/A</v>
      </c>
      <c r="G42" s="1843"/>
      <c r="H42" s="732"/>
      <c r="I42" s="1852"/>
      <c r="J42" s="1853"/>
      <c r="K42" s="751"/>
      <c r="L42" s="732"/>
      <c r="M42" s="732"/>
    </row>
    <row r="43" spans="1:18" ht="18" customHeight="1" thickBot="1">
      <c r="A43" s="380" t="s">
        <v>1029</v>
      </c>
      <c r="B43" s="381" t="s">
        <v>1481</v>
      </c>
      <c r="C43" s="382" t="e">
        <f ca="1">ROUND(C40*10000/F43,0)</f>
        <v>#N/A</v>
      </c>
      <c r="D43" s="383" t="s">
        <v>1482</v>
      </c>
      <c r="E43" s="384" t="s">
        <v>1483</v>
      </c>
      <c r="F43" s="385" t="e">
        <f ca="1">INDIRECT("'数据-取费表'!k"&amp;$G$1)</f>
        <v>#N/A</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t="e">
        <f ca="1">C68-C40</f>
        <v>#N/A</v>
      </c>
      <c r="D46" s="1864" t="str">
        <f>C2</f>
        <v>万元</v>
      </c>
      <c r="E46" s="1858"/>
      <c r="F46" s="1858"/>
      <c r="I46" s="1865" t="s">
        <v>1515</v>
      </c>
      <c r="J46" s="1866"/>
      <c r="K46" s="1867"/>
      <c r="L46" s="1868" t="e">
        <f ca="1">IF(M47="住宅",0,IF(L48&gt;J51,L60,J60))</f>
        <v>#N/A</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3148</v>
      </c>
      <c r="K47" s="1874" t="s">
        <v>1521</v>
      </c>
      <c r="L47" s="1875" t="e">
        <f ca="1">INDIRECT("'数据-取费表'!d"&amp;$G$1)</f>
        <v>#N/A</v>
      </c>
      <c r="M47" s="1830" t="str">
        <f>IF(ISNUMBER(FIND("住宅",C1)),"住宅","非住宅")</f>
        <v>非住宅</v>
      </c>
      <c r="O47" s="1876" t="s">
        <v>1036</v>
      </c>
      <c r="P47" s="1877" t="s">
        <v>1522</v>
      </c>
      <c r="Q47" s="1878" t="e">
        <f ca="1">C40+J29</f>
        <v>#N/A</v>
      </c>
      <c r="R47" s="1878" t="s">
        <v>1523</v>
      </c>
    </row>
    <row r="48" spans="1:18" s="1834" customFormat="1" ht="28.5" thickBot="1">
      <c r="A48" s="1360" t="s">
        <v>1131</v>
      </c>
      <c r="B48" s="345" t="s">
        <v>1395</v>
      </c>
      <c r="C48" s="2966" t="e">
        <f ca="1">C49+C53+C55</f>
        <v>#N/A</v>
      </c>
      <c r="D48" s="1362"/>
      <c r="E48" s="1363"/>
      <c r="F48" s="1181"/>
      <c r="G48" s="792"/>
      <c r="H48" s="793"/>
      <c r="I48" s="1879" t="s">
        <v>1524</v>
      </c>
      <c r="J48" s="1880" t="s">
        <v>3149</v>
      </c>
      <c r="K48" s="1881" t="s">
        <v>1525</v>
      </c>
      <c r="L48" s="1882" t="e">
        <f ca="1">INDIRECT("'数据-取费表'!f"&amp;$G$1)</f>
        <v>#N/A</v>
      </c>
      <c r="O48" s="1876" t="s">
        <v>1037</v>
      </c>
      <c r="P48" s="1877" t="s">
        <v>1526</v>
      </c>
      <c r="Q48" s="1878" t="e">
        <f ca="1">J60</f>
        <v>#N/A</v>
      </c>
      <c r="R48" s="1878" t="s">
        <v>1527</v>
      </c>
    </row>
    <row r="49" spans="1:18" s="1834" customFormat="1" ht="13.5" thickBot="1">
      <c r="A49" s="1194" t="s">
        <v>1132</v>
      </c>
      <c r="B49" s="1821" t="s">
        <v>1484</v>
      </c>
      <c r="C49" s="1364" t="e">
        <f ca="1">ROUND(F49*F51*F50*(1-F52)/10000,0)</f>
        <v>#N/A</v>
      </c>
      <c r="D49" s="1276" t="s">
        <v>3025</v>
      </c>
      <c r="E49" s="1822" t="s">
        <v>1485</v>
      </c>
      <c r="F49" s="1281"/>
      <c r="G49" s="1883"/>
      <c r="H49" s="793"/>
      <c r="I49" s="1879" t="s">
        <v>1528</v>
      </c>
      <c r="J49" s="1884"/>
      <c r="K49" s="1881" t="s">
        <v>1529</v>
      </c>
      <c r="L49" s="1885"/>
      <c r="O49" s="1886" t="s">
        <v>1038</v>
      </c>
      <c r="P49" s="1877" t="s">
        <v>1530</v>
      </c>
      <c r="Q49" s="1878" t="e">
        <f ca="1">C29</f>
        <v>#N/A</v>
      </c>
      <c r="R49" s="1878" t="s">
        <v>1523</v>
      </c>
    </row>
    <row r="50" spans="1:18" s="1834" customFormat="1" ht="13.5" thickBot="1">
      <c r="A50" s="1195"/>
      <c r="B50" s="1198"/>
      <c r="C50" s="1368"/>
      <c r="D50" s="1172"/>
      <c r="E50" s="1277" t="s">
        <v>1400</v>
      </c>
      <c r="F50" s="1278" t="e">
        <f ca="1">F7</f>
        <v>#N/A</v>
      </c>
      <c r="H50" s="793"/>
      <c r="I50" s="1879" t="s">
        <v>1531</v>
      </c>
      <c r="J50" s="1887">
        <f>SUMPRODUCT((I63:I65=J47)*(J62:L62=J48)*(J63:L65))</f>
        <v>60</v>
      </c>
      <c r="K50" s="1881" t="s">
        <v>1532</v>
      </c>
      <c r="L50" s="1885"/>
      <c r="M50" s="1888"/>
      <c r="O50" s="1886" t="s">
        <v>1039</v>
      </c>
      <c r="P50" s="1877" t="s">
        <v>1533</v>
      </c>
      <c r="Q50" s="1889" t="e">
        <f ca="1">J58</f>
        <v>#N/A</v>
      </c>
      <c r="R50" s="1878"/>
    </row>
    <row r="51" spans="1:18" s="1834" customFormat="1" ht="13.5" thickBot="1">
      <c r="A51" s="1196"/>
      <c r="B51" s="1198"/>
      <c r="C51" s="1199"/>
      <c r="D51" s="1172"/>
      <c r="E51" s="1200" t="s">
        <v>1401</v>
      </c>
      <c r="F51" s="348" t="e">
        <f ca="1">F8</f>
        <v>#N/A</v>
      </c>
      <c r="I51" s="1890" t="s">
        <v>1534</v>
      </c>
      <c r="J51" s="1891">
        <f>IF(J49="",J50,J49+J50-YEAR('数据-取费表'!B2))</f>
        <v>60</v>
      </c>
      <c r="K51" s="1892" t="s">
        <v>1535</v>
      </c>
      <c r="L51" s="1893" t="e">
        <f ca="1">ROUND(-PV(INDIRECT("'数据-取费表'!h"&amp;$G$1),J51,(C39-C13*C76),0),0)</f>
        <v>#N/A</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t="e">
        <f ca="1">J53</f>
        <v>#N/A</v>
      </c>
      <c r="R52" s="1878" t="s">
        <v>1540</v>
      </c>
    </row>
    <row r="53" spans="1:18" s="1834" customFormat="1" ht="24.75" thickBot="1">
      <c r="A53" s="1405" t="s">
        <v>1133</v>
      </c>
      <c r="B53" s="1823" t="s">
        <v>1403</v>
      </c>
      <c r="C53" s="361">
        <f ca="1">ROUND(IF(F53="押一",C49/12*F11,IF(F53="押二",C49/12*2*F11,IF(F53="押三",C49/12*3*F11,C54*F11))),0)</f>
        <v>0</v>
      </c>
      <c r="D53" s="1816" t="s">
        <v>3034</v>
      </c>
      <c r="E53" s="358" t="s">
        <v>1404</v>
      </c>
      <c r="F53" s="1366"/>
      <c r="I53" s="1897" t="s">
        <v>1541</v>
      </c>
      <c r="J53" s="2944" t="e">
        <f ca="1">IF(M47="住宅",IF(D1="——",MAX(J51,L48),MAX(J51,L48-'数据-取费表'!B24)),IF(D1="——",MIN(J51,L48),MIN(J51,L48-'数据-取费表'!B24)))</f>
        <v>#N/A</v>
      </c>
      <c r="K53" s="3429" t="s">
        <v>1542</v>
      </c>
      <c r="L53" s="3430"/>
      <c r="O53" s="1876" t="s">
        <v>1042</v>
      </c>
      <c r="P53" s="1877" t="s">
        <v>1543</v>
      </c>
      <c r="Q53" s="1878" t="e">
        <f ca="1">Q47+Q48</f>
        <v>#N/A</v>
      </c>
      <c r="R53" s="1878" t="s">
        <v>1043</v>
      </c>
    </row>
    <row r="54" spans="1:18" s="1834" customFormat="1" ht="13.5" thickBot="1">
      <c r="A54" s="1406"/>
      <c r="B54" s="1817" t="s">
        <v>1382</v>
      </c>
      <c r="C54" s="1178"/>
      <c r="D54" s="1816"/>
      <c r="E54" s="2965"/>
      <c r="F54" s="1898"/>
      <c r="I54" s="18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0"/>
      <c r="K54" s="1900"/>
      <c r="L54" s="1900"/>
      <c r="M54" s="1883"/>
      <c r="O54" s="1861" t="s">
        <v>1544</v>
      </c>
      <c r="P54" s="1831"/>
      <c r="Q54" s="1831"/>
      <c r="R54" s="1831"/>
    </row>
    <row r="55" spans="1:18" s="1834" customFormat="1" ht="13.5" thickBot="1">
      <c r="A55" s="1333" t="s">
        <v>1071</v>
      </c>
      <c r="B55" s="1819" t="s">
        <v>1407</v>
      </c>
      <c r="C55" s="1334"/>
      <c r="D55" s="1816"/>
      <c r="E55" s="2965"/>
      <c r="F55" s="1898"/>
      <c r="I55" s="1901" t="s">
        <v>1545</v>
      </c>
      <c r="J55" s="1902" t="e">
        <f ca="1">ROUND(IF(J47="钢混",J57/J50,1-(1-2%)*(J50-J57)/J50),3)</f>
        <v>#N/A</v>
      </c>
      <c r="K55" s="1903" t="s">
        <v>1546</v>
      </c>
      <c r="L55" s="1904" t="s">
        <v>1547</v>
      </c>
      <c r="O55" s="1869" t="s">
        <v>1516</v>
      </c>
      <c r="P55" s="1870" t="s">
        <v>1517</v>
      </c>
      <c r="Q55" s="1871" t="s">
        <v>1518</v>
      </c>
      <c r="R55" s="1871" t="s">
        <v>1519</v>
      </c>
    </row>
    <row r="56" spans="1:18" s="1834" customFormat="1" ht="25.5" thickTop="1" thickBot="1">
      <c r="A56" s="1176">
        <v>2</v>
      </c>
      <c r="B56" s="1177" t="s">
        <v>1408</v>
      </c>
      <c r="C56" s="276" t="e">
        <f ca="1">C13</f>
        <v>#N/A</v>
      </c>
      <c r="D56" s="1905"/>
      <c r="E56" s="1906"/>
      <c r="F56" s="1898"/>
      <c r="I56" s="1907" t="s">
        <v>1548</v>
      </c>
      <c r="J56" s="1908" t="s">
        <v>3111</v>
      </c>
      <c r="K56" s="1879" t="s">
        <v>1549</v>
      </c>
      <c r="L56" s="1882" t="e">
        <f ca="1">IF(L48&lt;J51,"——",L48-J53)</f>
        <v>#N/A</v>
      </c>
      <c r="O56" s="1876" t="s">
        <v>1036</v>
      </c>
      <c r="P56" s="1877" t="s">
        <v>1522</v>
      </c>
      <c r="Q56" s="1878" t="e">
        <f ca="1">C40+J29</f>
        <v>#N/A</v>
      </c>
      <c r="R56" s="1878" t="s">
        <v>1523</v>
      </c>
    </row>
    <row r="57" spans="1:18" s="1834" customFormat="1" ht="24.75" thickBot="1">
      <c r="A57" s="1909"/>
      <c r="B57" s="1169" t="s">
        <v>1472</v>
      </c>
      <c r="C57" s="282" t="e">
        <f ca="1">C29</f>
        <v>#N/A</v>
      </c>
      <c r="D57" s="1910"/>
      <c r="E57" s="1911"/>
      <c r="F57" s="1912"/>
      <c r="I57" s="1913" t="s">
        <v>1550</v>
      </c>
      <c r="J57" s="1914" t="e">
        <f ca="1">IF(OR(M47="住宅",J51&lt;L48,J56="是"),"——",J51-L48)</f>
        <v>#N/A</v>
      </c>
      <c r="K57" s="1879" t="s">
        <v>1551</v>
      </c>
      <c r="L57" s="1882" t="e">
        <f ca="1">IF(L48&lt;J51,"——",IF(L55="比较法",L49,IF(L55="基准地价",L50,L51)))</f>
        <v>#N/A</v>
      </c>
      <c r="O57" s="1876" t="s">
        <v>1037</v>
      </c>
      <c r="P57" s="1877" t="s">
        <v>1552</v>
      </c>
      <c r="Q57" s="1878" t="e">
        <f ca="1">L60</f>
        <v>#N/A</v>
      </c>
      <c r="R57" s="1878" t="s">
        <v>1553</v>
      </c>
    </row>
    <row r="58" spans="1:18" s="1834" customFormat="1" ht="24.75" thickBot="1">
      <c r="A58" s="360" t="s">
        <v>1026</v>
      </c>
      <c r="B58" s="1177" t="s">
        <v>1418</v>
      </c>
      <c r="C58" s="361" t="e">
        <f ca="1">ROUND(C59+C64+C65+C66,0)</f>
        <v>#N/A</v>
      </c>
      <c r="D58" s="1179" t="s">
        <v>1419</v>
      </c>
      <c r="E58" s="1180"/>
      <c r="F58" s="1181"/>
      <c r="I58" s="1913" t="s">
        <v>1554</v>
      </c>
      <c r="J58" s="1915" t="e">
        <f ca="1">IF(J55&lt;0.4,0.4,J55)</f>
        <v>#N/A</v>
      </c>
      <c r="K58" s="1892" t="s">
        <v>1555</v>
      </c>
      <c r="L58" s="1882" t="e">
        <f ca="1">ROUND(POWER(1+L52,L47-L48)*(POWER(1+L52,L48)-1)/(POWER(1+L52,L47)-1),4)</f>
        <v>#N/A</v>
      </c>
      <c r="O58" s="1886" t="s">
        <v>1038</v>
      </c>
      <c r="P58" s="1877" t="s">
        <v>1556</v>
      </c>
      <c r="Q58" s="1878">
        <f>IF(L55="比较法",L49,IF(L55="基准地价",L50,0))</f>
        <v>0</v>
      </c>
      <c r="R58" s="1878" t="s">
        <v>1523</v>
      </c>
    </row>
    <row r="59" spans="1:18" s="1834" customFormat="1" ht="24.75" thickBot="1">
      <c r="A59" s="1201" t="s">
        <v>1031</v>
      </c>
      <c r="B59" s="1169" t="s">
        <v>1423</v>
      </c>
      <c r="C59" s="24" t="e">
        <f ca="1">ROUND(IF(项目基本情况!B11="自然人",C48*F59,C60+C61+C62),1)</f>
        <v>#N/A</v>
      </c>
      <c r="D59" s="1182" t="s">
        <v>1424</v>
      </c>
      <c r="E59" s="1183" t="s">
        <v>1425</v>
      </c>
      <c r="F59" s="368" t="e">
        <f ca="1">IF(项目基本情况!B11="企业","",IF(INDIRECT("'数据-取费表'!c"&amp;$G$1)="住宅",5%,IF(F49*F50*F51/12/(1+'数据-取费表'!C42)&gt;20000,12%,7%)))</f>
        <v>#N/A</v>
      </c>
      <c r="I59" s="1913" t="s">
        <v>1557</v>
      </c>
      <c r="J59" s="1914" t="e">
        <f ca="1">IF(OR(M47="住宅",J51&lt;L48,J56="是"),"——",ROUND(C29*J58,0))</f>
        <v>#N/A</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#N/A</v>
      </c>
      <c r="M59" s="1830" t="e">
        <f ca="1">ROUND(POWER(1+L52,L47-(J51+'数据-取费表'!B24))*(POWER(1+L52,(J51+'数据-取费表'!B24))-1)/(POWER(1+L52,L47)-1),4)</f>
        <v>#N/A</v>
      </c>
      <c r="N59" s="1830" t="e">
        <f ca="1">ROUND(POWER(1+L52,L47-(J51+'数据-取费表'!B20))*(POWER(1+L52,(J51+'数据-取费表'!B20))-1)/(POWER(1+L52,L47)-1),4)</f>
        <v>#N/A</v>
      </c>
      <c r="O59" s="1886" t="s">
        <v>1039</v>
      </c>
      <c r="P59" s="1877" t="s">
        <v>1558</v>
      </c>
      <c r="Q59" s="1889">
        <f>L52</f>
        <v>0</v>
      </c>
      <c r="R59" s="1878"/>
    </row>
    <row r="60" spans="1:18" s="1834" customFormat="1" ht="16.5" thickBot="1">
      <c r="A60" s="1201" t="s">
        <v>1030</v>
      </c>
      <c r="B60" s="1169" t="s">
        <v>1427</v>
      </c>
      <c r="C60" s="24" t="e">
        <f ca="1">IF(项目基本情况!B11="自然人","——",ROUND(C48*F60/(1+'数据-取费表'!C42),2))</f>
        <v>#N/A</v>
      </c>
      <c r="D60" s="1183" t="s">
        <v>1428</v>
      </c>
      <c r="E60" s="1169" t="s">
        <v>1416</v>
      </c>
      <c r="F60" s="377">
        <f t="shared" ref="F60:F65" si="0">F32</f>
        <v>0</v>
      </c>
      <c r="I60" s="1916" t="s">
        <v>1559</v>
      </c>
      <c r="J60" s="1917" t="e">
        <f ca="1">IF(OR(M47="住宅",J51&lt;L48,J56="是"),"0",ROUND(J59/(1+J52)^J53,0))</f>
        <v>#N/A</v>
      </c>
      <c r="K60" s="1918" t="s">
        <v>1560</v>
      </c>
      <c r="L60" s="1917" t="e">
        <f ca="1">IF(OR(M47="住宅",L48&lt;J51),0,ROUND(L57*(L58/L59-1),0))</f>
        <v>#N/A</v>
      </c>
      <c r="O60" s="1886" t="s">
        <v>1040</v>
      </c>
      <c r="P60" s="1877" t="s">
        <v>1561</v>
      </c>
      <c r="Q60" s="1878" t="e">
        <f ca="1">L58</f>
        <v>#N/A</v>
      </c>
      <c r="R60" s="1878" t="s">
        <v>1562</v>
      </c>
    </row>
    <row r="61" spans="1:18" s="1834" customFormat="1" ht="13.5" thickBot="1">
      <c r="A61" s="1201" t="s">
        <v>1486</v>
      </c>
      <c r="B61" s="1169" t="s">
        <v>1431</v>
      </c>
      <c r="C61" s="24" t="e">
        <f ca="1">IF(项目基本情况!B11="自然人","——",IF(D61="按租金收入计税",ROUND(C48*F61,2),IF(D61="按房产原值计税",ROUND(C57*F61*0.7,2),INDIRECT("'数据-取费表'!Aj"&amp;$G$1))))</f>
        <v>#N/A</v>
      </c>
      <c r="D61" s="1820" t="s">
        <v>1432</v>
      </c>
      <c r="E61" s="1169" t="s">
        <v>1416</v>
      </c>
      <c r="F61" s="367">
        <f t="shared" si="0"/>
        <v>0</v>
      </c>
      <c r="I61" s="1919"/>
      <c r="J61" s="1919"/>
      <c r="K61" s="1919"/>
      <c r="L61" s="1919"/>
      <c r="O61" s="1886" t="s">
        <v>1041</v>
      </c>
      <c r="P61" s="1877" t="str">
        <f>K59</f>
        <v>建设期及建筑物耐用年限下的土地年期修正系数Kn</v>
      </c>
      <c r="Q61" s="1878" t="e">
        <f ca="1">L59</f>
        <v>#N/A</v>
      </c>
      <c r="R61" s="1878" t="s">
        <v>1563</v>
      </c>
    </row>
    <row r="62" spans="1:18" s="1834" customFormat="1" ht="13.5" thickBot="1">
      <c r="A62" s="1201" t="s">
        <v>1489</v>
      </c>
      <c r="B62" s="1168" t="s">
        <v>1435</v>
      </c>
      <c r="C62" s="25" t="e">
        <f ca="1">IF(项目基本情况!B11="自然人","——",ROUND(F62*F63/10000,2))</f>
        <v>#N/A</v>
      </c>
      <c r="D62" s="1184" t="s">
        <v>1436</v>
      </c>
      <c r="E62" s="1169" t="s">
        <v>1437</v>
      </c>
      <c r="F62" s="371">
        <f t="shared" si="0"/>
        <v>0</v>
      </c>
      <c r="I62" s="1920" t="s">
        <v>1564</v>
      </c>
      <c r="J62" s="1921" t="s">
        <v>1565</v>
      </c>
      <c r="K62" s="1921" t="s">
        <v>1566</v>
      </c>
      <c r="L62" s="1921" t="s">
        <v>1567</v>
      </c>
      <c r="M62" s="1922" t="s">
        <v>1568</v>
      </c>
      <c r="O62" s="1876" t="s">
        <v>1042</v>
      </c>
      <c r="P62" s="1877" t="s">
        <v>1543</v>
      </c>
      <c r="Q62" s="1878" t="e">
        <f ca="1">Q56+Q57</f>
        <v>#N/A</v>
      </c>
      <c r="R62" s="1878" t="s">
        <v>1043</v>
      </c>
    </row>
    <row r="63" spans="1:18" s="1834" customFormat="1" ht="13.5" thickBot="1">
      <c r="A63" s="372"/>
      <c r="B63" s="1175"/>
      <c r="C63" s="29"/>
      <c r="D63" s="1185"/>
      <c r="E63" s="1169" t="s">
        <v>1441</v>
      </c>
      <c r="F63" s="348" t="e">
        <f t="shared" ca="1" si="0"/>
        <v>#N/A</v>
      </c>
      <c r="I63" s="1920" t="s">
        <v>1570</v>
      </c>
      <c r="J63" s="1921">
        <v>70</v>
      </c>
      <c r="K63" s="1921">
        <v>50</v>
      </c>
      <c r="L63" s="1921">
        <v>80</v>
      </c>
      <c r="M63" s="1923">
        <v>0.02</v>
      </c>
      <c r="O63" s="1861" t="s">
        <v>1571</v>
      </c>
      <c r="P63" s="1831"/>
      <c r="Q63" s="1831"/>
      <c r="R63" s="1831"/>
    </row>
    <row r="64" spans="1:18" s="1834" customFormat="1" ht="13.5" thickBot="1">
      <c r="A64" s="1201" t="s">
        <v>1035</v>
      </c>
      <c r="B64" s="1169" t="s">
        <v>1443</v>
      </c>
      <c r="C64" s="24" t="e">
        <f ca="1">ROUND(C57*F64,1)</f>
        <v>#N/A</v>
      </c>
      <c r="D64" s="1183" t="s">
        <v>1476</v>
      </c>
      <c r="E64" s="1169" t="s">
        <v>1416</v>
      </c>
      <c r="F64" s="374" t="e">
        <f t="shared" ca="1" si="0"/>
        <v>#N/A</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t="e">
        <f ca="1">ROUND(C56*F65,1)</f>
        <v>#N/A</v>
      </c>
      <c r="D65" s="1183" t="s">
        <v>1448</v>
      </c>
      <c r="E65" s="1169" t="s">
        <v>1416</v>
      </c>
      <c r="F65" s="376" t="e">
        <f t="shared" ca="1" si="0"/>
        <v>#N/A</v>
      </c>
      <c r="I65" s="1920" t="s">
        <v>1573</v>
      </c>
      <c r="J65" s="1921">
        <v>40</v>
      </c>
      <c r="K65" s="1921">
        <v>30</v>
      </c>
      <c r="L65" s="1921">
        <v>50</v>
      </c>
      <c r="M65" s="1923">
        <v>0.02</v>
      </c>
      <c r="O65" s="1876" t="s">
        <v>1036</v>
      </c>
      <c r="P65" s="1877" t="s">
        <v>1522</v>
      </c>
      <c r="Q65" s="1878" t="e">
        <f ca="1">C40+J29</f>
        <v>#N/A</v>
      </c>
      <c r="R65" s="1878" t="s">
        <v>1523</v>
      </c>
    </row>
    <row r="66" spans="1:18" s="1834" customFormat="1" ht="16.5" thickBot="1">
      <c r="A66" s="1201" t="s">
        <v>1498</v>
      </c>
      <c r="B66" s="1169" t="s">
        <v>1433</v>
      </c>
      <c r="C66" s="24" t="e">
        <f ca="1">ROUND(C48*F66,1)</f>
        <v>#N/A</v>
      </c>
      <c r="D66" s="1183" t="s">
        <v>1453</v>
      </c>
      <c r="E66" s="1169" t="s">
        <v>1416</v>
      </c>
      <c r="F66" s="357" t="e">
        <f t="shared" ref="F66" ca="1" si="1">F38</f>
        <v>#N/A</v>
      </c>
      <c r="O66" s="1876" t="s">
        <v>1037</v>
      </c>
      <c r="P66" s="1877" t="s">
        <v>1552</v>
      </c>
      <c r="Q66" s="1878" t="e">
        <f ca="1">L60</f>
        <v>#N/A</v>
      </c>
      <c r="R66" s="1878" t="s">
        <v>1575</v>
      </c>
    </row>
    <row r="67" spans="1:18" s="1834" customFormat="1" ht="16.5" thickBot="1">
      <c r="A67" s="1176" t="s">
        <v>1027</v>
      </c>
      <c r="B67" s="1186" t="s">
        <v>1457</v>
      </c>
      <c r="C67" s="361" t="e">
        <f ca="1">C48-C58</f>
        <v>#N/A</v>
      </c>
      <c r="D67" s="1182" t="s">
        <v>1458</v>
      </c>
      <c r="E67" s="1187"/>
      <c r="F67" s="1188"/>
      <c r="O67" s="1886" t="s">
        <v>1038</v>
      </c>
      <c r="P67" s="1877" t="s">
        <v>1556</v>
      </c>
      <c r="Q67" s="1924" t="e">
        <f ca="1">L51</f>
        <v>#N/A</v>
      </c>
      <c r="R67" s="1878" t="s">
        <v>1576</v>
      </c>
    </row>
    <row r="68" spans="1:18" s="1834" customFormat="1" ht="16.5" thickBot="1">
      <c r="A68" s="1166" t="s">
        <v>1028</v>
      </c>
      <c r="B68" s="1167" t="s">
        <v>1479</v>
      </c>
      <c r="C68" s="346" t="e">
        <f ca="1">ROUND(C67*(1-((1+F70)/(1+F68))^F69)/(F68-F70),0)</f>
        <v>#N/A</v>
      </c>
      <c r="D68" s="1184" t="s">
        <v>1463</v>
      </c>
      <c r="E68" s="1169" t="s">
        <v>1464</v>
      </c>
      <c r="F68" s="357" t="e">
        <f ca="1">F40</f>
        <v>#N/A</v>
      </c>
      <c r="O68" s="1886" t="s">
        <v>1039</v>
      </c>
      <c r="P68" s="1925" t="s">
        <v>1577</v>
      </c>
      <c r="Q68" s="1878" t="e">
        <f ca="1">ROUND(Q69-Q70*Q71,0)</f>
        <v>#N/A</v>
      </c>
      <c r="R68" s="1878" t="s">
        <v>1047</v>
      </c>
    </row>
    <row r="69" spans="1:18" s="1834" customFormat="1" ht="13.5" thickBot="1">
      <c r="A69" s="1170"/>
      <c r="B69" s="1171"/>
      <c r="C69" s="351"/>
      <c r="D69" s="1189" t="s">
        <v>1467</v>
      </c>
      <c r="E69" s="1169" t="s">
        <v>1468</v>
      </c>
      <c r="F69" s="379" t="e">
        <f ca="1">F41</f>
        <v>#N/A</v>
      </c>
      <c r="O69" s="1886" t="s">
        <v>1044</v>
      </c>
      <c r="P69" s="1925" t="s">
        <v>1578</v>
      </c>
      <c r="Q69" s="1878" t="e">
        <f ca="1">C39</f>
        <v>#N/A</v>
      </c>
      <c r="R69" s="1878" t="s">
        <v>1523</v>
      </c>
    </row>
    <row r="70" spans="1:18" s="1834" customFormat="1" ht="13.5" thickBot="1">
      <c r="A70" s="1173"/>
      <c r="B70" s="1174"/>
      <c r="C70" s="355"/>
      <c r="D70" s="1185"/>
      <c r="E70" s="1169" t="s">
        <v>1471</v>
      </c>
      <c r="F70" s="1275"/>
      <c r="O70" s="1886" t="s">
        <v>1045</v>
      </c>
      <c r="P70" s="1925" t="s">
        <v>1579</v>
      </c>
      <c r="Q70" s="1878" t="e">
        <f ca="1">C13</f>
        <v>#N/A</v>
      </c>
      <c r="R70" s="1878" t="s">
        <v>1523</v>
      </c>
    </row>
    <row r="71" spans="1:18" s="1834" customFormat="1" ht="13.5" thickBot="1">
      <c r="A71" s="1190" t="s">
        <v>1029</v>
      </c>
      <c r="B71" s="1191" t="s">
        <v>1481</v>
      </c>
      <c r="C71" s="382" t="e">
        <f ca="1">ROUND(C68*10000/F71,0)</f>
        <v>#N/A</v>
      </c>
      <c r="D71" s="1192" t="s">
        <v>1482</v>
      </c>
      <c r="E71" s="1193" t="s">
        <v>1483</v>
      </c>
      <c r="F71" s="385" t="e">
        <f ca="1">F43</f>
        <v>#N/A</v>
      </c>
      <c r="O71" s="1886" t="s">
        <v>1046</v>
      </c>
      <c r="P71" s="1925" t="s">
        <v>1580</v>
      </c>
      <c r="Q71" s="1889" t="e">
        <f ca="1">C76</f>
        <v>#N/A</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#N/A</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#N/A</v>
      </c>
      <c r="R74" s="1878" t="s">
        <v>1563</v>
      </c>
    </row>
    <row r="75" spans="1:18" ht="13.5" thickBot="1">
      <c r="A75" s="1834"/>
      <c r="B75" s="386" t="s">
        <v>1500</v>
      </c>
      <c r="C75" s="387" t="e">
        <f ca="1">ROUND(C13*C76,0)</f>
        <v>#N/A</v>
      </c>
      <c r="D75" s="1834"/>
      <c r="E75" s="1834"/>
      <c r="F75" s="1834"/>
      <c r="K75" s="1860"/>
      <c r="L75" s="1834"/>
      <c r="O75" s="1876" t="s">
        <v>1042</v>
      </c>
      <c r="P75" s="1877" t="s">
        <v>1543</v>
      </c>
      <c r="Q75" s="1878" t="e">
        <f ca="1">Q65+Q66</f>
        <v>#N/A</v>
      </c>
      <c r="R75" s="1878" t="s">
        <v>1043</v>
      </c>
    </row>
    <row r="76" spans="1:18">
      <c r="B76" s="388" t="s">
        <v>1501</v>
      </c>
      <c r="C76" s="389" t="e">
        <f ca="1">INDIRECT("'数据-取费表'!j"&amp;$G$1)</f>
        <v>#N/A</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18">
      <c r="A4" s="1939" t="str">
        <f>"受贵公司委托，我公司对"&amp;项目基本情况!S1&amp;"进行了预评估。"</f>
        <v>受贵公司委托，我公司对北京市房地产市场价值进行了预评估。</v>
      </c>
    </row>
    <row r="5" spans="1:1" ht="18.75">
      <c r="A5" s="1940" t="s">
        <v>1606</v>
      </c>
    </row>
    <row r="6" spans="1:1" ht="18.75">
      <c r="A6" s="1941" t="s">
        <v>1607</v>
      </c>
    </row>
    <row r="7" spans="1:1" ht="36">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估价对象为北京市房地产，为所有。根据《国有土地使用证》[]，估价对象（分摊）出让国有建设用地使用权面积为0平方米，建筑面积为11757.19平方米。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估价对象为北京市房地产,属开发建设的居住项目，该项目尚在开发建设中。根据《国有土地使用证》[]，估价对象（分摊）出让国有建设用地使用权面积为0平方米，规划建筑面积为11757.19平方米。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为估价委托人了解估价对象房地产市场价值提供参考依据。</v>
      </c>
    </row>
    <row r="14" spans="1:1" ht="18.75">
      <c r="A14" s="1944" t="s">
        <v>1612</v>
      </c>
    </row>
    <row r="15" spans="1:1" ht="18">
      <c r="A15" s="1945" t="str">
        <f>TEXT(项目基本情况!D3,"yyyy年m月d日;;")&amp;IF(项目基本情况!D3=项目基本情况!B3,"（评估专业人员实地查勘之日）","")</f>
        <v>2021年8月17日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17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39" t="str">
        <f>IF(项目基本情况!B9="房地产市场价值","——",IF(项目基本情况!E8="房地产抵押价值",定义!C54,IF(项目基本情况!E8="已注销",定义!C55,定义!C56)))</f>
        <v>——</v>
      </c>
    </row>
    <row r="21" spans="1:1" ht="18">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39" t="str">
        <f>IF(项目基本情况!B9="房地产市场价值","——",IF(项目基本情况!E9="——","",定义!C57))</f>
        <v>——</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875" style="295" customWidth="1"/>
    <col min="9" max="254" width="9" style="295" customWidth="1"/>
    <col min="255" max="16384" width="8.375" style="295"/>
  </cols>
  <sheetData>
    <row r="1" spans="1:8" s="244" customFormat="1" ht="20.25">
      <c r="A1" s="240" t="s">
        <v>2322</v>
      </c>
      <c r="B1" s="1928"/>
      <c r="C1" s="2547" t="s">
        <v>2424</v>
      </c>
      <c r="D1" s="242"/>
      <c r="E1" s="242"/>
      <c r="F1" s="242"/>
      <c r="G1" s="1379">
        <f>MATCH(B1,'数据-取费表'!A6:A16,0)+5</f>
        <v>8</v>
      </c>
      <c r="H1" s="1282" t="str">
        <f>IF(ISERROR(FIND("住宅",B1)),"非住宅","住宅")</f>
        <v>非住宅</v>
      </c>
    </row>
    <row r="2" spans="1:8" s="244" customFormat="1" ht="18" customHeight="1">
      <c r="A2" s="245" t="s">
        <v>2323</v>
      </c>
      <c r="B2" s="246">
        <f ca="1">ROUND(IF(D2="——",C52/10000,C52/10000-E2),0)</f>
        <v>9054</v>
      </c>
      <c r="C2" s="243" t="s">
        <v>2324</v>
      </c>
      <c r="D2" s="2541" t="s">
        <v>70</v>
      </c>
      <c r="E2" s="1440" t="e">
        <f ca="1">SUMIF(INDIRECT("'"&amp;G2&amp;"'"&amp;"!A:A"),"承租人权益价值",INDIRECT("'"&amp;G2&amp;"'"&amp;"!c:c"))</f>
        <v>#REF!</v>
      </c>
      <c r="F2" s="2542" t="s">
        <v>2324</v>
      </c>
      <c r="G2" s="2543"/>
    </row>
    <row r="3" spans="1:8" s="244" customFormat="1" ht="18" customHeight="1" thickBot="1">
      <c r="A3" s="247" t="s">
        <v>2325</v>
      </c>
      <c r="B3" s="248">
        <f ca="1">ROUND(B2*10000/(IF(B1="",'数据-汇总表'!E3,INDIRECT("'数据-取费表'!k"&amp;$G$1))),0)</f>
        <v>7701</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1953333</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1953333</v>
      </c>
      <c r="D8" s="266"/>
      <c r="E8" s="264"/>
      <c r="F8" s="265"/>
      <c r="G8" s="2544"/>
    </row>
    <row r="9" spans="1:8" s="258" customFormat="1" ht="13.5" customHeight="1">
      <c r="A9" s="950" t="s">
        <v>800</v>
      </c>
      <c r="B9" s="268" t="s">
        <v>2339</v>
      </c>
      <c r="C9" s="269">
        <f ca="1">ROUND(D9*E9,0)</f>
        <v>1592421</v>
      </c>
      <c r="D9" s="1032">
        <f ca="1">IF(B1="",'数据-汇总表'!E5,IF(INDIRECT("'数据-取费表'!c"&amp;$G$1)="住宅",INDIRECT("'数据-取费表'!k"&amp;$G$1),0))</f>
        <v>9952.6299999999992</v>
      </c>
      <c r="E9" s="269">
        <f>'数据-取费表'!B27</f>
        <v>160</v>
      </c>
      <c r="F9" s="265"/>
      <c r="G9" s="270"/>
    </row>
    <row r="10" spans="1:8" s="258" customFormat="1" ht="13.5" customHeight="1">
      <c r="A10" s="950" t="s">
        <v>801</v>
      </c>
      <c r="B10" s="268" t="s">
        <v>2341</v>
      </c>
      <c r="C10" s="269">
        <f ca="1">ROUND(D10*E10,0)</f>
        <v>360912</v>
      </c>
      <c r="D10" s="1032">
        <f ca="1">IF(B1="",'数据-汇总表'!E6,IF(INDIRECT("'数据-取费表'!c"&amp;$G$1)="住宅",INDIRECT("'数据-取费表'!s"&amp;$G$1),INDIRECT("'数据-取费表'!k"&amp;$G$1)+INDIRECT("'数据-取费表'!s"&amp;$G$1)))</f>
        <v>1804.5599999999995</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2351438</v>
      </c>
      <c r="D19" s="1036">
        <f ca="1">D9+D10</f>
        <v>11757.189999999999</v>
      </c>
      <c r="E19" s="255">
        <f>'数据-取费表'!B31</f>
        <v>200</v>
      </c>
      <c r="F19" s="275"/>
      <c r="G19" s="2544"/>
    </row>
    <row r="20" spans="1:7" s="258" customFormat="1" ht="13.5" customHeight="1">
      <c r="A20" s="299" t="s">
        <v>2435</v>
      </c>
      <c r="B20" s="254" t="s">
        <v>2436</v>
      </c>
      <c r="C20" s="276">
        <f ca="1">ROUND((C5+C19)*F20,0)</f>
        <v>86095</v>
      </c>
      <c r="D20" s="276"/>
      <c r="E20" s="276"/>
      <c r="F20" s="277">
        <f>'数据-取费表'!B37</f>
        <v>0.02</v>
      </c>
      <c r="G20" s="278" t="s">
        <v>2437</v>
      </c>
    </row>
    <row r="21" spans="1:7" s="258" customFormat="1" ht="13.5" customHeight="1">
      <c r="A21" s="299" t="s">
        <v>2438</v>
      </c>
      <c r="B21" s="254" t="s">
        <v>2439</v>
      </c>
      <c r="C21" s="279">
        <f>F21</f>
        <v>0</v>
      </c>
      <c r="D21" s="280" t="s">
        <v>2440</v>
      </c>
      <c r="E21" s="276"/>
      <c r="F21" s="277">
        <f>'数据-取费表'!B38</f>
        <v>0</v>
      </c>
      <c r="G21" s="278" t="s">
        <v>2441</v>
      </c>
    </row>
    <row r="22" spans="1:7" s="258" customFormat="1" ht="13.5" customHeight="1">
      <c r="A22" s="299" t="s">
        <v>2442</v>
      </c>
      <c r="B22" s="254" t="s">
        <v>2443</v>
      </c>
      <c r="C22" s="1380">
        <f ca="1">ROUND(SUM(C23:C25),0)</f>
        <v>341163</v>
      </c>
      <c r="D22" s="279">
        <f>C26</f>
        <v>0</v>
      </c>
      <c r="E22" s="280" t="s">
        <v>2440</v>
      </c>
      <c r="F22" s="281">
        <f>'数据-取费表'!B40</f>
        <v>3.85E-2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153302</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184546</v>
      </c>
      <c r="D24" s="282"/>
      <c r="E24" s="282"/>
      <c r="F24" s="283"/>
      <c r="G24" s="284" t="s">
        <v>2447</v>
      </c>
    </row>
    <row r="25" spans="1:7" s="258" customFormat="1" ht="24">
      <c r="A25" s="951" t="s">
        <v>2337</v>
      </c>
      <c r="B25" s="259" t="s">
        <v>2448</v>
      </c>
      <c r="C25" s="1381">
        <f ca="1">ROUND(IF('数据-取费表'!B22&lt;=1,C20*F22*'数据-取费表'!B22/2,C20*(POWER((1+F22),'数据-取费表'!B22/2)-1)),0)</f>
        <v>3315</v>
      </c>
      <c r="D25" s="282"/>
      <c r="E25" s="285"/>
      <c r="F25" s="283"/>
      <c r="G25" s="286" t="s">
        <v>2449</v>
      </c>
    </row>
    <row r="26" spans="1:7" s="258" customFormat="1">
      <c r="A26" s="951" t="s">
        <v>795</v>
      </c>
      <c r="B26" s="259" t="s">
        <v>2372</v>
      </c>
      <c r="C26" s="282">
        <f>ROUND(IF('数据-取费表'!B22&lt;=1,F21*F22*'数据-取费表'!B22/2,F21*(POWER((1+F22),'数据-取费表'!B22/2)-1)),4)</f>
        <v>0</v>
      </c>
      <c r="D26" s="282"/>
      <c r="E26" s="285"/>
      <c r="F26" s="283"/>
      <c r="G26" s="287"/>
    </row>
    <row r="27" spans="1:7" s="258" customFormat="1" ht="24.75">
      <c r="A27" s="299" t="s">
        <v>2373</v>
      </c>
      <c r="B27" s="288" t="s">
        <v>2374</v>
      </c>
      <c r="C27" s="289">
        <f ca="1">C28</f>
        <v>131726</v>
      </c>
      <c r="D27" s="279">
        <f ca="1">C29</f>
        <v>0</v>
      </c>
      <c r="E27" s="280" t="s">
        <v>2375</v>
      </c>
      <c r="F27" s="290">
        <f ca="1">IF(B1="",'数据-取费表'!Q16,INDIRECT("'数据-取费表'!q"&amp;$G$1))</f>
        <v>0.03</v>
      </c>
      <c r="G27" s="291" t="s">
        <v>2376</v>
      </c>
    </row>
    <row r="28" spans="1:7" s="258" customFormat="1" ht="13.5" customHeight="1">
      <c r="A28" s="951" t="s">
        <v>791</v>
      </c>
      <c r="B28" s="292" t="s">
        <v>2377</v>
      </c>
      <c r="C28" s="293">
        <f ca="1">ROUND((C5+C19+C20)*F27,0)</f>
        <v>131726</v>
      </c>
      <c r="D28" s="279"/>
      <c r="E28" s="280"/>
      <c r="F28" s="290"/>
      <c r="G28" s="291"/>
    </row>
    <row r="29" spans="1:7" s="258" customFormat="1" ht="13.5" customHeight="1">
      <c r="A29" s="951" t="s">
        <v>792</v>
      </c>
      <c r="B29" s="292" t="s">
        <v>2378</v>
      </c>
      <c r="C29" s="282">
        <f ca="1">ROUND(C21*F27,4)</f>
        <v>0</v>
      </c>
      <c r="D29" s="279"/>
      <c r="E29" s="280"/>
      <c r="F29" s="290"/>
      <c r="G29" s="291"/>
    </row>
    <row r="30" spans="1:7" s="258" customFormat="1" ht="13.5" customHeight="1">
      <c r="A30" s="299" t="s">
        <v>2379</v>
      </c>
      <c r="B30" s="254" t="s">
        <v>2380</v>
      </c>
      <c r="C30" s="279">
        <f>ROUND(F30/(1+'数据-取费表'!C42),4)</f>
        <v>8.2600000000000007E-2</v>
      </c>
      <c r="D30" s="280" t="s">
        <v>2375</v>
      </c>
      <c r="E30" s="285"/>
      <c r="F30" s="281">
        <f>'数据-取费表'!B41</f>
        <v>0.09</v>
      </c>
      <c r="G30" s="278" t="s">
        <v>2381</v>
      </c>
    </row>
    <row r="31" spans="1:7" ht="16.5" customHeight="1">
      <c r="A31" s="253">
        <v>1</v>
      </c>
      <c r="B31" s="254" t="s">
        <v>2382</v>
      </c>
      <c r="C31" s="255">
        <f ca="1">ROUND((C5+C19+C20+C22+C27)/(1-C21-D22-D27-C30),0)</f>
        <v>5301673</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71752536</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61969467</v>
      </c>
      <c r="D34" s="261"/>
      <c r="E34" s="264"/>
      <c r="F34" s="301"/>
      <c r="G34" s="263"/>
    </row>
    <row r="35" spans="1:7" ht="13.5" customHeight="1">
      <c r="A35" s="951" t="s">
        <v>796</v>
      </c>
      <c r="B35" s="259" t="s">
        <v>2388</v>
      </c>
      <c r="C35" s="264">
        <f ca="1">ROUND(C34*F35,0)</f>
        <v>1859084</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2761855</v>
      </c>
      <c r="D36" s="264"/>
      <c r="E36" s="264"/>
      <c r="F36" s="303">
        <f>'数据-取费表'!B34</f>
        <v>0.05</v>
      </c>
      <c r="G36" s="304" t="s">
        <v>2391</v>
      </c>
    </row>
    <row r="37" spans="1:7" s="302" customFormat="1" ht="13.5" customHeight="1">
      <c r="A37" s="951" t="s">
        <v>798</v>
      </c>
      <c r="B37" s="259" t="s">
        <v>2392</v>
      </c>
      <c r="C37" s="293">
        <f ca="1">ROUND(E37*D37,0)</f>
        <v>4232588</v>
      </c>
      <c r="D37" s="261">
        <f ca="1">D19</f>
        <v>11757.189999999999</v>
      </c>
      <c r="E37" s="293">
        <f>'数据-取费表'!B35</f>
        <v>360</v>
      </c>
      <c r="F37" s="303"/>
      <c r="G37" s="305"/>
    </row>
    <row r="38" spans="1:7" ht="13.5" customHeight="1">
      <c r="A38" s="951" t="s">
        <v>799</v>
      </c>
      <c r="B38" s="259" t="s">
        <v>2394</v>
      </c>
      <c r="C38" s="264">
        <f ca="1">ROUND(C34*F38,0)</f>
        <v>929542</v>
      </c>
      <c r="D38" s="264"/>
      <c r="E38" s="264"/>
      <c r="F38" s="303">
        <f>'数据-取费表'!B36</f>
        <v>1.4999999999999999E-2</v>
      </c>
      <c r="G38" s="263" t="s">
        <v>2389</v>
      </c>
    </row>
    <row r="39" spans="1:7" s="258" customFormat="1" ht="13.5" customHeight="1">
      <c r="A39" s="299" t="s">
        <v>2395</v>
      </c>
      <c r="B39" s="254" t="s">
        <v>2396</v>
      </c>
      <c r="C39" s="276">
        <f ca="1">ROUND(C33*F20,0)</f>
        <v>1435051</v>
      </c>
      <c r="D39" s="276"/>
      <c r="E39" s="276"/>
      <c r="F39" s="277"/>
      <c r="G39" s="278" t="s">
        <v>2397</v>
      </c>
    </row>
    <row r="40" spans="1:7" s="258" customFormat="1" ht="13.5" customHeight="1">
      <c r="A40" s="299" t="s">
        <v>2398</v>
      </c>
      <c r="B40" s="254" t="s">
        <v>2399</v>
      </c>
      <c r="C40" s="1728">
        <f>F21</f>
        <v>0</v>
      </c>
      <c r="D40" s="280" t="s">
        <v>2400</v>
      </c>
      <c r="E40" s="276"/>
      <c r="F40" s="277"/>
      <c r="G40" s="278" t="s">
        <v>2401</v>
      </c>
    </row>
    <row r="41" spans="1:7" s="258" customFormat="1" ht="13.5" customHeight="1">
      <c r="A41" s="299" t="s">
        <v>2402</v>
      </c>
      <c r="B41" s="254" t="s">
        <v>2403</v>
      </c>
      <c r="C41" s="276">
        <f ca="1">ROUND(SUM(C42:C43),0)</f>
        <v>2817722</v>
      </c>
      <c r="D41" s="279">
        <f>C44</f>
        <v>0</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2762473</v>
      </c>
      <c r="D42" s="282"/>
      <c r="E42" s="282"/>
      <c r="F42" s="283"/>
      <c r="G42" s="3438" t="s">
        <v>2452</v>
      </c>
    </row>
    <row r="43" spans="1:7" ht="13.5" customHeight="1">
      <c r="A43" s="951" t="s">
        <v>792</v>
      </c>
      <c r="B43" s="259" t="s">
        <v>2406</v>
      </c>
      <c r="C43" s="282">
        <f ca="1">ROUND(IF('数据-取费表'!B22&lt;=1,C39*F22*'数据-取费表'!B20/2,C39*(POWER((1+F22),'数据-取费表'!B20/2)-1)),0)</f>
        <v>55249</v>
      </c>
      <c r="D43" s="282"/>
      <c r="E43" s="282"/>
      <c r="F43" s="283"/>
      <c r="G43" s="3439"/>
    </row>
    <row r="44" spans="1:7" ht="13.5" customHeight="1">
      <c r="A44" s="951" t="s">
        <v>793</v>
      </c>
      <c r="B44" s="259" t="s">
        <v>2407</v>
      </c>
      <c r="C44" s="282">
        <f>ROUND(IF('数据-取费表'!B22&lt;=1,C40*F22*'数据-取费表'!B20/2,C40*(POWER((1+F22),'数据-取费表'!B20/2)-1)),4)</f>
        <v>0</v>
      </c>
      <c r="D44" s="282"/>
      <c r="E44" s="282"/>
      <c r="F44" s="283"/>
      <c r="G44" s="3440"/>
    </row>
    <row r="45" spans="1:7" s="258" customFormat="1" ht="13.5" customHeight="1">
      <c r="A45" s="299" t="s">
        <v>2408</v>
      </c>
      <c r="B45" s="288" t="s">
        <v>2374</v>
      </c>
      <c r="C45" s="289">
        <f ca="1">C46</f>
        <v>2195628</v>
      </c>
      <c r="D45" s="279">
        <f ca="1">C47</f>
        <v>0</v>
      </c>
      <c r="E45" s="280" t="s">
        <v>2400</v>
      </c>
      <c r="F45" s="290"/>
      <c r="G45" s="291" t="s">
        <v>2409</v>
      </c>
    </row>
    <row r="46" spans="1:7" s="258" customFormat="1" ht="13.5" customHeight="1">
      <c r="A46" s="951" t="s">
        <v>791</v>
      </c>
      <c r="B46" s="292" t="s">
        <v>2410</v>
      </c>
      <c r="C46" s="293">
        <f ca="1">ROUND((C33+C39)*F27,0)</f>
        <v>2195628</v>
      </c>
      <c r="D46" s="307"/>
      <c r="E46" s="280"/>
      <c r="F46" s="290"/>
      <c r="G46" s="291"/>
    </row>
    <row r="47" spans="1:7" s="258" customFormat="1" ht="13.5" customHeight="1">
      <c r="A47" s="951" t="s">
        <v>792</v>
      </c>
      <c r="B47" s="292" t="s">
        <v>2411</v>
      </c>
      <c r="C47" s="282">
        <f ca="1">ROUND(C40*F27,4)</f>
        <v>0</v>
      </c>
      <c r="D47" s="307"/>
      <c r="E47" s="280"/>
      <c r="F47" s="290"/>
      <c r="G47" s="291"/>
    </row>
    <row r="48" spans="1:7" s="258" customFormat="1" ht="13.5" customHeight="1">
      <c r="A48" s="299" t="s">
        <v>2373</v>
      </c>
      <c r="B48" s="254" t="s">
        <v>2412</v>
      </c>
      <c r="C48" s="306">
        <f>ROUND(F30/(1+'数据-取费表'!C42),4)</f>
        <v>8.2600000000000007E-2</v>
      </c>
      <c r="D48" s="280" t="s">
        <v>2400</v>
      </c>
      <c r="E48" s="276"/>
      <c r="F48" s="281"/>
      <c r="G48" s="278" t="s">
        <v>2413</v>
      </c>
    </row>
    <row r="49" spans="1:7" ht="16.5" customHeight="1">
      <c r="A49" s="299" t="s">
        <v>2379</v>
      </c>
      <c r="B49" s="254" t="s">
        <v>2453</v>
      </c>
      <c r="C49" s="276">
        <f ca="1">ROUND((C33+C39+C41+C45)/(1-C40-D41-D45-C48),0)</f>
        <v>85241920</v>
      </c>
      <c r="D49" s="276"/>
      <c r="E49" s="276"/>
      <c r="F49" s="308"/>
      <c r="G49" s="278" t="s">
        <v>2415</v>
      </c>
    </row>
    <row r="50" spans="1:7" s="302" customFormat="1">
      <c r="A50" s="299" t="s">
        <v>2416</v>
      </c>
      <c r="B50" s="254" t="s">
        <v>2417</v>
      </c>
      <c r="C50" s="276"/>
      <c r="D50" s="276"/>
      <c r="E50" s="276"/>
      <c r="F50" s="308">
        <f>IF('数据-取费表'!B24=0,'数据-取费表'!N16,1)</f>
        <v>1</v>
      </c>
      <c r="G50" s="291"/>
    </row>
    <row r="51" spans="1:7" ht="16.5" customHeight="1">
      <c r="A51" s="299" t="s">
        <v>2419</v>
      </c>
      <c r="B51" s="254" t="s">
        <v>2454</v>
      </c>
      <c r="C51" s="276">
        <f ca="1">ROUND(C49*F50,0)</f>
        <v>85241920</v>
      </c>
      <c r="D51" s="276"/>
      <c r="E51" s="276"/>
      <c r="F51" s="308"/>
      <c r="G51" s="278" t="s">
        <v>2421</v>
      </c>
    </row>
    <row r="52" spans="1:7" s="252" customFormat="1" ht="16.5" thickBot="1">
      <c r="A52" s="309" t="s">
        <v>2422</v>
      </c>
      <c r="B52" s="310"/>
      <c r="C52" s="311">
        <f ca="1">C31+C51</f>
        <v>90543593</v>
      </c>
      <c r="D52" s="310"/>
      <c r="E52" s="310"/>
      <c r="F52" s="310"/>
      <c r="G52" s="312"/>
    </row>
    <row r="55" spans="1:7" ht="15">
      <c r="B55" s="314" t="s">
        <v>2423</v>
      </c>
      <c r="C55" s="315"/>
    </row>
    <row r="56" spans="1:7">
      <c r="B56" s="317" t="s">
        <v>1507</v>
      </c>
      <c r="C56" s="319">
        <f ca="1">1-C57</f>
        <v>5.9000000000000052E-2</v>
      </c>
    </row>
    <row r="57" spans="1:7">
      <c r="B57" s="317" t="s">
        <v>1508</v>
      </c>
      <c r="C57" s="318">
        <f ca="1">ROUND(C51/C52,3)</f>
        <v>0.94099999999999995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D00-000000000000}">
      <formula1>"已包含在土地购买价格中,未包含在土地购买价格中"</formula1>
    </dataValidation>
    <dataValidation type="list" allowBlank="1" showInputMessage="1" showErrorMessage="1" sqref="G19" xr:uid="{00000000-0002-0000-1D00-000001000000}">
      <formula1>"已包含在土地取得成本中,未包含在土地取得成本中"</formula1>
    </dataValidation>
    <dataValidation type="list" allowBlank="1" showInputMessage="1" showErrorMessage="1" sqref="B1" xr:uid="{00000000-0002-0000-1D00-000002000000}">
      <formula1>项目类型</formula1>
    </dataValidation>
    <dataValidation type="list" allowBlank="1" showInputMessage="1" showErrorMessage="1" sqref="G2" xr:uid="{00000000-0002-0000-1D00-000003000000}">
      <formula1>估价方法</formula1>
    </dataValidation>
    <dataValidation type="list" allowBlank="1" showInputMessage="1" showErrorMessage="1" sqref="D2" xr:uid="{00000000-0002-0000-1D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tabColor rgb="FF92D050"/>
    <pageSetUpPr fitToPage="1"/>
  </sheetPr>
  <dimension ref="A1:AG34"/>
  <sheetViews>
    <sheetView topLeftCell="A4" workbookViewId="0">
      <selection activeCell="F7" sqref="F7"/>
    </sheetView>
  </sheetViews>
  <sheetFormatPr defaultColWidth="6.625" defaultRowHeight="12.75"/>
  <cols>
    <col min="1" max="1" width="9.875" style="798" customWidth="1"/>
    <col min="2" max="2" width="25.875" style="952" customWidth="1"/>
    <col min="3" max="3" width="10.375" style="995" customWidth="1"/>
    <col min="4" max="4" width="9.875" style="952" customWidth="1"/>
    <col min="5" max="5" width="9.5" style="798" customWidth="1"/>
    <col min="6" max="6" width="10.125" style="952" customWidth="1"/>
    <col min="7" max="7" width="10.8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8</v>
      </c>
    </row>
    <row r="2" spans="1:33" ht="18" customHeight="1">
      <c r="A2" s="245" t="s">
        <v>2323</v>
      </c>
      <c r="B2" s="248">
        <f ca="1">C32</f>
        <v>-199</v>
      </c>
      <c r="C2" s="320" t="s">
        <v>2456</v>
      </c>
      <c r="D2" s="320"/>
      <c r="E2" s="320"/>
      <c r="F2" s="320"/>
      <c r="G2" s="320"/>
      <c r="H2" s="320"/>
      <c r="I2" s="320"/>
      <c r="J2" s="320"/>
      <c r="K2" s="320"/>
    </row>
    <row r="3" spans="1:33" ht="18" customHeight="1" thickBot="1">
      <c r="A3" s="247" t="s">
        <v>2325</v>
      </c>
      <c r="B3" s="248">
        <f ca="1">ROUND(B2*10000/IF(C1="",'数据-汇总表'!E3,INDIRECT("'数据-取费表'!K"&amp;$K$1)),0)</f>
        <v>-169</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48" t="s">
        <v>2461</v>
      </c>
      <c r="D5" s="2548" t="s">
        <v>2462</v>
      </c>
      <c r="E5" s="2548" t="s">
        <v>2463</v>
      </c>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1329</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2477</v>
      </c>
      <c r="C12" s="24">
        <f ca="1">ROUND(C11*F12,0)</f>
        <v>0</v>
      </c>
      <c r="D12" s="973"/>
      <c r="E12" s="375"/>
      <c r="F12" s="976">
        <f>'数据-取费表'!B33</f>
        <v>0.03</v>
      </c>
      <c r="G12" s="8" t="s">
        <v>2478</v>
      </c>
      <c r="H12" s="968"/>
      <c r="I12" s="968"/>
      <c r="J12" s="968"/>
      <c r="K12" s="969"/>
    </row>
    <row r="13" spans="1:33" s="975" customFormat="1" ht="13.5" customHeight="1">
      <c r="A13" s="971" t="s">
        <v>1331</v>
      </c>
      <c r="B13" s="972" t="s">
        <v>2479</v>
      </c>
      <c r="C13" s="24">
        <f ca="1">ROUND(IF(C1="",SUMIF('数据-取费表'!C:C,"住宅",'数据-取费表'!P:P)*F13,IF(INDIRECT("'数据-取费表'!c"&amp;$K$1)="住宅",INDIRECT("'数据-取费表'!P"&amp;$K$1)*F13,0)),0)</f>
        <v>0</v>
      </c>
      <c r="D13" s="1033"/>
      <c r="E13" s="375"/>
      <c r="F13" s="976">
        <f>'数据-取费表'!B34</f>
        <v>0.05</v>
      </c>
      <c r="G13" s="8" t="s">
        <v>2480</v>
      </c>
      <c r="H13" s="968"/>
      <c r="I13" s="968"/>
      <c r="J13" s="968"/>
      <c r="K13" s="969"/>
    </row>
    <row r="14" spans="1:33" s="977" customFormat="1" ht="13.5" customHeight="1">
      <c r="A14" s="971" t="s">
        <v>1332</v>
      </c>
      <c r="B14" s="972" t="s">
        <v>2481</v>
      </c>
      <c r="C14" s="24">
        <f ca="1">ROUND(D14*E14*F11/10000,0)</f>
        <v>0</v>
      </c>
      <c r="D14" s="1033">
        <f ca="1">IF(C1="",'数据-汇总表'!E3,INDIRECT("'数据-取费表'!K"&amp;$K$1)+INDIRECT("'数据-取费表'!S"&amp;$K$1))</f>
        <v>11757.189999999999</v>
      </c>
      <c r="E14" s="24">
        <f>'数据-取费表'!B35</f>
        <v>360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11757.189999999999</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2488</v>
      </c>
      <c r="C18" s="24">
        <f ca="1">C19+C20-IF(C1="",'数据-取费表'!B29,IF(G18="已全部缴纳",C19+C20,H18))</f>
        <v>195</v>
      </c>
      <c r="D18" s="1033"/>
      <c r="E18" s="24"/>
      <c r="F18" s="976"/>
      <c r="G18" s="2550"/>
      <c r="H18" s="1577"/>
      <c r="I18" s="2551" t="s">
        <v>2489</v>
      </c>
      <c r="J18" s="979"/>
      <c r="K18" s="980"/>
    </row>
    <row r="19" spans="1:33" s="975" customFormat="1" ht="13.5" customHeight="1">
      <c r="A19" s="971" t="s">
        <v>805</v>
      </c>
      <c r="B19" s="972" t="s">
        <v>2490</v>
      </c>
      <c r="C19" s="24">
        <f ca="1">ROUND(D19*E19/10000,0)</f>
        <v>159</v>
      </c>
      <c r="D19" s="1033">
        <f ca="1">IF(C1="",'数据-汇总表'!E5,IF(INDIRECT("'数据-取费表'!c"&amp;$K$1)="住宅",INDIRECT("'数据-取费表'!k"&amp;$K$1),0))</f>
        <v>9952.6299999999992</v>
      </c>
      <c r="E19" s="24">
        <f>'数据-取费表'!B27</f>
        <v>160</v>
      </c>
      <c r="F19" s="976"/>
      <c r="G19" s="15"/>
      <c r="H19" s="1579"/>
      <c r="I19" s="981"/>
      <c r="J19" s="981"/>
      <c r="K19" s="982"/>
    </row>
    <row r="20" spans="1:33" s="975" customFormat="1" ht="13.5" customHeight="1">
      <c r="A20" s="971" t="s">
        <v>806</v>
      </c>
      <c r="B20" s="972" t="s">
        <v>2491</v>
      </c>
      <c r="C20" s="24">
        <f ca="1">ROUND(D20*E20/10000,0)</f>
        <v>36</v>
      </c>
      <c r="D20" s="1033">
        <f ca="1">IF(C1="",'数据-汇总表'!E6,IF(INDIRECT("'数据-取费表'!c"&amp;$K$1)="住宅",INDIRECT("'数据-取费表'!s"&amp;$K$1),INDIRECT("'数据-取费表'!k"&amp;$K$1)+INDIRECT("'数据-取费表'!s"&amp;$K$1)))</f>
        <v>1804.5599999999995</v>
      </c>
      <c r="E20" s="24">
        <f>'数据-取费表'!B28</f>
        <v>200</v>
      </c>
      <c r="F20" s="976"/>
      <c r="G20" s="15"/>
      <c r="H20" s="981"/>
      <c r="I20" s="981"/>
      <c r="J20" s="981"/>
      <c r="K20" s="982"/>
    </row>
    <row r="21" spans="1:33" s="975" customFormat="1" ht="13.5" customHeight="1">
      <c r="A21" s="961" t="s">
        <v>802</v>
      </c>
      <c r="B21" s="985" t="s">
        <v>2492</v>
      </c>
      <c r="C21" s="986">
        <f ca="1">C16+C17+C18</f>
        <v>195</v>
      </c>
      <c r="D21" s="987"/>
      <c r="E21" s="325"/>
      <c r="F21" s="325"/>
      <c r="G21" s="140" t="s">
        <v>2493</v>
      </c>
      <c r="H21" s="979"/>
      <c r="I21" s="979"/>
      <c r="J21" s="979"/>
      <c r="K21" s="980"/>
    </row>
    <row r="22" spans="1:33" s="975" customFormat="1" ht="13.5" customHeight="1">
      <c r="A22" s="961" t="s">
        <v>2465</v>
      </c>
      <c r="B22" s="985" t="s">
        <v>2494</v>
      </c>
      <c r="C22" s="986">
        <f ca="1">ROUND(C21*F22,0)</f>
        <v>4</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v>
      </c>
      <c r="G23" s="8" t="s">
        <v>2497</v>
      </c>
      <c r="H23" s="968"/>
      <c r="I23" s="968"/>
      <c r="J23" s="968"/>
      <c r="K23" s="969"/>
    </row>
    <row r="24" spans="1:33" s="975" customFormat="1" ht="13.5" customHeight="1">
      <c r="A24" s="961" t="s">
        <v>2498</v>
      </c>
      <c r="B24" s="985" t="s">
        <v>2499</v>
      </c>
      <c r="C24" s="324">
        <f>ROUND(F24/(1+'数据-取费表'!C42),4)</f>
        <v>2.8000000000000001E-2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C26</f>
        <v>0</v>
      </c>
      <c r="E25" s="326" t="s">
        <v>15</v>
      </c>
      <c r="F25" s="327">
        <f>'数据-取费表'!B40</f>
        <v>3.85E-2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9"/>
      <c r="I27" s="979"/>
      <c r="J27" s="979"/>
      <c r="K27" s="980"/>
    </row>
    <row r="28" spans="1:33" s="333" customFormat="1" ht="13.5" customHeight="1">
      <c r="A28" s="961" t="s">
        <v>2505</v>
      </c>
      <c r="B28" s="2553" t="s">
        <v>2506</v>
      </c>
      <c r="C28" s="331">
        <f ca="1">C30</f>
        <v>6</v>
      </c>
      <c r="D28" s="324">
        <f ca="1">C29</f>
        <v>0</v>
      </c>
      <c r="E28" s="326" t="s">
        <v>15</v>
      </c>
      <c r="F28" s="332">
        <f ca="1">IF(C1="",'数据-取费表'!Q16,INDIRECT("'数据-取费表'!q"&amp;$K$1))</f>
        <v>0.03</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6</v>
      </c>
      <c r="D30" s="328"/>
      <c r="E30" s="329"/>
      <c r="F30" s="334"/>
      <c r="G30" s="140"/>
      <c r="H30" s="979"/>
      <c r="I30" s="979"/>
      <c r="J30" s="979"/>
      <c r="K30" s="980"/>
    </row>
    <row r="31" spans="1:33" s="975" customFormat="1" ht="13.5" customHeight="1" thickBot="1">
      <c r="A31" s="2554" t="s">
        <v>2510</v>
      </c>
      <c r="B31" s="1005" t="s">
        <v>2511</v>
      </c>
      <c r="C31" s="1006">
        <f>ROUND(C4*F31/(1+'数据-取费表'!C42),0)</f>
        <v>0</v>
      </c>
      <c r="D31" s="1007"/>
      <c r="E31" s="1008"/>
      <c r="F31" s="1009">
        <f>'数据-取费表'!B41</f>
        <v>0.09</v>
      </c>
      <c r="G31" s="1010" t="s">
        <v>2512</v>
      </c>
      <c r="H31" s="1011"/>
      <c r="I31" s="1011"/>
      <c r="J31" s="1011"/>
      <c r="K31" s="1012"/>
    </row>
    <row r="32" spans="1:33" s="970" customFormat="1" ht="13.5" customHeight="1" thickBot="1">
      <c r="A32" s="1000" t="s">
        <v>2513</v>
      </c>
      <c r="B32" s="1001"/>
      <c r="C32" s="1002">
        <f ca="1">ROUND((C4-C21-C22-C23-C25-C28-C31)/(1+C24+D25+D28),0)</f>
        <v>-199</v>
      </c>
      <c r="D32" s="1001"/>
      <c r="E32" s="1001"/>
      <c r="F32" s="1001"/>
      <c r="G32" s="1003" t="s">
        <v>2514</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xr:uid="{00000000-0002-0000-1E00-000000000000}">
      <formula1>项目类型</formula1>
    </dataValidation>
    <dataValidation type="list" allowBlank="1" showInputMessage="1" showErrorMessage="1" sqref="G18" xr:uid="{00000000-0002-0000-1E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28" t="s">
        <v>3115</v>
      </c>
      <c r="C1" s="242"/>
      <c r="D1" s="242"/>
      <c r="E1" s="242"/>
      <c r="F1" s="242"/>
      <c r="G1" s="1379" t="e">
        <f>MATCH(B1,'数据-取费表'!A6:A16,0)+5</f>
        <v>#N/A</v>
      </c>
    </row>
    <row r="2" spans="1:9" s="244" customFormat="1" ht="18" customHeight="1">
      <c r="A2" s="245" t="s">
        <v>1388</v>
      </c>
      <c r="B2" s="246" t="e">
        <f ca="1">IF(D2="——",C52,C52-E2)</f>
        <v>#N/A</v>
      </c>
      <c r="C2" s="243" t="s">
        <v>2324</v>
      </c>
      <c r="D2" s="2541" t="s">
        <v>70</v>
      </c>
      <c r="E2" s="1440" t="e">
        <f ca="1">SUMIF(INDIRECT("'"&amp;G2&amp;"'"&amp;"!A:A"),"承租人权益价值",INDIRECT("'"&amp;G2&amp;"'"&amp;"!c:c"))</f>
        <v>#REF!</v>
      </c>
      <c r="F2" s="2542" t="s">
        <v>2324</v>
      </c>
      <c r="G2" s="2543"/>
    </row>
    <row r="3" spans="1:9" s="244" customFormat="1" ht="18" customHeight="1" thickBot="1">
      <c r="A3" s="247" t="s">
        <v>1389</v>
      </c>
      <c r="B3" s="248" t="e">
        <f ca="1">ROUND(B2*10000/(IF(B1="",'数据-汇总表'!E3,INDIRECT("'数据-取费表'!k"&amp;$G$1))),0)</f>
        <v>#N/A</v>
      </c>
      <c r="C3" s="243" t="s">
        <v>2326</v>
      </c>
      <c r="D3" s="243"/>
      <c r="E3" s="243"/>
      <c r="F3" s="243"/>
      <c r="G3" s="243"/>
    </row>
    <row r="4" spans="1:9" s="252" customFormat="1" ht="15.75">
      <c r="A4" s="249" t="s">
        <v>2327</v>
      </c>
      <c r="B4" s="250"/>
      <c r="C4" s="250"/>
      <c r="D4" s="250"/>
      <c r="E4" s="250"/>
      <c r="F4" s="250"/>
      <c r="G4" s="251"/>
    </row>
    <row r="5" spans="1:9" s="258" customFormat="1" ht="13.5" customHeight="1">
      <c r="A5" s="299" t="s">
        <v>782</v>
      </c>
      <c r="B5" s="254" t="s">
        <v>2329</v>
      </c>
      <c r="C5" s="255" t="e">
        <f ca="1">C6+C7+C8</f>
        <v>#N/A</v>
      </c>
      <c r="D5" s="255" t="s">
        <v>2330</v>
      </c>
      <c r="E5" s="256" t="s">
        <v>2331</v>
      </c>
      <c r="F5" s="256" t="s">
        <v>2332</v>
      </c>
      <c r="G5" s="257"/>
    </row>
    <row r="6" spans="1:9" s="258" customFormat="1" ht="13.5" customHeight="1">
      <c r="A6" s="949" t="s">
        <v>791</v>
      </c>
      <c r="B6" s="259" t="s">
        <v>2334</v>
      </c>
      <c r="C6" s="260">
        <f ca="1">基准地价修正!I38+基准地价修正!I39</f>
        <v>1594</v>
      </c>
      <c r="D6" s="261"/>
      <c r="E6" s="262"/>
      <c r="F6" s="262"/>
      <c r="G6" s="263"/>
    </row>
    <row r="7" spans="1:9" s="258" customFormat="1" ht="13.5" customHeight="1">
      <c r="A7" s="949" t="s">
        <v>792</v>
      </c>
      <c r="B7" s="259" t="s">
        <v>2336</v>
      </c>
      <c r="C7" s="264">
        <f ca="1">ROUND(C6*F7,0)</f>
        <v>49</v>
      </c>
      <c r="D7" s="264"/>
      <c r="E7" s="262"/>
      <c r="F7" s="265">
        <f>IF(项目基本情况!B8="出让",0,'数据-取费表'!B48+'数据-取费表'!B49)</f>
        <v>3.0499999999999999E-2</v>
      </c>
      <c r="G7" s="263"/>
    </row>
    <row r="8" spans="1:9" s="267" customFormat="1">
      <c r="A8" s="949" t="s">
        <v>793</v>
      </c>
      <c r="B8" s="259" t="s">
        <v>2338</v>
      </c>
      <c r="C8" s="264" t="e">
        <f ca="1">IF(G8="已包含在土地购买价格中","0",IF(B1="",'数据-取费表'!B29,IF(G9="全部缴纳",C9+C10,H9)))</f>
        <v>#N/A</v>
      </c>
      <c r="D8" s="266"/>
      <c r="E8" s="264"/>
      <c r="F8" s="265"/>
      <c r="G8" s="2544" t="s">
        <v>3127</v>
      </c>
    </row>
    <row r="9" spans="1:9" s="258" customFormat="1" ht="13.5" customHeight="1">
      <c r="A9" s="950" t="s">
        <v>800</v>
      </c>
      <c r="B9" s="268" t="s">
        <v>2339</v>
      </c>
      <c r="C9" s="269" t="e">
        <f ca="1">ROUND(D9*E9/10000,0)</f>
        <v>#N/A</v>
      </c>
      <c r="D9" s="1032" t="e">
        <f ca="1">IF(B1="",'数据-汇总表'!E5,IF(INDIRECT("'数据-取费表'!c"&amp;$G$1)="住宅",INDIRECT("'数据-取费表'!k"&amp;$G$1),0))</f>
        <v>#N/A</v>
      </c>
      <c r="E9" s="269">
        <f>'数据-取费表'!B27</f>
        <v>160</v>
      </c>
      <c r="F9" s="265"/>
      <c r="G9" s="2545" t="s">
        <v>3125</v>
      </c>
      <c r="H9" s="1390"/>
      <c r="I9" s="2546" t="s">
        <v>2340</v>
      </c>
    </row>
    <row r="10" spans="1:9" s="258" customFormat="1" ht="13.5" customHeight="1">
      <c r="A10" s="950" t="s">
        <v>801</v>
      </c>
      <c r="B10" s="268" t="s">
        <v>2341</v>
      </c>
      <c r="C10" s="269" t="e">
        <f ca="1">ROUND(D10*E10/10000,0)</f>
        <v>#N/A</v>
      </c>
      <c r="D10" s="1032"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2338</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2338</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t="e">
        <f ca="1">D9+D10</f>
        <v>#N/A</v>
      </c>
      <c r="E19" s="255">
        <f>'数据-取费表'!B31</f>
        <v>200</v>
      </c>
      <c r="F19" s="275"/>
      <c r="G19" s="2544" t="s">
        <v>3126</v>
      </c>
    </row>
    <row r="20" spans="1:7" s="258" customFormat="1" ht="13.5" customHeight="1">
      <c r="A20" s="299" t="s">
        <v>2354</v>
      </c>
      <c r="B20" s="254" t="s">
        <v>2355</v>
      </c>
      <c r="C20" s="276" t="e">
        <f ca="1">ROUND((C5+C19)*F20,0)</f>
        <v>#N/A</v>
      </c>
      <c r="D20" s="276"/>
      <c r="E20" s="276"/>
      <c r="F20" s="277">
        <f>'数据-取费表'!B37</f>
        <v>0.02</v>
      </c>
      <c r="G20" s="278" t="s">
        <v>2356</v>
      </c>
    </row>
    <row r="21" spans="1:7" s="258" customFormat="1" ht="13.5" customHeight="1">
      <c r="A21" s="299" t="s">
        <v>2357</v>
      </c>
      <c r="B21" s="254" t="s">
        <v>2358</v>
      </c>
      <c r="C21" s="279">
        <f>F21</f>
        <v>0</v>
      </c>
      <c r="D21" s="280" t="s">
        <v>2359</v>
      </c>
      <c r="E21" s="276"/>
      <c r="F21" s="277">
        <f>'数据-取费表'!B38</f>
        <v>0</v>
      </c>
      <c r="G21" s="278" t="s">
        <v>2360</v>
      </c>
    </row>
    <row r="22" spans="1:7" s="258" customFormat="1" ht="13.5" customHeight="1">
      <c r="A22" s="299" t="s">
        <v>2361</v>
      </c>
      <c r="B22" s="254" t="s">
        <v>2362</v>
      </c>
      <c r="C22" s="1354" t="e">
        <f ca="1">ROUND(SUM(C23:C25),0)</f>
        <v>#N/A</v>
      </c>
      <c r="D22" s="279">
        <f>C26</f>
        <v>0</v>
      </c>
      <c r="E22" s="280" t="s">
        <v>2359</v>
      </c>
      <c r="F22" s="281">
        <f>'数据-取费表'!B40</f>
        <v>3.85E-2</v>
      </c>
      <c r="G22" s="278" t="str">
        <f>IF('数据-取费表'!B22&lt;=1,"单利计息","复利计息")</f>
        <v>复利计息</v>
      </c>
    </row>
    <row r="23" spans="1:7" s="258" customFormat="1" ht="13.5" customHeight="1">
      <c r="A23" s="951" t="s">
        <v>791</v>
      </c>
      <c r="B23" s="259" t="s">
        <v>2364</v>
      </c>
      <c r="C23" s="1355" t="e">
        <f ca="1">ROUND(IF('数据-取费表'!B22&lt;=1,C5*F22*'数据-取费表'!B23,C5*(POWER((1+F22),'数据-取费表'!B23)-1)),0)</f>
        <v>#N/A</v>
      </c>
      <c r="D23" s="282"/>
      <c r="E23" s="282"/>
      <c r="F23" s="283"/>
      <c r="G23" s="284" t="s">
        <v>2365</v>
      </c>
    </row>
    <row r="24" spans="1:7" s="258" customFormat="1" ht="13.5" customHeight="1">
      <c r="A24" s="951" t="s">
        <v>792</v>
      </c>
      <c r="B24" s="259" t="s">
        <v>2367</v>
      </c>
      <c r="C24" s="1355">
        <f>ROUND(IF('数据-取费表'!B22&lt;=1,C19*F22*('数据-取费表'!B19/2+'数据-取费表'!B21),C19*(POWER((1+F22),('数据-取费表'!B19/2+'数据-取费表'!B21))-1)),0)</f>
        <v>0</v>
      </c>
      <c r="D24" s="282"/>
      <c r="E24" s="282"/>
      <c r="F24" s="283"/>
      <c r="G24" s="284" t="s">
        <v>2368</v>
      </c>
    </row>
    <row r="25" spans="1:7" s="258" customFormat="1" ht="24">
      <c r="A25" s="951" t="s">
        <v>793</v>
      </c>
      <c r="B25" s="259" t="s">
        <v>2370</v>
      </c>
      <c r="C25" s="1355" t="e">
        <f ca="1">ROUND(IF('数据-取费表'!B22&lt;=1,C20*F22*'数据-取费表'!B23/2,C20*(POWER((1+F22),'数据-取费表'!B23/2)-1)),0)</f>
        <v>#N/A</v>
      </c>
      <c r="D25" s="282"/>
      <c r="E25" s="285"/>
      <c r="F25" s="283"/>
      <c r="G25" s="286" t="s">
        <v>2371</v>
      </c>
    </row>
    <row r="26" spans="1:7" s="258" customFormat="1">
      <c r="A26" s="951" t="s">
        <v>795</v>
      </c>
      <c r="B26" s="259" t="s">
        <v>2372</v>
      </c>
      <c r="C26" s="282">
        <f>ROUND(IF('数据-取费表'!B22&lt;=1,F21*F22*'数据-取费表'!B23/2,F21*(POWER((1+F22),'数据-取费表'!B23/2)-1)),4)</f>
        <v>0</v>
      </c>
      <c r="D26" s="282"/>
      <c r="E26" s="285"/>
      <c r="F26" s="283"/>
      <c r="G26" s="287"/>
    </row>
    <row r="27" spans="1:7" s="258" customFormat="1" ht="24.75">
      <c r="A27" s="299" t="s">
        <v>2373</v>
      </c>
      <c r="B27" s="288" t="s">
        <v>2374</v>
      </c>
      <c r="C27" s="289" t="e">
        <f ca="1">C28</f>
        <v>#N/A</v>
      </c>
      <c r="D27" s="279" t="e">
        <f ca="1">C29</f>
        <v>#N/A</v>
      </c>
      <c r="E27" s="280" t="s">
        <v>2359</v>
      </c>
      <c r="F27" s="290" t="e">
        <f ca="1">IF(B1="",'数据-取费表'!Q16,INDIRECT("'数据-取费表'!q"&amp;$G$1))</f>
        <v>#N/A</v>
      </c>
      <c r="G27" s="291" t="s">
        <v>2376</v>
      </c>
    </row>
    <row r="28" spans="1:7" s="258" customFormat="1" ht="13.5" customHeight="1">
      <c r="A28" s="951" t="s">
        <v>791</v>
      </c>
      <c r="B28" s="292" t="s">
        <v>2377</v>
      </c>
      <c r="C28" s="293" t="e">
        <f ca="1">ROUND((C5+C19+C20)*F27*'数据-取费表'!B21/'数据-取费表'!B20,0)</f>
        <v>#N/A</v>
      </c>
      <c r="D28" s="279"/>
      <c r="E28" s="280"/>
      <c r="F28" s="290"/>
      <c r="G28" s="291"/>
    </row>
    <row r="29" spans="1:7" s="258" customFormat="1" ht="13.5" customHeight="1">
      <c r="A29" s="951" t="s">
        <v>792</v>
      </c>
      <c r="B29" s="292" t="s">
        <v>2378</v>
      </c>
      <c r="C29" s="282" t="e">
        <f ca="1">ROUND(C21*F27*'数据-取费表'!B21/'数据-取费表'!B20,4)</f>
        <v>#N/A</v>
      </c>
      <c r="D29" s="279"/>
      <c r="E29" s="280"/>
      <c r="F29" s="290"/>
      <c r="G29" s="291"/>
    </row>
    <row r="30" spans="1:7" s="258" customFormat="1" ht="13.5" customHeight="1">
      <c r="A30" s="299" t="s">
        <v>2379</v>
      </c>
      <c r="B30" s="254" t="s">
        <v>2380</v>
      </c>
      <c r="C30" s="279">
        <f>ROUND(F30/(1+'数据-取费表'!C42),4)</f>
        <v>8.2600000000000007E-2</v>
      </c>
      <c r="D30" s="280" t="s">
        <v>2359</v>
      </c>
      <c r="E30" s="285"/>
      <c r="F30" s="281">
        <f>'数据-取费表'!B41</f>
        <v>0.09</v>
      </c>
      <c r="G30" s="278" t="s">
        <v>2381</v>
      </c>
    </row>
    <row r="31" spans="1:7" ht="16.5" customHeight="1">
      <c r="A31" s="253">
        <v>1</v>
      </c>
      <c r="B31" s="254" t="s">
        <v>2382</v>
      </c>
      <c r="C31" s="255" t="e">
        <f ca="1">ROUND((C5+C19+C20+C22+C27)/(1-C21-D22-D27-C30),0)</f>
        <v>#N/A</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t="e">
        <f ca="1">SUM(C34:C38)</f>
        <v>#N/A</v>
      </c>
      <c r="D33" s="276"/>
      <c r="E33" s="256"/>
      <c r="F33" s="285"/>
      <c r="G33" s="278"/>
    </row>
    <row r="34" spans="1:7" s="302" customFormat="1" ht="13.5" customHeight="1">
      <c r="A34" s="951" t="s">
        <v>791</v>
      </c>
      <c r="B34" s="259" t="s">
        <v>2386</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2387</v>
      </c>
    </row>
    <row r="35" spans="1:7" ht="13.5" customHeight="1">
      <c r="A35" s="951" t="s">
        <v>796</v>
      </c>
      <c r="B35" s="259" t="s">
        <v>2388</v>
      </c>
      <c r="C35" s="264" t="e">
        <f ca="1">ROUND(C34*F35,0)</f>
        <v>#N/A</v>
      </c>
      <c r="D35" s="264"/>
      <c r="E35" s="264"/>
      <c r="F35" s="303">
        <f>'数据-取费表'!B33</f>
        <v>0.03</v>
      </c>
      <c r="G35" s="263" t="s">
        <v>2389</v>
      </c>
    </row>
    <row r="36" spans="1:7" ht="24">
      <c r="A36" s="951" t="s">
        <v>797</v>
      </c>
      <c r="B36" s="259" t="s">
        <v>2390</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0.05</v>
      </c>
      <c r="G36" s="304" t="s">
        <v>2391</v>
      </c>
    </row>
    <row r="37" spans="1:7" s="302" customFormat="1" ht="13.5" customHeight="1">
      <c r="A37" s="951" t="s">
        <v>798</v>
      </c>
      <c r="B37" s="259" t="s">
        <v>2392</v>
      </c>
      <c r="C37" s="293" t="e">
        <f ca="1">ROUND(E37*D37*F34/10000,0)</f>
        <v>#N/A</v>
      </c>
      <c r="D37" s="261" t="e">
        <f ca="1">D19</f>
        <v>#N/A</v>
      </c>
      <c r="E37" s="293">
        <f>'数据-取费表'!B35</f>
        <v>360</v>
      </c>
      <c r="F37" s="303"/>
      <c r="G37" s="305" t="s">
        <v>2393</v>
      </c>
    </row>
    <row r="38" spans="1:7" ht="13.5" customHeight="1">
      <c r="A38" s="951" t="s">
        <v>799</v>
      </c>
      <c r="B38" s="259" t="s">
        <v>2394</v>
      </c>
      <c r="C38" s="264" t="e">
        <f ca="1">ROUND(C34*F38,0)</f>
        <v>#N/A</v>
      </c>
      <c r="D38" s="264"/>
      <c r="E38" s="264"/>
      <c r="F38" s="303">
        <f>'数据-取费表'!B36</f>
        <v>1.4999999999999999E-2</v>
      </c>
      <c r="G38" s="263" t="s">
        <v>2389</v>
      </c>
    </row>
    <row r="39" spans="1:7" s="258" customFormat="1" ht="13.5" customHeight="1">
      <c r="A39" s="299" t="s">
        <v>2352</v>
      </c>
      <c r="B39" s="254" t="s">
        <v>2355</v>
      </c>
      <c r="C39" s="276" t="e">
        <f ca="1">ROUND(C33*F20,0)</f>
        <v>#N/A</v>
      </c>
      <c r="D39" s="276"/>
      <c r="E39" s="276"/>
      <c r="F39" s="277"/>
      <c r="G39" s="278" t="s">
        <v>2397</v>
      </c>
    </row>
    <row r="40" spans="1:7" s="258" customFormat="1" ht="13.5" customHeight="1">
      <c r="A40" s="299" t="s">
        <v>2354</v>
      </c>
      <c r="B40" s="254" t="s">
        <v>2358</v>
      </c>
      <c r="C40" s="1728">
        <f>F21</f>
        <v>0</v>
      </c>
      <c r="D40" s="280" t="s">
        <v>2400</v>
      </c>
      <c r="E40" s="276"/>
      <c r="F40" s="277"/>
      <c r="G40" s="278" t="s">
        <v>2401</v>
      </c>
    </row>
    <row r="41" spans="1:7" s="258" customFormat="1" ht="13.5" customHeight="1">
      <c r="A41" s="299" t="s">
        <v>2357</v>
      </c>
      <c r="B41" s="254" t="s">
        <v>2362</v>
      </c>
      <c r="C41" s="276" t="e">
        <f ca="1">ROUND(SUM(C42:C43),0)</f>
        <v>#N/A</v>
      </c>
      <c r="D41" s="279">
        <f>C44</f>
        <v>0</v>
      </c>
      <c r="E41" s="280" t="s">
        <v>2400</v>
      </c>
      <c r="F41" s="281"/>
      <c r="G41" s="278" t="str">
        <f>IF('数据-取费表'!B22&lt;=1,"单利计息","复利计息")</f>
        <v>复利计息</v>
      </c>
    </row>
    <row r="42" spans="1:7" ht="13.5" customHeight="1">
      <c r="A42" s="951" t="s">
        <v>791</v>
      </c>
      <c r="B42" s="259" t="s">
        <v>2364</v>
      </c>
      <c r="C42" s="282" t="e">
        <f ca="1">ROUND(IF('数据-取费表'!B22&lt;=1,C33*F22*'数据-取费表'!B21/2,C33*(POWER((1+F22),'数据-取费表'!B21/2)-1)),0)</f>
        <v>#N/A</v>
      </c>
      <c r="D42" s="282"/>
      <c r="E42" s="282"/>
      <c r="F42" s="283"/>
      <c r="G42" s="3438" t="s">
        <v>2405</v>
      </c>
    </row>
    <row r="43" spans="1:7" ht="13.5" customHeight="1">
      <c r="A43" s="951" t="s">
        <v>792</v>
      </c>
      <c r="B43" s="259" t="s">
        <v>2367</v>
      </c>
      <c r="C43" s="282" t="e">
        <f ca="1">ROUND(IF('数据-取费表'!B22&lt;=1,C39*F22*'数据-取费表'!B21/2,C39*(POWER((1+F22),'数据-取费表'!B21/2)-1)),0)</f>
        <v>#N/A</v>
      </c>
      <c r="D43" s="282"/>
      <c r="E43" s="282"/>
      <c r="F43" s="283"/>
      <c r="G43" s="3439"/>
    </row>
    <row r="44" spans="1:7" ht="13.5" customHeight="1">
      <c r="A44" s="951" t="s">
        <v>793</v>
      </c>
      <c r="B44" s="259" t="s">
        <v>2370</v>
      </c>
      <c r="C44" s="282">
        <f>ROUND(IF('数据-取费表'!B22&lt;=1,C40*F22*'数据-取费表'!B21/2,C40*(POWER((1+F22),'数据-取费表'!B21/2)-1)),4)</f>
        <v>0</v>
      </c>
      <c r="D44" s="282"/>
      <c r="E44" s="282"/>
      <c r="F44" s="283"/>
      <c r="G44" s="3440"/>
    </row>
    <row r="45" spans="1:7" s="258" customFormat="1" ht="13.5" customHeight="1">
      <c r="A45" s="299" t="s">
        <v>2361</v>
      </c>
      <c r="B45" s="288" t="s">
        <v>2374</v>
      </c>
      <c r="C45" s="289" t="e">
        <f ca="1">C46</f>
        <v>#N/A</v>
      </c>
      <c r="D45" s="279" t="e">
        <f ca="1">C47</f>
        <v>#N/A</v>
      </c>
      <c r="E45" s="280" t="s">
        <v>2400</v>
      </c>
      <c r="F45" s="290"/>
      <c r="G45" s="291" t="s">
        <v>2409</v>
      </c>
    </row>
    <row r="46" spans="1:7" s="258" customFormat="1" ht="13.5" customHeight="1">
      <c r="A46" s="951" t="s">
        <v>791</v>
      </c>
      <c r="B46" s="292" t="s">
        <v>2410</v>
      </c>
      <c r="C46" s="293" t="e">
        <f ca="1">ROUND((C33+C39)*F27,0)</f>
        <v>#N/A</v>
      </c>
      <c r="D46" s="307"/>
      <c r="E46" s="280"/>
      <c r="F46" s="290"/>
      <c r="G46" s="291"/>
    </row>
    <row r="47" spans="1:7" s="258" customFormat="1" ht="13.5" customHeight="1">
      <c r="A47" s="951" t="s">
        <v>792</v>
      </c>
      <c r="B47" s="292" t="s">
        <v>2411</v>
      </c>
      <c r="C47" s="282" t="e">
        <f ca="1">ROUND(C40*F27,4)</f>
        <v>#N/A</v>
      </c>
      <c r="D47" s="307"/>
      <c r="E47" s="280"/>
      <c r="F47" s="290"/>
      <c r="G47" s="291"/>
    </row>
    <row r="48" spans="1:7" s="258" customFormat="1" ht="13.5" customHeight="1">
      <c r="A48" s="299" t="s">
        <v>2373</v>
      </c>
      <c r="B48" s="254" t="s">
        <v>2412</v>
      </c>
      <c r="C48" s="1728">
        <f>ROUND(F30/(1+'数据-取费表'!C42),4)</f>
        <v>8.2600000000000007E-2</v>
      </c>
      <c r="D48" s="280" t="s">
        <v>2400</v>
      </c>
      <c r="E48" s="276"/>
      <c r="F48" s="281"/>
      <c r="G48" s="278" t="s">
        <v>2413</v>
      </c>
    </row>
    <row r="49" spans="1:7" ht="16.5" customHeight="1">
      <c r="A49" s="299" t="s">
        <v>2379</v>
      </c>
      <c r="B49" s="254" t="s">
        <v>2414</v>
      </c>
      <c r="C49" s="276" t="e">
        <f ca="1">ROUND((C33+C39+C41+C45)/(1-C40-D41-D45-C48),0)</f>
        <v>#N/A</v>
      </c>
      <c r="D49" s="276"/>
      <c r="E49" s="276"/>
      <c r="F49" s="308"/>
      <c r="G49" s="278" t="s">
        <v>2415</v>
      </c>
    </row>
    <row r="50" spans="1:7" s="302" customFormat="1" ht="24">
      <c r="A50" s="299" t="s">
        <v>2416</v>
      </c>
      <c r="B50" s="254" t="s">
        <v>2417</v>
      </c>
      <c r="C50" s="276"/>
      <c r="D50" s="276"/>
      <c r="E50" s="276"/>
      <c r="F50" s="308">
        <f>IF('数据-取费表'!B24=0,'数据-取费表'!N16,1)</f>
        <v>1</v>
      </c>
      <c r="G50" s="291" t="s">
        <v>2418</v>
      </c>
    </row>
    <row r="51" spans="1:7" ht="16.5" customHeight="1">
      <c r="A51" s="299" t="s">
        <v>2419</v>
      </c>
      <c r="B51" s="254" t="s">
        <v>2420</v>
      </c>
      <c r="C51" s="276" t="e">
        <f ca="1">ROUND(C49*F50,0)</f>
        <v>#N/A</v>
      </c>
      <c r="D51" s="276"/>
      <c r="E51" s="276"/>
      <c r="F51" s="308"/>
      <c r="G51" s="278" t="s">
        <v>2421</v>
      </c>
    </row>
    <row r="52" spans="1:7" s="252" customFormat="1" ht="16.5" thickBot="1">
      <c r="A52" s="309" t="s">
        <v>2422</v>
      </c>
      <c r="B52" s="310"/>
      <c r="C52" s="311" t="e">
        <f ca="1">C31+C51</f>
        <v>#N/A</v>
      </c>
      <c r="D52" s="310"/>
      <c r="E52" s="310"/>
      <c r="F52" s="310"/>
      <c r="G52" s="312"/>
    </row>
    <row r="55" spans="1:7" ht="15">
      <c r="B55" s="314" t="s">
        <v>2423</v>
      </c>
      <c r="C55" s="315"/>
    </row>
    <row r="56" spans="1:7">
      <c r="B56" s="317" t="s">
        <v>1507</v>
      </c>
      <c r="C56" s="319" t="e">
        <f ca="1">1-C57</f>
        <v>#N/A</v>
      </c>
    </row>
    <row r="57" spans="1:7">
      <c r="B57" s="317" t="s">
        <v>1508</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xr:uid="{00000000-0002-0000-1F00-000000000000}">
      <formula1>"需扣减承租人权益,——"</formula1>
    </dataValidation>
    <dataValidation type="list" allowBlank="1" showInputMessage="1" showErrorMessage="1" sqref="G2" xr:uid="{00000000-0002-0000-1F00-000001000000}">
      <formula1>估价方法</formula1>
    </dataValidation>
    <dataValidation type="list" allowBlank="1" showInputMessage="1" showErrorMessage="1" sqref="G9" xr:uid="{00000000-0002-0000-1F00-000002000000}">
      <formula1>"部分缴纳,全部缴纳"</formula1>
    </dataValidation>
    <dataValidation type="list" allowBlank="1" showInputMessage="1" showErrorMessage="1" sqref="B1" xr:uid="{00000000-0002-0000-1F00-000003000000}">
      <formula1>项目类型</formula1>
    </dataValidation>
    <dataValidation type="list" allowBlank="1" showInputMessage="1" showErrorMessage="1" sqref="G19" xr:uid="{00000000-0002-0000-1F00-000004000000}">
      <formula1>"已包含在土地取得成本中,未包含在土地取得成本中"</formula1>
    </dataValidation>
    <dataValidation type="list" allowBlank="1" showInputMessage="1" showErrorMessage="1" sqref="G8" xr:uid="{00000000-0002-0000-1F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26" customWidth="1"/>
    <col min="12" max="12" width="16.375" style="302" customWidth="1"/>
    <col min="13" max="13" width="13" style="302" customWidth="1"/>
    <col min="14" max="14" width="13.875" style="1834" customWidth="1"/>
    <col min="15" max="15" width="5.125" style="1834" customWidth="1"/>
    <col min="16" max="16" width="25.875" style="1834" customWidth="1"/>
    <col min="17" max="17" width="13.875" style="1834" customWidth="1"/>
    <col min="18" max="18" width="20.5" style="1834" customWidth="1"/>
    <col min="19" max="19" width="13.1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434" t="s">
        <v>1397</v>
      </c>
      <c r="C6" s="1296">
        <f ca="1">ROUND(F6*F8*F7*(1-F9),0)</f>
        <v>0</v>
      </c>
      <c r="D6" s="164" t="s">
        <v>3023</v>
      </c>
      <c r="E6" s="347" t="s">
        <v>1399</v>
      </c>
      <c r="F6" s="348">
        <f ca="1">INDIRECT("'数据-取费表'!u"&amp;$G$1)</f>
        <v>0</v>
      </c>
      <c r="G6" s="1843"/>
      <c r="H6" s="1291" t="s">
        <v>1031</v>
      </c>
      <c r="I6" s="3434" t="s">
        <v>1397</v>
      </c>
      <c r="J6" s="346">
        <f ca="1">ROUND(M6*M8*M7*(1-M9),0)</f>
        <v>0</v>
      </c>
      <c r="K6" s="1826" t="s">
        <v>3024</v>
      </c>
      <c r="L6" s="347" t="s">
        <v>1399</v>
      </c>
      <c r="M6" s="348">
        <f ca="1">INDIRECT("'数据-取费表'!z"&amp;$G$1)</f>
        <v>0</v>
      </c>
    </row>
    <row r="7" spans="1:37" ht="18" customHeight="1">
      <c r="A7" s="1295"/>
      <c r="B7" s="3435"/>
      <c r="C7" s="1297"/>
      <c r="D7" s="352"/>
      <c r="E7" s="1298" t="s">
        <v>1400</v>
      </c>
      <c r="F7" s="348">
        <f ca="1">IF(INDIRECT("'数据-取费表'!ah"&amp;$G$1)="",INDIRECT("'数据-取费表'!k"&amp;$G$1),INDIRECT("'数据-取费表'!ah"&amp;$G$1))</f>
        <v>0</v>
      </c>
      <c r="G7" s="1843"/>
      <c r="H7" s="349"/>
      <c r="I7" s="3435"/>
      <c r="J7" s="351"/>
      <c r="K7" s="352"/>
      <c r="L7" s="347" t="s">
        <v>1400</v>
      </c>
      <c r="M7" s="348">
        <f ca="1">F7</f>
        <v>0</v>
      </c>
    </row>
    <row r="8" spans="1:37" ht="18" customHeight="1">
      <c r="A8" s="349"/>
      <c r="B8" s="3435"/>
      <c r="C8" s="351"/>
      <c r="D8" s="352"/>
      <c r="E8" s="347" t="s">
        <v>1401</v>
      </c>
      <c r="F8" s="348">
        <f ca="1">INDIRECT("'数据-取费表'!ai"&amp;$G$1)</f>
        <v>0</v>
      </c>
      <c r="G8" s="1843"/>
      <c r="H8" s="349"/>
      <c r="I8" s="3435"/>
      <c r="J8" s="351"/>
      <c r="K8" s="352"/>
      <c r="L8" s="347" t="s">
        <v>1401</v>
      </c>
      <c r="M8" s="348">
        <f ca="1">INDIRECT("'数据-取费表'!ai"&amp;$G$1)</f>
        <v>0</v>
      </c>
    </row>
    <row r="9" spans="1:37" ht="18" customHeight="1">
      <c r="A9" s="349"/>
      <c r="B9" s="3436"/>
      <c r="C9" s="351"/>
      <c r="D9" s="352"/>
      <c r="E9" s="347" t="s">
        <v>1402</v>
      </c>
      <c r="F9" s="357">
        <f ca="1">INDIRECT("'数据-取费表'!w"&amp;$G$1)</f>
        <v>0</v>
      </c>
      <c r="G9" s="1843"/>
      <c r="H9" s="349"/>
      <c r="I9" s="3436"/>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3034</v>
      </c>
      <c r="E10" s="358" t="s">
        <v>1404</v>
      </c>
      <c r="F10" s="1366"/>
      <c r="G10" s="1843"/>
      <c r="H10" s="1291" t="s">
        <v>1035</v>
      </c>
      <c r="I10" s="1815" t="s">
        <v>1403</v>
      </c>
      <c r="J10" s="346">
        <f ca="1">ROUND(IF(M10="押一",J6/12*M11,IF(M10="押二",J6/12*2*M11,IF(M10="押三",J6/12*3*M11,J11*M11))),0)</f>
        <v>0</v>
      </c>
      <c r="K10" s="1827" t="s">
        <v>3036</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360</v>
      </c>
      <c r="G17" s="1846"/>
      <c r="H17" s="1201" t="s">
        <v>1031</v>
      </c>
      <c r="I17" s="347" t="s">
        <v>1423</v>
      </c>
      <c r="J17" s="24">
        <f ca="1">ROUND(IF(项目基本情况!B11="自然人",J6*M17/(1+'数据-取费表'!C42),J18+J19+J20),0)</f>
        <v>0</v>
      </c>
      <c r="K17" s="1792" t="s">
        <v>1424</v>
      </c>
      <c r="L17" s="1790" t="s">
        <v>1425</v>
      </c>
      <c r="M17" s="368">
        <f ca="1">IF(项目基本情况!B11="企业","",IF(INDIRECT("'数据-取费表'!c"&amp;$G$1)="住宅",5%,IF(M6*M7*M8/12/(1+'数据-取费表'!C42)&gt;20000,12%,7%)))</f>
        <v>7.0000000000000007E-2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0.09</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ROUND(IF('数据-取费表'!B22&lt;=1,F21*F24*F23/2,F21*(POWER((1+F24),F23/2)-1)),4)</f>
        <v>0</v>
      </c>
      <c r="D24" s="375" t="str">
        <f>IF(F23&lt;=1,"销售费用×利率×(建设周期÷2)","销售费用×((1+利率)^(建设周期÷2)-1)")</f>
        <v>销售费用×((1+利率)^(建设周期÷2)-1)</v>
      </c>
      <c r="E24" s="347" t="s">
        <v>1452</v>
      </c>
      <c r="F24" s="377">
        <f>'数据-取费表'!B40</f>
        <v>3.85E-2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8.2600000000000007E-2</v>
      </c>
      <c r="D28" s="369" t="s">
        <v>1470</v>
      </c>
      <c r="E28" s="347" t="s">
        <v>1416</v>
      </c>
      <c r="F28" s="367">
        <f>'数据-取费表'!B41</f>
        <v>0.09</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f ca="1">IF(项目基本情况!B11="企业","",IF(INDIRECT("'数据-取费表'!c"&amp;$G$1)="住宅",5%,IF(F6*F7*F8/12/(1+'数据-取费表'!C42)&gt;20000,12%,7%)))</f>
        <v>7.0000000000000007E-2</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0.09</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3037</v>
      </c>
      <c r="E53" s="358" t="s">
        <v>1404</v>
      </c>
      <c r="F53" s="1366"/>
      <c r="I53" s="1897" t="s">
        <v>1541</v>
      </c>
      <c r="J53" s="2944">
        <f ca="1">IF(M47="住宅",IF(D1="——",MAX(J51,L48),MAX(J51,L48-'数据-取费表'!B24)),IF(D1="——",MIN(J51,L48),MIN(J51,L48-'数据-取费表'!B24)))</f>
        <v>0</v>
      </c>
      <c r="K53" s="3429" t="s">
        <v>1542</v>
      </c>
      <c r="L53" s="3430"/>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0.09</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1.5</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xr:uid="{00000000-0002-0000-2000-000000000000}">
      <formula1>"比较法,基准地价,收益还原"</formula1>
    </dataValidation>
    <dataValidation type="list" allowBlank="1" showInputMessage="1" showErrorMessage="1" sqref="J56" xr:uid="{00000000-0002-0000-2000-000001000000}">
      <formula1>判定</formula1>
    </dataValidation>
    <dataValidation type="list" allowBlank="1" showInputMessage="1" showErrorMessage="1" sqref="J48" xr:uid="{00000000-0002-0000-2000-000002000000}">
      <formula1>"非生产用房,生产用房,受腐蚀的生产用房"</formula1>
    </dataValidation>
    <dataValidation type="list" allowBlank="1" showInputMessage="1" showErrorMessage="1" sqref="J47" xr:uid="{00000000-0002-0000-2000-000003000000}">
      <formula1>"钢,钢混,砖混"</formula1>
    </dataValidation>
    <dataValidation type="list" allowBlank="1" showInputMessage="1" showErrorMessage="1" sqref="C1" xr:uid="{00000000-0002-0000-2000-000004000000}">
      <formula1>项目类型</formula1>
    </dataValidation>
    <dataValidation type="list" allowBlank="1" showInputMessage="1" showErrorMessage="1" sqref="D33 D61" xr:uid="{00000000-0002-0000-2000-000005000000}">
      <formula1>"按租金收入计税,按房产原值计税,按票据"</formula1>
    </dataValidation>
    <dataValidation type="list" allowBlank="1" showInputMessage="1" showErrorMessage="1" sqref="K19" xr:uid="{00000000-0002-0000-2000-000006000000}">
      <formula1>"按租金收入计税,按房产原值计税"</formula1>
    </dataValidation>
    <dataValidation type="list" allowBlank="1" showInputMessage="1" showErrorMessage="1" sqref="F10 F53 M10" xr:uid="{00000000-0002-0000-2000-000007000000}">
      <formula1>"押一,押二,押三,自定义"</formula1>
    </dataValidation>
    <dataValidation type="list" allowBlank="1" showInputMessage="1" showErrorMessage="1" sqref="D1" xr:uid="{00000000-0002-0000-20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F13"/>
  <sheetViews>
    <sheetView workbookViewId="0">
      <selection activeCell="L52" sqref="L52"/>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5" t="s">
        <v>2522</v>
      </c>
      <c r="B1" s="2556"/>
      <c r="C1" s="2556"/>
      <c r="D1" s="2556"/>
      <c r="E1" s="2557"/>
    </row>
    <row r="2" spans="1:6" ht="15.75">
      <c r="A2" s="2558" t="s">
        <v>2323</v>
      </c>
      <c r="B2" s="2559">
        <f ca="1">SUMIF(B6:B13,"&lt;&gt;#ref!",B6:B13)</f>
        <v>10947</v>
      </c>
      <c r="C2" s="2560" t="s">
        <v>2515</v>
      </c>
      <c r="D2" s="2561" t="s">
        <v>2516</v>
      </c>
      <c r="E2" s="2562">
        <f>SUM(E6:E13)</f>
        <v>11451.58</v>
      </c>
    </row>
    <row r="3" spans="1:6" ht="15.75">
      <c r="A3" s="2558" t="s">
        <v>1389</v>
      </c>
      <c r="B3" s="2559">
        <f ca="1">ROUND(B2*10000/E2,0)</f>
        <v>9559</v>
      </c>
      <c r="C3" s="2560" t="s">
        <v>2523</v>
      </c>
      <c r="D3" s="2563"/>
      <c r="E3" s="2564"/>
    </row>
    <row r="4" spans="1:6" ht="15.75">
      <c r="A4" s="2565"/>
      <c r="B4" s="2563"/>
      <c r="C4" s="2563"/>
      <c r="D4" s="2563"/>
      <c r="E4" s="2564"/>
    </row>
    <row r="5" spans="1:6" ht="15">
      <c r="A5" s="2566" t="s">
        <v>2517</v>
      </c>
      <c r="B5" s="3441" t="s">
        <v>2518</v>
      </c>
      <c r="C5" s="3441"/>
      <c r="D5" s="2567"/>
      <c r="E5" s="2568" t="s">
        <v>2519</v>
      </c>
      <c r="F5" s="2569" t="s">
        <v>2520</v>
      </c>
    </row>
    <row r="6" spans="1:6">
      <c r="A6" s="2570" t="str">
        <f>'数据-取费表'!AN6</f>
        <v>收益法-住宅</v>
      </c>
      <c r="B6" s="2569">
        <f ca="1">IF(F6="是",'数据-取费表'!AO6,0)</f>
        <v>10770</v>
      </c>
      <c r="C6" s="2560" t="s">
        <v>2515</v>
      </c>
      <c r="D6" s="2563"/>
      <c r="E6" s="2571">
        <f>IF(OR(A6=0,F6="否"),0,'数据-取费表'!K6+'数据-取费表'!S6)</f>
        <v>11058.48</v>
      </c>
      <c r="F6" s="2572" t="s">
        <v>2521</v>
      </c>
    </row>
    <row r="7" spans="1:6">
      <c r="A7" s="2570" t="str">
        <f>'数据-取费表'!AN7</f>
        <v>收益法-仓储</v>
      </c>
      <c r="B7" s="2569">
        <f ca="1">IF(F7="是",'数据-取费表'!AO7,0)</f>
        <v>177</v>
      </c>
      <c r="C7" s="2560" t="s">
        <v>2515</v>
      </c>
      <c r="D7" s="2563"/>
      <c r="E7" s="2571">
        <f>IF(OR(A7=0,F7="否"),0,'数据-取费表'!K7+'数据-取费表'!S7)</f>
        <v>393.1</v>
      </c>
      <c r="F7" s="2572" t="s">
        <v>2521</v>
      </c>
    </row>
    <row r="8" spans="1:6">
      <c r="A8" s="2570">
        <f>'数据-取费表'!AN8</f>
        <v>0</v>
      </c>
      <c r="B8" s="2569" t="e">
        <f ca="1">IF(F8="是",'数据-取费表'!AO8,0)</f>
        <v>#REF!</v>
      </c>
      <c r="C8" s="2560" t="s">
        <v>2515</v>
      </c>
      <c r="D8" s="2563"/>
      <c r="E8" s="2571">
        <f>IF(OR(A8=0,F8="否"),0,'数据-取费表'!K8+'数据-取费表'!S8)</f>
        <v>0</v>
      </c>
      <c r="F8" s="2572" t="s">
        <v>2521</v>
      </c>
    </row>
    <row r="9" spans="1:6">
      <c r="A9" s="2570">
        <f>'数据-取费表'!AN9</f>
        <v>0</v>
      </c>
      <c r="B9" s="2569" t="e">
        <f ca="1">IF(F9="是",'数据-取费表'!AO9,0)</f>
        <v>#REF!</v>
      </c>
      <c r="C9" s="2560" t="s">
        <v>2515</v>
      </c>
      <c r="D9" s="2563"/>
      <c r="E9" s="2571">
        <f>IF(OR(A9=0,F9="否"),0,'数据-取费表'!K9+'数据-取费表'!S9)</f>
        <v>0</v>
      </c>
      <c r="F9" s="2572" t="s">
        <v>2521</v>
      </c>
    </row>
    <row r="10" spans="1:6">
      <c r="A10" s="2570">
        <f>'数据-取费表'!AN10</f>
        <v>0</v>
      </c>
      <c r="B10" s="2569" t="e">
        <f ca="1">IF(F10="是",'数据-取费表'!AO10,0)</f>
        <v>#REF!</v>
      </c>
      <c r="C10" s="2560" t="s">
        <v>2515</v>
      </c>
      <c r="D10" s="2563"/>
      <c r="E10" s="2571">
        <f>IF(OR(A10=0,F10="否"),0,'数据-取费表'!K10+'数据-取费表'!S10)</f>
        <v>0</v>
      </c>
      <c r="F10" s="2572" t="s">
        <v>2521</v>
      </c>
    </row>
    <row r="11" spans="1:6">
      <c r="A11" s="2570">
        <f>'数据-取费表'!AN11</f>
        <v>0</v>
      </c>
      <c r="B11" s="2569" t="e">
        <f ca="1">IF(F11="是",'数据-取费表'!AO11,0)</f>
        <v>#REF!</v>
      </c>
      <c r="C11" s="2560" t="s">
        <v>2515</v>
      </c>
      <c r="D11" s="2563"/>
      <c r="E11" s="2571">
        <f>IF(OR(A11=0,F11="否"),0,'数据-取费表'!K11+'数据-取费表'!S11)</f>
        <v>0</v>
      </c>
      <c r="F11" s="2572" t="s">
        <v>2521</v>
      </c>
    </row>
    <row r="12" spans="1:6">
      <c r="A12" s="2570">
        <f>'数据-取费表'!AN12</f>
        <v>0</v>
      </c>
      <c r="B12" s="2569" t="e">
        <f ca="1">IF(F12="是",'数据-取费表'!AO12,0)</f>
        <v>#REF!</v>
      </c>
      <c r="C12" s="2560" t="s">
        <v>2515</v>
      </c>
      <c r="D12" s="2563"/>
      <c r="E12" s="2571">
        <f>IF(OR(A12=0,F12="否"),0,'数据-取费表'!K12+'数据-取费表'!S12)</f>
        <v>0</v>
      </c>
      <c r="F12" s="2572" t="s">
        <v>2521</v>
      </c>
    </row>
    <row r="13" spans="1:6" ht="15" thickBot="1">
      <c r="A13" s="2573">
        <f>'数据-取费表'!AN13</f>
        <v>0</v>
      </c>
      <c r="B13" s="2569" t="e">
        <f ca="1">IF(F13="是",'数据-取费表'!AO13,0)</f>
        <v>#REF!</v>
      </c>
      <c r="C13" s="2574" t="s">
        <v>2515</v>
      </c>
      <c r="D13" s="2575"/>
      <c r="E13" s="2571">
        <f>IF(OR(A13=0,F13="否"),0,'数据-取费表'!K13+'数据-取费表'!S13)</f>
        <v>0</v>
      </c>
      <c r="F13" s="2572"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2100-000000000000}">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I38"/>
  <sheetViews>
    <sheetView workbookViewId="0">
      <selection activeCell="L52" sqref="L52"/>
    </sheetView>
  </sheetViews>
  <sheetFormatPr defaultColWidth="8.875" defaultRowHeight="13.5"/>
  <cols>
    <col min="1" max="1" width="10.5" customWidth="1"/>
    <col min="2" max="2" width="12.875" customWidth="1"/>
    <col min="3" max="3" width="8.875" customWidth="1"/>
  </cols>
  <sheetData>
    <row r="1" spans="1:9" ht="14.25">
      <c r="A1" s="3458" t="s">
        <v>1072</v>
      </c>
      <c r="B1" s="3459"/>
      <c r="C1" s="3460"/>
      <c r="D1" s="3461">
        <f>SUM(I10,I15,I20,I21,I23)</f>
        <v>0</v>
      </c>
      <c r="E1" s="3461"/>
      <c r="F1" s="3461"/>
      <c r="G1" s="3461"/>
      <c r="H1" s="3461"/>
      <c r="I1" s="3462"/>
    </row>
    <row r="2" spans="1:9">
      <c r="A2" s="3448" t="s">
        <v>1073</v>
      </c>
      <c r="B2" s="3449" t="s">
        <v>1074</v>
      </c>
      <c r="C2" s="3449"/>
      <c r="D2" s="1301" t="s">
        <v>1075</v>
      </c>
      <c r="E2" s="1301" t="s">
        <v>1076</v>
      </c>
      <c r="F2" s="1301" t="s">
        <v>1077</v>
      </c>
      <c r="G2" s="1301" t="s">
        <v>1078</v>
      </c>
      <c r="H2" s="1301" t="s">
        <v>1079</v>
      </c>
      <c r="I2" s="1302" t="s">
        <v>1080</v>
      </c>
    </row>
    <row r="3" spans="1:9">
      <c r="A3" s="3448"/>
      <c r="B3" s="3449" t="s">
        <v>1081</v>
      </c>
      <c r="C3" s="3449"/>
      <c r="D3" s="1303"/>
      <c r="E3" s="1301"/>
      <c r="F3" s="1304"/>
      <c r="G3" s="1304"/>
      <c r="H3" s="1305"/>
      <c r="I3" s="1306">
        <f>ROUND(D3*E3*F3*G3*H3/10000,0)</f>
        <v>0</v>
      </c>
    </row>
    <row r="4" spans="1:9">
      <c r="A4" s="3448"/>
      <c r="B4" s="3449" t="s">
        <v>1082</v>
      </c>
      <c r="C4" s="3449"/>
      <c r="D4" s="1303"/>
      <c r="E4" s="1301"/>
      <c r="F4" s="1304"/>
      <c r="G4" s="1304"/>
      <c r="H4" s="1305"/>
      <c r="I4" s="1306">
        <f t="shared" ref="I4:I9" si="0">ROUND(D4*E4*F4*G4*H4/10000,0)</f>
        <v>0</v>
      </c>
    </row>
    <row r="5" spans="1:9">
      <c r="A5" s="3448"/>
      <c r="B5" s="3449" t="s">
        <v>1083</v>
      </c>
      <c r="C5" s="3449"/>
      <c r="D5" s="1303"/>
      <c r="E5" s="1301"/>
      <c r="F5" s="1304"/>
      <c r="G5" s="1304"/>
      <c r="H5" s="1305"/>
      <c r="I5" s="1306">
        <f t="shared" si="0"/>
        <v>0</v>
      </c>
    </row>
    <row r="6" spans="1:9">
      <c r="A6" s="3448"/>
      <c r="B6" s="3449" t="s">
        <v>1084</v>
      </c>
      <c r="C6" s="3449"/>
      <c r="D6" s="1303"/>
      <c r="E6" s="1301"/>
      <c r="F6" s="1304"/>
      <c r="G6" s="1304"/>
      <c r="H6" s="1305"/>
      <c r="I6" s="1306">
        <f t="shared" si="0"/>
        <v>0</v>
      </c>
    </row>
    <row r="7" spans="1:9">
      <c r="A7" s="3448"/>
      <c r="B7" s="3449" t="s">
        <v>1085</v>
      </c>
      <c r="C7" s="3449"/>
      <c r="D7" s="1303"/>
      <c r="E7" s="1301"/>
      <c r="F7" s="1304"/>
      <c r="G7" s="1304"/>
      <c r="H7" s="1305"/>
      <c r="I7" s="1306">
        <f t="shared" si="0"/>
        <v>0</v>
      </c>
    </row>
    <row r="8" spans="1:9">
      <c r="A8" s="3448"/>
      <c r="B8" s="3449" t="s">
        <v>1086</v>
      </c>
      <c r="C8" s="3449"/>
      <c r="D8" s="1303"/>
      <c r="E8" s="1301"/>
      <c r="F8" s="1304"/>
      <c r="G8" s="1304"/>
      <c r="H8" s="1305"/>
      <c r="I8" s="1306">
        <f t="shared" si="0"/>
        <v>0</v>
      </c>
    </row>
    <row r="9" spans="1:9">
      <c r="A9" s="3448"/>
      <c r="B9" s="3449" t="s">
        <v>1087</v>
      </c>
      <c r="C9" s="3449"/>
      <c r="D9" s="1303"/>
      <c r="E9" s="1301"/>
      <c r="F9" s="1304"/>
      <c r="G9" s="1304"/>
      <c r="H9" s="1305"/>
      <c r="I9" s="1306">
        <f t="shared" si="0"/>
        <v>0</v>
      </c>
    </row>
    <row r="10" spans="1:9">
      <c r="A10" s="3448"/>
      <c r="B10" s="3450" t="s">
        <v>1088</v>
      </c>
      <c r="C10" s="3450"/>
      <c r="D10" s="1307"/>
      <c r="E10" s="1307" t="e">
        <f>ROUND(D1*10000/D10/H9,0)</f>
        <v>#DIV/0!</v>
      </c>
      <c r="F10" s="1308"/>
      <c r="G10" s="1308"/>
      <c r="H10" s="1309"/>
      <c r="I10" s="1310">
        <f>SUM(I3:I9)</f>
        <v>0</v>
      </c>
    </row>
    <row r="11" spans="1:9" ht="14.25">
      <c r="A11" s="3448" t="s">
        <v>1089</v>
      </c>
      <c r="B11" s="3449" t="s">
        <v>1090</v>
      </c>
      <c r="C11" s="3449"/>
      <c r="D11" s="1303" t="s">
        <v>1091</v>
      </c>
      <c r="E11" s="1303" t="s">
        <v>1092</v>
      </c>
      <c r="F11" s="1304" t="s">
        <v>1093</v>
      </c>
      <c r="G11" s="1304" t="s">
        <v>1079</v>
      </c>
      <c r="H11" s="1311" t="s">
        <v>1094</v>
      </c>
      <c r="I11" s="1302" t="s">
        <v>1080</v>
      </c>
    </row>
    <row r="12" spans="1:9">
      <c r="A12" s="3448"/>
      <c r="B12" s="3449" t="s">
        <v>1095</v>
      </c>
      <c r="C12" s="3449"/>
      <c r="D12" s="1303"/>
      <c r="E12" s="1303"/>
      <c r="F12" s="1304"/>
      <c r="G12" s="1305"/>
      <c r="H12" s="1312"/>
      <c r="I12" s="1302">
        <f>ROUND(D12*E12*F12*G12/10000,0)</f>
        <v>0</v>
      </c>
    </row>
    <row r="13" spans="1:9">
      <c r="A13" s="3448"/>
      <c r="B13" s="3449" t="s">
        <v>1096</v>
      </c>
      <c r="C13" s="3449"/>
      <c r="D13" s="1303"/>
      <c r="E13" s="1303"/>
      <c r="F13" s="1304"/>
      <c r="G13" s="1305"/>
      <c r="H13" s="1312"/>
      <c r="I13" s="1302">
        <f>ROUND(D13*E13*F13*G13/10000,0)</f>
        <v>0</v>
      </c>
    </row>
    <row r="14" spans="1:9">
      <c r="A14" s="3448"/>
      <c r="B14" s="3449" t="s">
        <v>1097</v>
      </c>
      <c r="C14" s="3449"/>
      <c r="D14" s="1303"/>
      <c r="E14" s="1303"/>
      <c r="F14" s="1304"/>
      <c r="G14" s="1305"/>
      <c r="H14" s="1312"/>
      <c r="I14" s="1302">
        <f>ROUND(D14*E14*F14*G14/10000,0)</f>
        <v>0</v>
      </c>
    </row>
    <row r="15" spans="1:9">
      <c r="A15" s="3448"/>
      <c r="B15" s="3450" t="s">
        <v>1088</v>
      </c>
      <c r="C15" s="3450"/>
      <c r="D15" s="1307"/>
      <c r="E15" s="1307">
        <f>SUM(E12:E14)</f>
        <v>0</v>
      </c>
      <c r="F15" s="1308"/>
      <c r="G15" s="1305"/>
      <c r="H15" s="1312"/>
      <c r="I15" s="1313">
        <f>SUM(I12:I14)</f>
        <v>0</v>
      </c>
    </row>
    <row r="16" spans="1:9" ht="24">
      <c r="A16" s="3448" t="s">
        <v>1098</v>
      </c>
      <c r="B16" s="3449" t="s">
        <v>1099</v>
      </c>
      <c r="C16" s="3449"/>
      <c r="D16" s="1303" t="s">
        <v>1075</v>
      </c>
      <c r="E16" s="1314" t="s">
        <v>1100</v>
      </c>
      <c r="F16" s="1304" t="s">
        <v>1101</v>
      </c>
      <c r="G16" s="1305" t="s">
        <v>1079</v>
      </c>
      <c r="H16" s="1311" t="s">
        <v>1094</v>
      </c>
      <c r="I16" s="1302" t="s">
        <v>1080</v>
      </c>
    </row>
    <row r="17" spans="1:9" ht="14.25">
      <c r="A17" s="3448"/>
      <c r="B17" s="3449" t="s">
        <v>1102</v>
      </c>
      <c r="C17" s="3449"/>
      <c r="D17" s="1303"/>
      <c r="E17" s="1303"/>
      <c r="F17" s="1304"/>
      <c r="G17" s="1305"/>
      <c r="H17" s="1315"/>
      <c r="I17" s="1316">
        <f>ROUND(D17*E17*F17*G17/10000,0)</f>
        <v>0</v>
      </c>
    </row>
    <row r="18" spans="1:9" ht="14.25">
      <c r="A18" s="3448"/>
      <c r="B18" s="3449" t="s">
        <v>1103</v>
      </c>
      <c r="C18" s="3449"/>
      <c r="D18" s="1303"/>
      <c r="E18" s="1303"/>
      <c r="F18" s="1304"/>
      <c r="G18" s="1305"/>
      <c r="H18" s="1315"/>
      <c r="I18" s="1316">
        <f>ROUND(D18*E18*F18*G18/10000,0)</f>
        <v>0</v>
      </c>
    </row>
    <row r="19" spans="1:9" ht="14.25">
      <c r="A19" s="3448"/>
      <c r="B19" s="3449" t="s">
        <v>1104</v>
      </c>
      <c r="C19" s="3449"/>
      <c r="D19" s="1303"/>
      <c r="E19" s="1303"/>
      <c r="F19" s="1304"/>
      <c r="G19" s="1305"/>
      <c r="H19" s="1315"/>
      <c r="I19" s="1316">
        <f>ROUND(D19*E19*F19*G19/10000,0)</f>
        <v>0</v>
      </c>
    </row>
    <row r="20" spans="1:9">
      <c r="A20" s="3448"/>
      <c r="B20" s="3450" t="s">
        <v>1088</v>
      </c>
      <c r="C20" s="3450"/>
      <c r="D20" s="1307">
        <f>SUM(D17:D19)</f>
        <v>0</v>
      </c>
      <c r="E20" s="1307"/>
      <c r="F20" s="1308"/>
      <c r="G20" s="1305"/>
      <c r="H20" s="1312"/>
      <c r="I20" s="1313">
        <f>SUM(I17:I19)</f>
        <v>0</v>
      </c>
    </row>
    <row r="21" spans="1:9">
      <c r="A21" s="3448" t="s">
        <v>1105</v>
      </c>
      <c r="B21" s="3451"/>
      <c r="C21" s="3451"/>
      <c r="D21" s="3451"/>
      <c r="E21" s="3451"/>
      <c r="F21" s="3451"/>
      <c r="G21" s="3451"/>
      <c r="H21" s="1757">
        <v>0.1</v>
      </c>
      <c r="I21" s="1310">
        <f>ROUND(I10*H21,0)</f>
        <v>0</v>
      </c>
    </row>
    <row r="22" spans="1:9" ht="14.25">
      <c r="A22" s="3452" t="s">
        <v>1106</v>
      </c>
      <c r="B22" s="3453"/>
      <c r="C22" s="3454"/>
      <c r="D22" s="1317" t="s">
        <v>1107</v>
      </c>
      <c r="E22" s="1317" t="s">
        <v>1108</v>
      </c>
      <c r="F22" s="1318" t="s">
        <v>1109</v>
      </c>
      <c r="G22" s="1318" t="s">
        <v>1110</v>
      </c>
      <c r="H22" s="1311" t="s">
        <v>1111</v>
      </c>
      <c r="I22" s="1302" t="s">
        <v>1112</v>
      </c>
    </row>
    <row r="23" spans="1:9" ht="14.25" thickBot="1">
      <c r="A23" s="3455"/>
      <c r="B23" s="3456"/>
      <c r="C23" s="3457"/>
      <c r="D23" s="1319"/>
      <c r="E23" s="1319"/>
      <c r="F23" s="1319"/>
      <c r="G23" s="1320"/>
      <c r="H23" s="1321"/>
      <c r="I23" s="1322">
        <f>ROUND(E23*D23*F23*(1-G23)/10000,0)</f>
        <v>0</v>
      </c>
    </row>
    <row r="26" spans="1:9">
      <c r="A26" s="1323" t="s">
        <v>1113</v>
      </c>
      <c r="B26" s="1323"/>
      <c r="C26" s="1323"/>
      <c r="D26" s="1323"/>
      <c r="E26" s="3445">
        <f>C27-C30-C31-C32</f>
        <v>0</v>
      </c>
      <c r="F26" s="3445"/>
      <c r="G26" s="3445"/>
      <c r="H26" s="1737" t="s">
        <v>1335</v>
      </c>
    </row>
    <row r="27" spans="1:9">
      <c r="A27" s="1324">
        <v>1</v>
      </c>
      <c r="B27" s="1325" t="s">
        <v>1114</v>
      </c>
      <c r="C27" s="1325">
        <f>C28+C29</f>
        <v>0</v>
      </c>
      <c r="D27" s="1325"/>
      <c r="E27" s="3446"/>
      <c r="F27" s="3446"/>
      <c r="G27" s="3446"/>
    </row>
    <row r="28" spans="1:9">
      <c r="A28" s="1326" t="s">
        <v>1115</v>
      </c>
      <c r="B28" s="1325" t="s">
        <v>1116</v>
      </c>
      <c r="C28" s="1325"/>
      <c r="D28" s="1325"/>
      <c r="E28" s="3446"/>
      <c r="F28" s="3446"/>
      <c r="G28" s="3446"/>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447"/>
      <c r="F32" s="3447"/>
      <c r="G32" s="3447"/>
    </row>
    <row r="33" spans="1:7" hidden="1">
      <c r="A33" s="3442" t="s">
        <v>1125</v>
      </c>
      <c r="B33" s="3443"/>
      <c r="C33" s="3443"/>
      <c r="D33" s="3444"/>
      <c r="E33" s="3445"/>
      <c r="F33" s="3445"/>
      <c r="G33" s="3445"/>
    </row>
    <row r="34" spans="1:7" hidden="1">
      <c r="A34" s="1328">
        <v>1</v>
      </c>
      <c r="B34" s="1325" t="s">
        <v>1126</v>
      </c>
      <c r="C34" s="1325"/>
      <c r="D34" s="1325"/>
      <c r="E34" s="3446"/>
      <c r="F34" s="3446"/>
      <c r="G34" s="3446"/>
    </row>
    <row r="35" spans="1:7" hidden="1">
      <c r="A35" s="1328">
        <v>2</v>
      </c>
      <c r="B35" s="1325" t="s">
        <v>1127</v>
      </c>
      <c r="C35" s="1325"/>
      <c r="D35" s="1325"/>
      <c r="E35" s="3446"/>
      <c r="F35" s="3446"/>
      <c r="G35" s="3446"/>
    </row>
    <row r="36" spans="1:7" hidden="1">
      <c r="A36" s="1328">
        <v>3</v>
      </c>
      <c r="B36" s="1325" t="s">
        <v>1128</v>
      </c>
      <c r="C36" s="1325"/>
      <c r="D36" s="1325"/>
      <c r="E36" s="3446"/>
      <c r="F36" s="3446"/>
      <c r="G36" s="3446"/>
    </row>
    <row r="37" spans="1:7" hidden="1">
      <c r="A37" s="1328">
        <v>4</v>
      </c>
      <c r="B37" s="1325" t="s">
        <v>1129</v>
      </c>
      <c r="C37" s="1325"/>
      <c r="D37" s="1325"/>
      <c r="E37" s="3446"/>
      <c r="F37" s="3446"/>
      <c r="G37" s="3446"/>
    </row>
    <row r="38" spans="1:7" hidden="1">
      <c r="A38" s="3442" t="s">
        <v>1130</v>
      </c>
      <c r="B38" s="3443"/>
      <c r="C38" s="3443"/>
      <c r="D38" s="3444"/>
      <c r="E38" s="3445"/>
      <c r="F38" s="3445"/>
      <c r="G38" s="34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18"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2524</v>
      </c>
      <c r="B1" s="2576" t="s">
        <v>2525</v>
      </c>
      <c r="C1" s="1634" t="s">
        <v>2526</v>
      </c>
      <c r="D1" s="1621"/>
      <c r="E1" s="2577"/>
      <c r="F1" s="2578" t="s">
        <v>2527</v>
      </c>
      <c r="G1" s="1631" t="s">
        <v>2528</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0"/>
      <c r="D2" s="1365" t="e">
        <f ca="1">SUMIF(INDIRECT("'"&amp;F2&amp;"'"&amp;"!A:A"),"承租人权益价值",INDIRECT("'"&amp;F2&amp;"'"&amp;"!c:c"))</f>
        <v>#REF!</v>
      </c>
      <c r="E2" s="2581" t="s">
        <v>2529</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1389</v>
      </c>
      <c r="B3" s="399" t="e">
        <f ca="1">IF(C2="——",C49,ROUND(B2*10000/D3,0))</f>
        <v>#DIV/0!</v>
      </c>
      <c r="C3" s="400" t="s">
        <v>2530</v>
      </c>
      <c r="D3" s="399">
        <f>IF(D1="",'数据-汇总表'!E3,SUMIF('数据-汇总表'!$C19:$C33,D1,'数据-汇总表'!$E19:$E33))</f>
        <v>11757.189999999999</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2531</v>
      </c>
      <c r="B4" s="402"/>
      <c r="C4" s="3481" t="s">
        <v>2532</v>
      </c>
      <c r="D4" s="3482"/>
      <c r="E4" s="3483" t="s">
        <v>2533</v>
      </c>
      <c r="F4" s="3484"/>
      <c r="G4" s="3481" t="s">
        <v>2534</v>
      </c>
      <c r="H4" s="3482"/>
      <c r="I4" s="3481" t="s">
        <v>2535</v>
      </c>
      <c r="J4" s="3482"/>
      <c r="K4" s="2590" t="s">
        <v>2536</v>
      </c>
      <c r="L4" s="1130"/>
      <c r="M4" s="1131"/>
      <c r="N4" s="1131"/>
      <c r="O4" s="1131"/>
      <c r="P4" s="3485" t="s">
        <v>2537</v>
      </c>
      <c r="Q4" s="3486"/>
      <c r="R4" s="3491" t="s">
        <v>2533</v>
      </c>
      <c r="S4" s="3492"/>
      <c r="T4" s="3491" t="s">
        <v>2534</v>
      </c>
      <c r="U4" s="3492"/>
      <c r="V4" s="3497" t="s">
        <v>2535</v>
      </c>
      <c r="W4" s="3497"/>
      <c r="X4" s="1805"/>
      <c r="Y4" s="3491" t="s">
        <v>2537</v>
      </c>
      <c r="Z4" s="3492"/>
      <c r="AA4" s="3478" t="s">
        <v>2533</v>
      </c>
      <c r="AB4" s="3478" t="s">
        <v>2534</v>
      </c>
      <c r="AC4" s="3478" t="s">
        <v>2535</v>
      </c>
    </row>
    <row r="5" spans="1:29" ht="15">
      <c r="A5" s="404"/>
      <c r="B5" s="405"/>
      <c r="C5" s="3500" t="s">
        <v>2538</v>
      </c>
      <c r="D5" s="3501"/>
      <c r="E5" s="3507" t="s">
        <v>2539</v>
      </c>
      <c r="F5" s="3508"/>
      <c r="G5" s="3500" t="s">
        <v>2540</v>
      </c>
      <c r="H5" s="3501"/>
      <c r="I5" s="3500" t="s">
        <v>2541</v>
      </c>
      <c r="J5" s="3501"/>
      <c r="K5" s="2591"/>
      <c r="L5" s="1130"/>
      <c r="M5" s="1131"/>
      <c r="N5" s="1131"/>
      <c r="O5" s="1131"/>
      <c r="P5" s="3487"/>
      <c r="Q5" s="3488"/>
      <c r="R5" s="3493"/>
      <c r="S5" s="3494"/>
      <c r="T5" s="3493"/>
      <c r="U5" s="3494"/>
      <c r="V5" s="3497"/>
      <c r="W5" s="3497"/>
      <c r="X5" s="1805"/>
      <c r="Y5" s="3493"/>
      <c r="Z5" s="3494"/>
      <c r="AA5" s="3479"/>
      <c r="AB5" s="3479"/>
      <c r="AC5" s="3479"/>
    </row>
    <row r="6" spans="1:29" ht="15.75" thickBot="1">
      <c r="A6" s="406"/>
      <c r="B6" s="407"/>
      <c r="C6" s="3498" t="s">
        <v>2542</v>
      </c>
      <c r="D6" s="3499"/>
      <c r="E6" s="3505" t="s">
        <v>2542</v>
      </c>
      <c r="F6" s="3506"/>
      <c r="G6" s="3498" t="s">
        <v>2542</v>
      </c>
      <c r="H6" s="3499"/>
      <c r="I6" s="3498" t="s">
        <v>2542</v>
      </c>
      <c r="J6" s="3499"/>
      <c r="K6" s="2591" t="s">
        <v>2543</v>
      </c>
      <c r="L6" s="1130"/>
      <c r="M6" s="1131"/>
      <c r="N6" s="1131"/>
      <c r="O6" s="1131"/>
      <c r="P6" s="3489"/>
      <c r="Q6" s="3490"/>
      <c r="R6" s="3493"/>
      <c r="S6" s="3494"/>
      <c r="T6" s="3495"/>
      <c r="U6" s="3496"/>
      <c r="V6" s="3497"/>
      <c r="W6" s="3497"/>
      <c r="X6" s="1805"/>
      <c r="Y6" s="3495"/>
      <c r="Z6" s="3496"/>
      <c r="AA6" s="3480"/>
      <c r="AB6" s="3480"/>
      <c r="AC6" s="3480"/>
    </row>
    <row r="7" spans="1:29" s="117" customFormat="1" ht="15.75" thickBot="1">
      <c r="A7" s="408" t="s">
        <v>2544</v>
      </c>
      <c r="B7" s="409"/>
      <c r="C7" s="410">
        <f>'数据-取费表'!B2</f>
        <v>44425</v>
      </c>
      <c r="D7" s="411">
        <v>100</v>
      </c>
      <c r="E7" s="412"/>
      <c r="F7" s="413">
        <f>SUMIF(58:58,YEAR(E7)&amp;"-"&amp;MONTH(E7),59:59)</f>
        <v>0</v>
      </c>
      <c r="G7" s="412"/>
      <c r="H7" s="411">
        <f>SUMIF(58:58,YEAR(G7)&amp;"-"&amp;MONTH(G7),59:59)</f>
        <v>0</v>
      </c>
      <c r="I7" s="412"/>
      <c r="J7" s="411">
        <f>SUMIF(58:58,YEAR(I7)&amp;"-"&amp;MONTH(I7),59:59)</f>
        <v>0</v>
      </c>
      <c r="K7" s="2592"/>
      <c r="L7" s="1132"/>
      <c r="M7" s="1133"/>
      <c r="N7" s="1133"/>
      <c r="O7" s="1133"/>
      <c r="P7" s="3502" t="s">
        <v>2545</v>
      </c>
      <c r="Q7" s="3504"/>
      <c r="R7" s="770" t="s">
        <v>23</v>
      </c>
      <c r="S7" s="771">
        <f t="shared" ref="S7:S15" si="0">F7</f>
        <v>0</v>
      </c>
      <c r="T7" s="770" t="s">
        <v>23</v>
      </c>
      <c r="U7" s="771">
        <f t="shared" ref="U7:U15" si="1">H7</f>
        <v>0</v>
      </c>
      <c r="V7" s="770" t="s">
        <v>23</v>
      </c>
      <c r="W7" s="771">
        <f t="shared" ref="W7:W15" si="2">J7</f>
        <v>0</v>
      </c>
      <c r="X7" s="772"/>
      <c r="Y7" s="3502" t="s">
        <v>2545</v>
      </c>
      <c r="Z7" s="3503"/>
      <c r="AA7" s="773" t="e">
        <f>D7/F7</f>
        <v>#DIV/0!</v>
      </c>
      <c r="AB7" s="773" t="e">
        <f>D7/H7</f>
        <v>#DIV/0!</v>
      </c>
      <c r="AC7" s="773" t="e">
        <f>D7/J7</f>
        <v>#DIV/0!</v>
      </c>
    </row>
    <row r="8" spans="1:29" s="117" customFormat="1" ht="15.75" thickBot="1">
      <c r="A8" s="408" t="s">
        <v>2546</v>
      </c>
      <c r="B8" s="409"/>
      <c r="C8" s="414" t="s">
        <v>2547</v>
      </c>
      <c r="D8" s="411">
        <v>100</v>
      </c>
      <c r="E8" s="2593"/>
      <c r="F8" s="413">
        <f>SUMIF(61:61,E8,62:62)-SUMIF(61:61,C8,62:62)+100</f>
        <v>0</v>
      </c>
      <c r="G8" s="414"/>
      <c r="H8" s="411">
        <f>SUMIF(61:61,G8,62:62)-SUMIF(61:61,C8,62:62)+100</f>
        <v>0</v>
      </c>
      <c r="I8" s="2593"/>
      <c r="J8" s="411">
        <f>SUMIF(61:61,I8,62:62)-SUMIF(61:61,C8,62:62)+100</f>
        <v>0</v>
      </c>
      <c r="K8" s="2592"/>
      <c r="L8" s="1132"/>
      <c r="M8" s="1133"/>
      <c r="N8" s="1133"/>
      <c r="O8" s="1133"/>
      <c r="P8" s="3502" t="s">
        <v>2548</v>
      </c>
      <c r="Q8" s="3503"/>
      <c r="R8" s="770" t="s">
        <v>23</v>
      </c>
      <c r="S8" s="771">
        <f t="shared" si="0"/>
        <v>0</v>
      </c>
      <c r="T8" s="770" t="s">
        <v>23</v>
      </c>
      <c r="U8" s="771">
        <f t="shared" si="1"/>
        <v>0</v>
      </c>
      <c r="V8" s="770" t="s">
        <v>23</v>
      </c>
      <c r="W8" s="771">
        <f t="shared" si="2"/>
        <v>0</v>
      </c>
      <c r="X8" s="772"/>
      <c r="Y8" s="3502" t="s">
        <v>2548</v>
      </c>
      <c r="Z8" s="3503"/>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2"/>
      <c r="L9" s="1132"/>
      <c r="M9" s="1133"/>
      <c r="N9" s="1133"/>
      <c r="O9" s="1133"/>
      <c r="P9" s="3477" t="s">
        <v>2551</v>
      </c>
      <c r="Q9" s="1787" t="str">
        <f t="shared" ref="Q9:Q15" si="6">B9</f>
        <v>用途</v>
      </c>
      <c r="R9" s="770" t="s">
        <v>17</v>
      </c>
      <c r="S9" s="771">
        <f t="shared" si="0"/>
        <v>100</v>
      </c>
      <c r="T9" s="770" t="s">
        <v>17</v>
      </c>
      <c r="U9" s="771">
        <f t="shared" si="1"/>
        <v>100</v>
      </c>
      <c r="V9" s="770" t="s">
        <v>17</v>
      </c>
      <c r="W9" s="771">
        <f t="shared" si="2"/>
        <v>100</v>
      </c>
      <c r="X9" s="772"/>
      <c r="Y9" s="3259"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477"/>
      <c r="Q10" s="1787" t="str">
        <f t="shared" si="6"/>
        <v>土地使用年限（年）</v>
      </c>
      <c r="R10" s="770" t="s">
        <v>17</v>
      </c>
      <c r="S10" s="771">
        <f t="shared" si="0"/>
        <v>100</v>
      </c>
      <c r="T10" s="770" t="s">
        <v>17</v>
      </c>
      <c r="U10" s="771">
        <f t="shared" si="1"/>
        <v>100</v>
      </c>
      <c r="V10" s="770" t="s">
        <v>17</v>
      </c>
      <c r="W10" s="771">
        <f t="shared" si="2"/>
        <v>100</v>
      </c>
      <c r="X10" s="772"/>
      <c r="Y10" s="3259"/>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477"/>
      <c r="Q11" s="1787" t="str">
        <f t="shared" si="6"/>
        <v>容积率</v>
      </c>
      <c r="R11" s="770" t="s">
        <v>21</v>
      </c>
      <c r="S11" s="771" t="e">
        <f t="shared" si="0"/>
        <v>#N/A</v>
      </c>
      <c r="T11" s="770" t="s">
        <v>21</v>
      </c>
      <c r="U11" s="771" t="e">
        <f t="shared" si="1"/>
        <v>#N/A</v>
      </c>
      <c r="V11" s="770" t="s">
        <v>21</v>
      </c>
      <c r="W11" s="771" t="e">
        <f t="shared" si="2"/>
        <v>#N/A</v>
      </c>
      <c r="X11" s="772"/>
      <c r="Y11" s="3259"/>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477"/>
      <c r="Q12" s="1787">
        <f t="shared" si="6"/>
        <v>111</v>
      </c>
      <c r="R12" s="770" t="s">
        <v>21</v>
      </c>
      <c r="S12" s="771">
        <f t="shared" si="0"/>
        <v>100</v>
      </c>
      <c r="T12" s="770" t="s">
        <v>21</v>
      </c>
      <c r="U12" s="771">
        <f t="shared" si="1"/>
        <v>100</v>
      </c>
      <c r="V12" s="770" t="s">
        <v>21</v>
      </c>
      <c r="W12" s="771">
        <f t="shared" si="2"/>
        <v>100</v>
      </c>
      <c r="X12" s="772"/>
      <c r="Y12" s="3259"/>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477"/>
      <c r="Q13" s="1787">
        <f t="shared" si="6"/>
        <v>111</v>
      </c>
      <c r="R13" s="770" t="s">
        <v>21</v>
      </c>
      <c r="S13" s="771">
        <f t="shared" si="0"/>
        <v>100</v>
      </c>
      <c r="T13" s="770" t="s">
        <v>21</v>
      </c>
      <c r="U13" s="771">
        <f t="shared" si="1"/>
        <v>100</v>
      </c>
      <c r="V13" s="770" t="s">
        <v>21</v>
      </c>
      <c r="W13" s="771">
        <f t="shared" si="2"/>
        <v>100</v>
      </c>
      <c r="X13" s="772"/>
      <c r="Y13" s="3259"/>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477"/>
      <c r="Q14" s="1787">
        <f t="shared" si="6"/>
        <v>111</v>
      </c>
      <c r="R14" s="770" t="s">
        <v>21</v>
      </c>
      <c r="S14" s="771">
        <f t="shared" si="0"/>
        <v>100</v>
      </c>
      <c r="T14" s="770" t="s">
        <v>21</v>
      </c>
      <c r="U14" s="771">
        <f t="shared" si="1"/>
        <v>100</v>
      </c>
      <c r="V14" s="770" t="s">
        <v>21</v>
      </c>
      <c r="W14" s="771">
        <f t="shared" si="2"/>
        <v>100</v>
      </c>
      <c r="X14" s="772"/>
      <c r="Y14" s="3259"/>
      <c r="Z14" s="55">
        <f t="shared" si="7"/>
        <v>111</v>
      </c>
      <c r="AA14" s="773">
        <f t="shared" si="3"/>
        <v>1</v>
      </c>
      <c r="AB14" s="773">
        <f t="shared" si="4"/>
        <v>1</v>
      </c>
      <c r="AC14" s="773">
        <f t="shared" si="5"/>
        <v>1</v>
      </c>
    </row>
    <row r="15" spans="1:29" ht="99.75">
      <c r="A15" s="440" t="s">
        <v>2555</v>
      </c>
      <c r="B15" s="69" t="s">
        <v>2080</v>
      </c>
      <c r="C15" s="259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475" t="s">
        <v>2556</v>
      </c>
      <c r="Q15" s="1802" t="str">
        <f t="shared" si="6"/>
        <v>居住社区成熟度</v>
      </c>
      <c r="R15" s="774" t="s">
        <v>21</v>
      </c>
      <c r="S15" s="775">
        <f t="shared" si="0"/>
        <v>100</v>
      </c>
      <c r="T15" s="774" t="s">
        <v>21</v>
      </c>
      <c r="U15" s="775">
        <f t="shared" si="1"/>
        <v>100</v>
      </c>
      <c r="V15" s="774" t="s">
        <v>21</v>
      </c>
      <c r="W15" s="775">
        <f t="shared" si="2"/>
        <v>100</v>
      </c>
      <c r="X15" s="1805"/>
      <c r="Y15" s="3468" t="s">
        <v>2556</v>
      </c>
      <c r="Z15" s="1806" t="str">
        <f t="shared" si="7"/>
        <v>居住社区成熟度</v>
      </c>
      <c r="AA15" s="1803">
        <f t="shared" si="3"/>
        <v>1</v>
      </c>
      <c r="AB15" s="1803">
        <f t="shared" si="4"/>
        <v>1</v>
      </c>
      <c r="AC15" s="1803">
        <f t="shared" si="5"/>
        <v>1</v>
      </c>
    </row>
    <row r="16" spans="1:29" ht="15">
      <c r="A16" s="428"/>
      <c r="B16" s="446"/>
      <c r="C16" s="447"/>
      <c r="D16" s="448"/>
      <c r="E16" s="2598"/>
      <c r="F16" s="448"/>
      <c r="G16" s="2599"/>
      <c r="H16" s="450"/>
      <c r="I16" s="2599"/>
      <c r="J16" s="448"/>
      <c r="K16" s="2600"/>
      <c r="L16" s="1140"/>
      <c r="M16" s="1131"/>
      <c r="N16" s="1131"/>
      <c r="O16" s="1131"/>
      <c r="P16" s="3476"/>
      <c r="Q16" s="1802"/>
      <c r="R16" s="774"/>
      <c r="S16" s="775"/>
      <c r="T16" s="774"/>
      <c r="U16" s="775"/>
      <c r="V16" s="774"/>
      <c r="W16" s="775"/>
      <c r="X16" s="1805"/>
      <c r="Y16" s="3469"/>
      <c r="Z16" s="1806"/>
      <c r="AA16" s="1803">
        <v>1</v>
      </c>
      <c r="AB16" s="1803">
        <v>1</v>
      </c>
      <c r="AC16" s="1803">
        <v>1</v>
      </c>
    </row>
    <row r="17" spans="1:29" ht="85.5">
      <c r="A17" s="428"/>
      <c r="B17" s="451" t="s">
        <v>2092</v>
      </c>
      <c r="C17" s="260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476"/>
      <c r="Q17" s="1802" t="str">
        <f>B17</f>
        <v>交通便捷度</v>
      </c>
      <c r="R17" s="774" t="s">
        <v>21</v>
      </c>
      <c r="S17" s="775">
        <f>F17</f>
        <v>100</v>
      </c>
      <c r="T17" s="774" t="s">
        <v>21</v>
      </c>
      <c r="U17" s="775">
        <f>H17</f>
        <v>100</v>
      </c>
      <c r="V17" s="774" t="s">
        <v>21</v>
      </c>
      <c r="W17" s="775">
        <f>J17</f>
        <v>100</v>
      </c>
      <c r="X17" s="1805"/>
      <c r="Y17" s="3469"/>
      <c r="Z17" s="1806" t="str">
        <f>Q17</f>
        <v>交通便捷度</v>
      </c>
      <c r="AA17" s="1803">
        <f t="shared" si="3"/>
        <v>1</v>
      </c>
      <c r="AB17" s="1803">
        <f t="shared" si="4"/>
        <v>1</v>
      </c>
      <c r="AC17" s="1803">
        <f t="shared" si="5"/>
        <v>1</v>
      </c>
    </row>
    <row r="18" spans="1:29" ht="15">
      <c r="A18" s="428"/>
      <c r="B18" s="456"/>
      <c r="C18" s="2602"/>
      <c r="D18" s="450"/>
      <c r="E18" s="2603"/>
      <c r="F18" s="450"/>
      <c r="G18" s="2604"/>
      <c r="H18" s="448"/>
      <c r="I18" s="2604"/>
      <c r="J18" s="448"/>
      <c r="K18" s="2600"/>
      <c r="L18" s="1140"/>
      <c r="M18" s="1131"/>
      <c r="N18" s="1131"/>
      <c r="O18" s="1131"/>
      <c r="P18" s="3476"/>
      <c r="Q18" s="1802"/>
      <c r="R18" s="774"/>
      <c r="S18" s="775"/>
      <c r="T18" s="774"/>
      <c r="U18" s="775"/>
      <c r="V18" s="774"/>
      <c r="W18" s="775"/>
      <c r="X18" s="1805"/>
      <c r="Y18" s="3469"/>
      <c r="Z18" s="1806"/>
      <c r="AA18" s="1803">
        <v>1</v>
      </c>
      <c r="AB18" s="1803">
        <v>1</v>
      </c>
      <c r="AC18" s="1803">
        <v>1</v>
      </c>
    </row>
    <row r="19" spans="1:29" ht="42.75">
      <c r="A19" s="428"/>
      <c r="B19" s="451" t="s">
        <v>2090</v>
      </c>
      <c r="C19" s="260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476"/>
      <c r="Q19" s="1802" t="str">
        <f>B19</f>
        <v>公共配套设施</v>
      </c>
      <c r="R19" s="774" t="s">
        <v>21</v>
      </c>
      <c r="S19" s="775">
        <f>F19</f>
        <v>100</v>
      </c>
      <c r="T19" s="774" t="s">
        <v>21</v>
      </c>
      <c r="U19" s="775">
        <f>H19</f>
        <v>100</v>
      </c>
      <c r="V19" s="774" t="s">
        <v>21</v>
      </c>
      <c r="W19" s="775">
        <f>J19</f>
        <v>100</v>
      </c>
      <c r="X19" s="1805"/>
      <c r="Y19" s="3469"/>
      <c r="Z19" s="1806" t="str">
        <f>Q19</f>
        <v>公共配套设施</v>
      </c>
      <c r="AA19" s="1803">
        <f t="shared" si="3"/>
        <v>1</v>
      </c>
      <c r="AB19" s="1803">
        <f t="shared" si="4"/>
        <v>1</v>
      </c>
      <c r="AC19" s="1803">
        <f t="shared" si="5"/>
        <v>1</v>
      </c>
    </row>
    <row r="20" spans="1:29" ht="15">
      <c r="A20" s="428"/>
      <c r="B20" s="456"/>
      <c r="C20" s="447"/>
      <c r="D20" s="448"/>
      <c r="E20" s="2598"/>
      <c r="F20" s="448"/>
      <c r="G20" s="2599"/>
      <c r="H20" s="448"/>
      <c r="I20" s="2599"/>
      <c r="J20" s="448"/>
      <c r="K20" s="2600"/>
      <c r="L20" s="1140"/>
      <c r="M20" s="1131"/>
      <c r="N20" s="1131"/>
      <c r="O20" s="1131"/>
      <c r="P20" s="3476"/>
      <c r="Q20" s="1802"/>
      <c r="R20" s="774"/>
      <c r="S20" s="775"/>
      <c r="T20" s="774"/>
      <c r="U20" s="775"/>
      <c r="V20" s="774"/>
      <c r="W20" s="775"/>
      <c r="X20" s="1805"/>
      <c r="Y20" s="3469"/>
      <c r="Z20" s="1806"/>
      <c r="AA20" s="1803">
        <v>1</v>
      </c>
      <c r="AB20" s="1803">
        <v>1</v>
      </c>
      <c r="AC20" s="1803">
        <v>1</v>
      </c>
    </row>
    <row r="21" spans="1:29" ht="28.5">
      <c r="A21" s="428"/>
      <c r="B21" s="1384" t="s">
        <v>2093</v>
      </c>
      <c r="C21" s="260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476"/>
      <c r="Q21" s="1802" t="str">
        <f>B21</f>
        <v>基础设施水平</v>
      </c>
      <c r="R21" s="774" t="s">
        <v>17</v>
      </c>
      <c r="S21" s="775">
        <f>F21</f>
        <v>100</v>
      </c>
      <c r="T21" s="774" t="s">
        <v>17</v>
      </c>
      <c r="U21" s="775">
        <f>H21</f>
        <v>100</v>
      </c>
      <c r="V21" s="774" t="s">
        <v>17</v>
      </c>
      <c r="W21" s="775">
        <f>J21</f>
        <v>100</v>
      </c>
      <c r="X21" s="1805"/>
      <c r="Y21" s="3469"/>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8"/>
      <c r="G22" s="2605"/>
      <c r="H22" s="448"/>
      <c r="I22" s="447"/>
      <c r="J22" s="448"/>
      <c r="K22" s="2606"/>
      <c r="L22" s="1140"/>
      <c r="M22" s="1131"/>
      <c r="N22" s="1131"/>
      <c r="O22" s="1131"/>
      <c r="P22" s="3476"/>
      <c r="Q22" s="1802"/>
      <c r="R22" s="774"/>
      <c r="S22" s="775"/>
      <c r="T22" s="774"/>
      <c r="U22" s="775"/>
      <c r="V22" s="774"/>
      <c r="W22" s="775"/>
      <c r="X22" s="1805"/>
      <c r="Y22" s="3469"/>
      <c r="Z22" s="1806"/>
      <c r="AA22" s="1803">
        <v>1</v>
      </c>
      <c r="AB22" s="1803">
        <v>1</v>
      </c>
      <c r="AC22" s="1803">
        <v>1</v>
      </c>
    </row>
    <row r="23" spans="1:29" ht="57">
      <c r="A23" s="428"/>
      <c r="B23" s="451" t="s">
        <v>2097</v>
      </c>
      <c r="C23" s="260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476"/>
      <c r="Q23" s="1802" t="str">
        <f>B23</f>
        <v>自然及人文环境</v>
      </c>
      <c r="R23" s="774" t="s">
        <v>21</v>
      </c>
      <c r="S23" s="775">
        <f>F23</f>
        <v>100</v>
      </c>
      <c r="T23" s="774" t="s">
        <v>21</v>
      </c>
      <c r="U23" s="775">
        <f>H23</f>
        <v>100</v>
      </c>
      <c r="V23" s="774" t="s">
        <v>21</v>
      </c>
      <c r="W23" s="775">
        <f>J23</f>
        <v>100</v>
      </c>
      <c r="X23" s="1805"/>
      <c r="Y23" s="3469"/>
      <c r="Z23" s="1806" t="str">
        <f>Q23</f>
        <v>自然及人文环境</v>
      </c>
      <c r="AA23" s="1803">
        <f>D23/F23</f>
        <v>1</v>
      </c>
      <c r="AB23" s="1803">
        <f>D23/H23</f>
        <v>1</v>
      </c>
      <c r="AC23" s="1803">
        <f>D23/J23</f>
        <v>1</v>
      </c>
    </row>
    <row r="24" spans="1:29" ht="15">
      <c r="A24" s="428"/>
      <c r="B24" s="456"/>
      <c r="C24" s="447"/>
      <c r="D24" s="448"/>
      <c r="E24" s="2598"/>
      <c r="F24" s="448"/>
      <c r="G24" s="2599"/>
      <c r="H24" s="448"/>
      <c r="I24" s="2599"/>
      <c r="J24" s="448"/>
      <c r="K24" s="2600"/>
      <c r="L24" s="1140"/>
      <c r="M24" s="1131"/>
      <c r="N24" s="1131"/>
      <c r="O24" s="1131"/>
      <c r="P24" s="3476"/>
      <c r="Q24" s="1802"/>
      <c r="R24" s="774"/>
      <c r="S24" s="775"/>
      <c r="T24" s="774"/>
      <c r="U24" s="775"/>
      <c r="V24" s="774"/>
      <c r="W24" s="775"/>
      <c r="X24" s="1805"/>
      <c r="Y24" s="3469"/>
      <c r="Z24" s="1806"/>
      <c r="AA24" s="1803">
        <v>1</v>
      </c>
      <c r="AB24" s="1803">
        <v>1</v>
      </c>
      <c r="AC24" s="1803">
        <v>1</v>
      </c>
    </row>
    <row r="25" spans="1:29" ht="15">
      <c r="A25" s="428"/>
      <c r="B25" s="422" t="s">
        <v>2557</v>
      </c>
      <c r="C25" s="460"/>
      <c r="D25" s="435">
        <v>100</v>
      </c>
      <c r="E25" s="2607"/>
      <c r="F25" s="435">
        <f>SUMIF(86:86,E25,87:87)-SUMIF(86:86,C25,87:87)+100</f>
        <v>100</v>
      </c>
      <c r="G25" s="2608"/>
      <c r="H25" s="435">
        <f>SUMIF(86:86,G25,87:87)-SUMIF(86:86,C25,87:87)+100</f>
        <v>100</v>
      </c>
      <c r="I25" s="2608"/>
      <c r="J25" s="435">
        <f>SUMIF(86:86,I25,87:87)-SUMIF(86:86,C25,87:87)+100</f>
        <v>100</v>
      </c>
      <c r="K25" s="426"/>
      <c r="L25" s="1140"/>
      <c r="M25" s="1131"/>
      <c r="N25" s="1131"/>
      <c r="O25" s="1131"/>
      <c r="P25" s="3476"/>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469"/>
      <c r="Z25" s="1806" t="str">
        <f>Q25</f>
        <v>楼层-1</v>
      </c>
      <c r="AA25" s="1803">
        <f t="shared" ref="AA25:AA46" si="15">D25/F25</f>
        <v>1</v>
      </c>
      <c r="AB25" s="1803">
        <f t="shared" ref="AB25:AB46" si="16">D25/H25</f>
        <v>1</v>
      </c>
      <c r="AC25" s="1803">
        <f t="shared" ref="AC25:AC46" si="17">D25/J25</f>
        <v>1</v>
      </c>
    </row>
    <row r="26" spans="1:29" ht="15">
      <c r="A26" s="428"/>
      <c r="B26" s="422" t="s">
        <v>2558</v>
      </c>
      <c r="C26" s="460"/>
      <c r="D26" s="435">
        <v>100</v>
      </c>
      <c r="E26" s="2607"/>
      <c r="F26" s="435">
        <f>SUMIF(88:88,E26,89:89)-SUMIF(88:88,C26,89:89)+100</f>
        <v>100</v>
      </c>
      <c r="G26" s="2608"/>
      <c r="H26" s="435">
        <f>SUMIF(88:88,G26,89:89)-SUMIF(88:88,C26,89:89)+100</f>
        <v>100</v>
      </c>
      <c r="I26" s="2608"/>
      <c r="J26" s="435">
        <f>SUMIF(88:88,I26,89:89)-SUMIF(88:88,C26,89:89)+100</f>
        <v>100</v>
      </c>
      <c r="K26" s="426"/>
      <c r="L26" s="1140"/>
      <c r="M26" s="1131"/>
      <c r="N26" s="1131"/>
      <c r="O26" s="1131"/>
      <c r="P26" s="3476"/>
      <c r="Q26" s="1802" t="str">
        <f t="shared" si="11"/>
        <v>朝向</v>
      </c>
      <c r="R26" s="774" t="s">
        <v>21</v>
      </c>
      <c r="S26" s="775">
        <f t="shared" si="12"/>
        <v>100</v>
      </c>
      <c r="T26" s="774" t="s">
        <v>21</v>
      </c>
      <c r="U26" s="775">
        <f t="shared" si="13"/>
        <v>100</v>
      </c>
      <c r="V26" s="774" t="s">
        <v>21</v>
      </c>
      <c r="W26" s="775">
        <f t="shared" si="14"/>
        <v>100</v>
      </c>
      <c r="X26" s="1805"/>
      <c r="Y26" s="3469"/>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5"/>
      <c r="L27" s="1132"/>
      <c r="M27" s="1133"/>
      <c r="N27" s="1133"/>
      <c r="O27" s="1133"/>
      <c r="P27" s="3476"/>
      <c r="Q27" s="1787">
        <f t="shared" si="11"/>
        <v>111</v>
      </c>
      <c r="R27" s="770" t="s">
        <v>21</v>
      </c>
      <c r="S27" s="771">
        <f t="shared" si="12"/>
        <v>100</v>
      </c>
      <c r="T27" s="770" t="s">
        <v>21</v>
      </c>
      <c r="U27" s="771">
        <f t="shared" si="13"/>
        <v>100</v>
      </c>
      <c r="V27" s="770" t="s">
        <v>21</v>
      </c>
      <c r="W27" s="771">
        <f t="shared" si="14"/>
        <v>100</v>
      </c>
      <c r="X27" s="772"/>
      <c r="Y27" s="3469"/>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9"/>
      <c r="H28" s="435">
        <f>SUMIF(92:92,G28,93:93)-SUMIF(92:92,C28,93:93)+100</f>
        <v>100</v>
      </c>
      <c r="I28" s="434"/>
      <c r="J28" s="435">
        <f>SUMIF(92:92,I28,93:93)-SUMIF(92:92,C28,93:93)+100</f>
        <v>100</v>
      </c>
      <c r="K28" s="2595"/>
      <c r="L28" s="1140"/>
      <c r="M28" s="1131"/>
      <c r="N28" s="1131"/>
      <c r="O28" s="1131"/>
      <c r="P28" s="3476"/>
      <c r="Q28" s="1802">
        <f t="shared" si="11"/>
        <v>111</v>
      </c>
      <c r="R28" s="774" t="s">
        <v>21</v>
      </c>
      <c r="S28" s="775">
        <f t="shared" si="12"/>
        <v>100</v>
      </c>
      <c r="T28" s="774" t="s">
        <v>21</v>
      </c>
      <c r="U28" s="775">
        <f t="shared" si="13"/>
        <v>100</v>
      </c>
      <c r="V28" s="774" t="s">
        <v>21</v>
      </c>
      <c r="W28" s="775">
        <f t="shared" si="14"/>
        <v>100</v>
      </c>
      <c r="X28" s="1805"/>
      <c r="Y28" s="3469"/>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9"/>
      <c r="H29" s="435">
        <f>SUMIF(94:94,G29,95:95)-SUMIF(94:94,C29,95:95)+100</f>
        <v>100</v>
      </c>
      <c r="I29" s="434"/>
      <c r="J29" s="435">
        <f>SUMIF(94:94,I29,95:95)-SUMIF(94:94,C29,95:95)+100</f>
        <v>100</v>
      </c>
      <c r="K29" s="2595"/>
      <c r="L29" s="1140"/>
      <c r="M29" s="1131"/>
      <c r="N29" s="1131"/>
      <c r="O29" s="1131"/>
      <c r="P29" s="3476"/>
      <c r="Q29" s="1802">
        <f t="shared" si="11"/>
        <v>111</v>
      </c>
      <c r="R29" s="774" t="s">
        <v>21</v>
      </c>
      <c r="S29" s="775">
        <f t="shared" si="12"/>
        <v>100</v>
      </c>
      <c r="T29" s="774" t="s">
        <v>21</v>
      </c>
      <c r="U29" s="775">
        <f t="shared" si="13"/>
        <v>100</v>
      </c>
      <c r="V29" s="774" t="s">
        <v>21</v>
      </c>
      <c r="W29" s="775">
        <f t="shared" si="14"/>
        <v>100</v>
      </c>
      <c r="X29" s="1805"/>
      <c r="Y29" s="3469"/>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9"/>
      <c r="H30" s="435">
        <f>SUMIF(96:96,G30,97:97)-SUMIF(96:96,C30,97:97)+100</f>
        <v>100</v>
      </c>
      <c r="I30" s="434"/>
      <c r="J30" s="435">
        <f>SUMIF(96:96,I30,97:97)-SUMIF(96:96,C30,97:97)+100</f>
        <v>100</v>
      </c>
      <c r="K30" s="2595"/>
      <c r="L30" s="1140"/>
      <c r="M30" s="1131"/>
      <c r="N30" s="1131"/>
      <c r="O30" s="1131"/>
      <c r="P30" s="3476"/>
      <c r="Q30" s="1802">
        <f t="shared" si="11"/>
        <v>111</v>
      </c>
      <c r="R30" s="774" t="s">
        <v>21</v>
      </c>
      <c r="S30" s="775">
        <f t="shared" si="12"/>
        <v>100</v>
      </c>
      <c r="T30" s="774" t="s">
        <v>21</v>
      </c>
      <c r="U30" s="775">
        <f t="shared" si="13"/>
        <v>100</v>
      </c>
      <c r="V30" s="774" t="s">
        <v>21</v>
      </c>
      <c r="W30" s="775">
        <f t="shared" si="14"/>
        <v>100</v>
      </c>
      <c r="X30" s="1805"/>
      <c r="Y30" s="3469"/>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10"/>
      <c r="H31" s="438">
        <f>SUMIF(98:98,G31,99:99)-SUMIF(98:98,C31,99:99)+100</f>
        <v>100</v>
      </c>
      <c r="I31" s="437"/>
      <c r="J31" s="438">
        <f>SUMIF(98:98,I31,99:99)-SUMIF(98:98,C31,99:99)+100</f>
        <v>100</v>
      </c>
      <c r="K31" s="2595"/>
      <c r="L31" s="1140"/>
      <c r="M31" s="1131"/>
      <c r="N31" s="1131"/>
      <c r="O31" s="1131"/>
      <c r="P31" s="3476"/>
      <c r="Q31" s="1802">
        <f t="shared" si="11"/>
        <v>111</v>
      </c>
      <c r="R31" s="774" t="s">
        <v>21</v>
      </c>
      <c r="S31" s="775">
        <f t="shared" si="12"/>
        <v>100</v>
      </c>
      <c r="T31" s="774" t="s">
        <v>21</v>
      </c>
      <c r="U31" s="775">
        <f t="shared" si="13"/>
        <v>100</v>
      </c>
      <c r="V31" s="774" t="s">
        <v>21</v>
      </c>
      <c r="W31" s="775">
        <f t="shared" si="14"/>
        <v>100</v>
      </c>
      <c r="X31" s="1805"/>
      <c r="Y31" s="3469"/>
      <c r="Z31" s="1806">
        <f t="shared" si="18"/>
        <v>111</v>
      </c>
      <c r="AA31" s="1803">
        <f t="shared" si="15"/>
        <v>1</v>
      </c>
      <c r="AB31" s="1803">
        <f t="shared" si="16"/>
        <v>1</v>
      </c>
      <c r="AC31" s="1803">
        <f t="shared" si="17"/>
        <v>1</v>
      </c>
    </row>
    <row r="32" spans="1:29" ht="15">
      <c r="A32" s="440" t="s">
        <v>2559</v>
      </c>
      <c r="B32" s="71" t="s">
        <v>2560</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40"/>
      <c r="M32" s="1131"/>
      <c r="N32" s="1131"/>
      <c r="O32" s="1131"/>
      <c r="P32" s="3470" t="s">
        <v>2561</v>
      </c>
      <c r="Q32" s="1802" t="str">
        <f t="shared" si="11"/>
        <v>建筑类型</v>
      </c>
      <c r="R32" s="774" t="s">
        <v>21</v>
      </c>
      <c r="S32" s="775">
        <f t="shared" si="12"/>
        <v>100</v>
      </c>
      <c r="T32" s="774" t="s">
        <v>21</v>
      </c>
      <c r="U32" s="775">
        <f t="shared" si="13"/>
        <v>100</v>
      </c>
      <c r="V32" s="774" t="s">
        <v>21</v>
      </c>
      <c r="W32" s="775">
        <f t="shared" si="14"/>
        <v>100</v>
      </c>
      <c r="X32" s="1805"/>
      <c r="Y32" s="3473" t="s">
        <v>2561</v>
      </c>
      <c r="Z32" s="1806" t="str">
        <f t="shared" si="18"/>
        <v>建筑类型</v>
      </c>
      <c r="AA32" s="1803">
        <f t="shared" si="15"/>
        <v>1</v>
      </c>
      <c r="AB32" s="1803">
        <f t="shared" si="16"/>
        <v>1</v>
      </c>
      <c r="AC32" s="1803">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8"/>
      <c r="M33" s="1141"/>
      <c r="N33" s="1141"/>
      <c r="O33" s="1141"/>
      <c r="P33" s="3471"/>
      <c r="Q33" s="776" t="str">
        <f t="shared" si="11"/>
        <v>项目建筑规模</v>
      </c>
      <c r="R33" s="777" t="s">
        <v>21</v>
      </c>
      <c r="S33" s="778" t="e">
        <f t="shared" si="12"/>
        <v>#N/A</v>
      </c>
      <c r="T33" s="777" t="s">
        <v>21</v>
      </c>
      <c r="U33" s="778" t="e">
        <f t="shared" si="13"/>
        <v>#N/A</v>
      </c>
      <c r="V33" s="777" t="s">
        <v>21</v>
      </c>
      <c r="W33" s="778" t="e">
        <f t="shared" si="14"/>
        <v>#N/A</v>
      </c>
      <c r="X33" s="779"/>
      <c r="Y33" s="3473"/>
      <c r="Z33" s="780" t="str">
        <f t="shared" si="18"/>
        <v>项目建筑规模</v>
      </c>
      <c r="AA33" s="1803" t="e">
        <f t="shared" si="15"/>
        <v>#N/A</v>
      </c>
      <c r="AB33" s="1803" t="e">
        <f t="shared" si="16"/>
        <v>#N/A</v>
      </c>
      <c r="AC33" s="1803" t="e">
        <f t="shared" si="17"/>
        <v>#N/A</v>
      </c>
    </row>
    <row r="34" spans="1:29" ht="15">
      <c r="A34" s="472"/>
      <c r="B34" s="422" t="s">
        <v>2563</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40"/>
      <c r="M34" s="1131"/>
      <c r="N34" s="1131"/>
      <c r="O34" s="1131"/>
      <c r="P34" s="3471"/>
      <c r="Q34" s="1802" t="str">
        <f t="shared" si="11"/>
        <v>建筑结构</v>
      </c>
      <c r="R34" s="774" t="s">
        <v>21</v>
      </c>
      <c r="S34" s="775">
        <f t="shared" si="12"/>
        <v>100</v>
      </c>
      <c r="T34" s="774" t="s">
        <v>21</v>
      </c>
      <c r="U34" s="775">
        <f t="shared" si="13"/>
        <v>100</v>
      </c>
      <c r="V34" s="774" t="s">
        <v>21</v>
      </c>
      <c r="W34" s="775">
        <f t="shared" si="14"/>
        <v>100</v>
      </c>
      <c r="X34" s="1805"/>
      <c r="Y34" s="3473"/>
      <c r="Z34" s="1806" t="str">
        <f t="shared" si="18"/>
        <v>建筑结构</v>
      </c>
      <c r="AA34" s="1803">
        <f t="shared" si="15"/>
        <v>1</v>
      </c>
      <c r="AB34" s="1803">
        <f t="shared" si="16"/>
        <v>1</v>
      </c>
      <c r="AC34" s="1803">
        <f t="shared" si="17"/>
        <v>1</v>
      </c>
    </row>
    <row r="35" spans="1:29" ht="15">
      <c r="A35" s="472"/>
      <c r="B35" s="422" t="s">
        <v>2564</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40"/>
      <c r="M35" s="1131"/>
      <c r="N35" s="1131"/>
      <c r="O35" s="1131"/>
      <c r="P35" s="3471"/>
      <c r="Q35" s="1802" t="str">
        <f t="shared" si="11"/>
        <v>建筑品质</v>
      </c>
      <c r="R35" s="774" t="s">
        <v>21</v>
      </c>
      <c r="S35" s="775">
        <f t="shared" si="12"/>
        <v>100</v>
      </c>
      <c r="T35" s="774" t="s">
        <v>21</v>
      </c>
      <c r="U35" s="775">
        <f t="shared" si="13"/>
        <v>100</v>
      </c>
      <c r="V35" s="774" t="s">
        <v>21</v>
      </c>
      <c r="W35" s="775">
        <f t="shared" si="14"/>
        <v>100</v>
      </c>
      <c r="X35" s="1805"/>
      <c r="Y35" s="3473"/>
      <c r="Z35" s="1806" t="str">
        <f t="shared" si="18"/>
        <v>建筑品质</v>
      </c>
      <c r="AA35" s="1803">
        <f t="shared" si="15"/>
        <v>1</v>
      </c>
      <c r="AB35" s="1803">
        <f t="shared" si="16"/>
        <v>1</v>
      </c>
      <c r="AC35" s="1803">
        <f t="shared" si="17"/>
        <v>1</v>
      </c>
    </row>
    <row r="36" spans="1:29" ht="15">
      <c r="A36" s="472"/>
      <c r="B36" s="422" t="s">
        <v>2565</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40"/>
      <c r="M36" s="1131"/>
      <c r="N36" s="1131"/>
      <c r="O36" s="1131"/>
      <c r="P36" s="3471"/>
      <c r="Q36" s="1802" t="str">
        <f t="shared" si="11"/>
        <v>公共部分装修</v>
      </c>
      <c r="R36" s="774" t="s">
        <v>21</v>
      </c>
      <c r="S36" s="775">
        <f t="shared" si="12"/>
        <v>100</v>
      </c>
      <c r="T36" s="774" t="s">
        <v>21</v>
      </c>
      <c r="U36" s="775">
        <f t="shared" si="13"/>
        <v>100</v>
      </c>
      <c r="V36" s="774" t="s">
        <v>21</v>
      </c>
      <c r="W36" s="775">
        <f t="shared" si="14"/>
        <v>100</v>
      </c>
      <c r="X36" s="1805"/>
      <c r="Y36" s="3473"/>
      <c r="Z36" s="1806" t="str">
        <f t="shared" si="18"/>
        <v>公共部分装修</v>
      </c>
      <c r="AA36" s="1803">
        <f t="shared" si="15"/>
        <v>1</v>
      </c>
      <c r="AB36" s="1803">
        <f t="shared" si="16"/>
        <v>1</v>
      </c>
      <c r="AC36" s="1803">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471"/>
      <c r="Q37" s="1787" t="str">
        <f t="shared" si="11"/>
        <v>成新度</v>
      </c>
      <c r="R37" s="770" t="s">
        <v>21</v>
      </c>
      <c r="S37" s="771" t="e">
        <f t="shared" si="12"/>
        <v>#N/A</v>
      </c>
      <c r="T37" s="770" t="s">
        <v>21</v>
      </c>
      <c r="U37" s="771" t="e">
        <f t="shared" si="13"/>
        <v>#N/A</v>
      </c>
      <c r="V37" s="770" t="s">
        <v>21</v>
      </c>
      <c r="W37" s="771" t="e">
        <f t="shared" si="14"/>
        <v>#N/A</v>
      </c>
      <c r="X37" s="772"/>
      <c r="Y37" s="3473"/>
      <c r="Z37" s="55" t="str">
        <f t="shared" si="18"/>
        <v>成新度</v>
      </c>
      <c r="AA37" s="773" t="e">
        <f t="shared" si="15"/>
        <v>#N/A</v>
      </c>
      <c r="AB37" s="773" t="e">
        <f t="shared" si="16"/>
        <v>#N/A</v>
      </c>
      <c r="AC37" s="773" t="e">
        <f t="shared" si="17"/>
        <v>#N/A</v>
      </c>
    </row>
    <row r="38" spans="1:29" ht="15">
      <c r="A38" s="472"/>
      <c r="B38" s="422" t="s">
        <v>2567</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40"/>
      <c r="M38" s="1131"/>
      <c r="N38" s="1131"/>
      <c r="O38" s="1131"/>
      <c r="P38" s="3471" t="s">
        <v>2561</v>
      </c>
      <c r="Q38" s="1802" t="str">
        <f t="shared" si="11"/>
        <v>物业管理</v>
      </c>
      <c r="R38" s="774" t="s">
        <v>21</v>
      </c>
      <c r="S38" s="775">
        <f t="shared" si="12"/>
        <v>100</v>
      </c>
      <c r="T38" s="774" t="s">
        <v>21</v>
      </c>
      <c r="U38" s="775">
        <f t="shared" si="13"/>
        <v>100</v>
      </c>
      <c r="V38" s="774" t="s">
        <v>21</v>
      </c>
      <c r="W38" s="775">
        <f t="shared" si="14"/>
        <v>100</v>
      </c>
      <c r="X38" s="1805"/>
      <c r="Y38" s="3473" t="s">
        <v>2561</v>
      </c>
      <c r="Z38" s="1806" t="str">
        <f t="shared" si="18"/>
        <v>物业管理</v>
      </c>
      <c r="AA38" s="1803">
        <f t="shared" si="15"/>
        <v>1</v>
      </c>
      <c r="AB38" s="1803">
        <f t="shared" si="16"/>
        <v>1</v>
      </c>
      <c r="AC38" s="1803">
        <f t="shared" si="17"/>
        <v>1</v>
      </c>
    </row>
    <row r="39" spans="1:29" ht="15">
      <c r="A39" s="472"/>
      <c r="B39" s="422" t="s">
        <v>2568</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40"/>
      <c r="M39" s="1131"/>
      <c r="N39" s="1131"/>
      <c r="O39" s="1131"/>
      <c r="P39" s="3471"/>
      <c r="Q39" s="1802" t="str">
        <f t="shared" si="11"/>
        <v>市政基础设施</v>
      </c>
      <c r="R39" s="774" t="s">
        <v>21</v>
      </c>
      <c r="S39" s="775">
        <f t="shared" si="12"/>
        <v>100</v>
      </c>
      <c r="T39" s="774" t="s">
        <v>21</v>
      </c>
      <c r="U39" s="775">
        <f t="shared" si="13"/>
        <v>100</v>
      </c>
      <c r="V39" s="774" t="s">
        <v>21</v>
      </c>
      <c r="W39" s="775">
        <f t="shared" si="14"/>
        <v>100</v>
      </c>
      <c r="X39" s="1805"/>
      <c r="Y39" s="3473"/>
      <c r="Z39" s="1806" t="str">
        <f t="shared" si="18"/>
        <v>市政基础设施</v>
      </c>
      <c r="AA39" s="1803">
        <f t="shared" si="15"/>
        <v>1</v>
      </c>
      <c r="AB39" s="1803">
        <f t="shared" si="16"/>
        <v>1</v>
      </c>
      <c r="AC39" s="1803">
        <f t="shared" si="17"/>
        <v>1</v>
      </c>
    </row>
    <row r="40" spans="1:29" ht="15">
      <c r="A40" s="472"/>
      <c r="B40" s="422" t="s">
        <v>2569</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40"/>
      <c r="M40" s="1131"/>
      <c r="N40" s="1131"/>
      <c r="O40" s="1131"/>
      <c r="P40" s="3471"/>
      <c r="Q40" s="1802" t="str">
        <f t="shared" si="11"/>
        <v>房型</v>
      </c>
      <c r="R40" s="774" t="s">
        <v>21</v>
      </c>
      <c r="S40" s="775">
        <f t="shared" si="12"/>
        <v>100</v>
      </c>
      <c r="T40" s="774" t="s">
        <v>21</v>
      </c>
      <c r="U40" s="775">
        <f t="shared" si="13"/>
        <v>100</v>
      </c>
      <c r="V40" s="774" t="s">
        <v>21</v>
      </c>
      <c r="W40" s="775">
        <f t="shared" si="14"/>
        <v>100</v>
      </c>
      <c r="X40" s="1805"/>
      <c r="Y40" s="3473"/>
      <c r="Z40" s="1806" t="str">
        <f t="shared" si="18"/>
        <v>房型</v>
      </c>
      <c r="AA40" s="1803">
        <f t="shared" si="15"/>
        <v>1</v>
      </c>
      <c r="AB40" s="1803">
        <f t="shared" si="16"/>
        <v>1</v>
      </c>
      <c r="AC40" s="1803">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471"/>
      <c r="Q41" s="776" t="str">
        <f t="shared" si="11"/>
        <v>单套/主力户型建筑面积</v>
      </c>
      <c r="R41" s="777" t="s">
        <v>21</v>
      </c>
      <c r="S41" s="778">
        <f t="shared" si="12"/>
        <v>100</v>
      </c>
      <c r="T41" s="777" t="s">
        <v>21</v>
      </c>
      <c r="U41" s="778">
        <f t="shared" si="13"/>
        <v>100</v>
      </c>
      <c r="V41" s="777" t="s">
        <v>21</v>
      </c>
      <c r="W41" s="778">
        <f t="shared" si="14"/>
        <v>100</v>
      </c>
      <c r="X41" s="779"/>
      <c r="Y41" s="3473"/>
      <c r="Z41" s="780" t="str">
        <f t="shared" si="18"/>
        <v>单套/主力户型建筑面积</v>
      </c>
      <c r="AA41" s="1803">
        <f t="shared" si="15"/>
        <v>1</v>
      </c>
      <c r="AB41" s="1803">
        <f t="shared" si="16"/>
        <v>1</v>
      </c>
      <c r="AC41" s="1803">
        <f t="shared" si="17"/>
        <v>1</v>
      </c>
    </row>
    <row r="42" spans="1:29" ht="15">
      <c r="A42" s="472"/>
      <c r="B42" s="422" t="s">
        <v>2571</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40"/>
      <c r="M42" s="1131"/>
      <c r="N42" s="1131"/>
      <c r="O42" s="1131"/>
      <c r="P42" s="3471"/>
      <c r="Q42" s="1802" t="str">
        <f t="shared" si="11"/>
        <v>内部装修</v>
      </c>
      <c r="R42" s="774" t="s">
        <v>21</v>
      </c>
      <c r="S42" s="775">
        <f t="shared" si="12"/>
        <v>100</v>
      </c>
      <c r="T42" s="774" t="s">
        <v>21</v>
      </c>
      <c r="U42" s="775">
        <f t="shared" si="13"/>
        <v>100</v>
      </c>
      <c r="V42" s="774" t="s">
        <v>21</v>
      </c>
      <c r="W42" s="775">
        <f t="shared" si="14"/>
        <v>100</v>
      </c>
      <c r="X42" s="1805"/>
      <c r="Y42" s="3473"/>
      <c r="Z42" s="1806" t="str">
        <f t="shared" si="18"/>
        <v>内部装修</v>
      </c>
      <c r="AA42" s="1803">
        <f t="shared" si="15"/>
        <v>1</v>
      </c>
      <c r="AB42" s="1803">
        <f t="shared" si="16"/>
        <v>1</v>
      </c>
      <c r="AC42" s="1803">
        <f t="shared" si="17"/>
        <v>1</v>
      </c>
    </row>
    <row r="43" spans="1:29" ht="15">
      <c r="A43" s="472"/>
      <c r="B43" s="422" t="s">
        <v>2572</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471"/>
      <c r="Q43" s="1802" t="str">
        <f t="shared" si="11"/>
        <v>内部装修维护情况</v>
      </c>
      <c r="R43" s="774" t="s">
        <v>21</v>
      </c>
      <c r="S43" s="775">
        <f t="shared" si="12"/>
        <v>100</v>
      </c>
      <c r="T43" s="774" t="s">
        <v>21</v>
      </c>
      <c r="U43" s="775">
        <f t="shared" si="13"/>
        <v>100</v>
      </c>
      <c r="V43" s="774" t="s">
        <v>21</v>
      </c>
      <c r="W43" s="775">
        <f t="shared" si="14"/>
        <v>100</v>
      </c>
      <c r="X43" s="1805"/>
      <c r="Y43" s="3473"/>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471"/>
      <c r="Q44" s="1787">
        <f t="shared" si="11"/>
        <v>111</v>
      </c>
      <c r="R44" s="770" t="s">
        <v>21</v>
      </c>
      <c r="S44" s="771">
        <f t="shared" si="12"/>
        <v>100</v>
      </c>
      <c r="T44" s="770" t="s">
        <v>21</v>
      </c>
      <c r="U44" s="771">
        <f t="shared" si="13"/>
        <v>100</v>
      </c>
      <c r="V44" s="770" t="s">
        <v>21</v>
      </c>
      <c r="W44" s="771">
        <f t="shared" si="14"/>
        <v>100</v>
      </c>
      <c r="X44" s="772"/>
      <c r="Y44" s="347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471"/>
      <c r="Q45" s="1802">
        <f t="shared" si="11"/>
        <v>111</v>
      </c>
      <c r="R45" s="774" t="s">
        <v>21</v>
      </c>
      <c r="S45" s="775">
        <f t="shared" si="12"/>
        <v>100</v>
      </c>
      <c r="T45" s="774" t="s">
        <v>21</v>
      </c>
      <c r="U45" s="775">
        <f t="shared" si="13"/>
        <v>100</v>
      </c>
      <c r="V45" s="774" t="s">
        <v>21</v>
      </c>
      <c r="W45" s="775">
        <f t="shared" si="14"/>
        <v>100</v>
      </c>
      <c r="X45" s="1805"/>
      <c r="Y45" s="3473"/>
      <c r="Z45" s="1806">
        <f t="shared" si="18"/>
        <v>111</v>
      </c>
      <c r="AA45" s="1803">
        <f t="shared" si="15"/>
        <v>1</v>
      </c>
      <c r="AB45" s="1803">
        <f t="shared" si="16"/>
        <v>1</v>
      </c>
      <c r="AC45" s="1803">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40"/>
      <c r="M46" s="1131"/>
      <c r="N46" s="1131"/>
      <c r="O46" s="1131"/>
      <c r="P46" s="3472"/>
      <c r="Q46" s="1802">
        <f t="shared" si="11"/>
        <v>111</v>
      </c>
      <c r="R46" s="774" t="s">
        <v>20</v>
      </c>
      <c r="S46" s="775">
        <f t="shared" si="12"/>
        <v>100</v>
      </c>
      <c r="T46" s="774" t="s">
        <v>20</v>
      </c>
      <c r="U46" s="775">
        <f t="shared" si="13"/>
        <v>100</v>
      </c>
      <c r="V46" s="774" t="s">
        <v>20</v>
      </c>
      <c r="W46" s="775">
        <f t="shared" si="14"/>
        <v>100</v>
      </c>
      <c r="X46" s="1805"/>
      <c r="Y46" s="3474"/>
      <c r="Z46" s="1806">
        <f t="shared" si="18"/>
        <v>111</v>
      </c>
      <c r="AA46" s="1803">
        <f t="shared" si="15"/>
        <v>1</v>
      </c>
      <c r="AB46" s="1803">
        <f t="shared" si="16"/>
        <v>1</v>
      </c>
      <c r="AC46" s="1803">
        <f t="shared" si="17"/>
        <v>1</v>
      </c>
    </row>
    <row r="47" spans="1:29" ht="15">
      <c r="A47" s="479" t="s">
        <v>2573</v>
      </c>
      <c r="B47" s="480"/>
      <c r="C47" s="1407" t="s">
        <v>19</v>
      </c>
      <c r="D47" s="1408"/>
      <c r="E47" s="1409"/>
      <c r="F47" s="1410"/>
      <c r="G47" s="1411"/>
      <c r="H47" s="1412"/>
      <c r="I47" s="1409"/>
      <c r="J47" s="1412"/>
      <c r="K47" s="2615"/>
      <c r="L47" s="1143"/>
      <c r="M47" s="1144"/>
      <c r="N47" s="1131"/>
      <c r="O47" s="1144"/>
      <c r="P47" s="3466" t="str">
        <f>A47</f>
        <v>成交单价（元/平方米）</v>
      </c>
      <c r="Q47" s="3466"/>
      <c r="R47" s="3467">
        <f>E47</f>
        <v>0</v>
      </c>
      <c r="S47" s="3467"/>
      <c r="T47" s="3467">
        <f>G47</f>
        <v>0</v>
      </c>
      <c r="U47" s="3467"/>
      <c r="V47" s="3467">
        <f>I47</f>
        <v>0</v>
      </c>
      <c r="W47" s="3467"/>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16"/>
      <c r="L48" s="1143"/>
      <c r="M48" s="1144"/>
      <c r="N48" s="1144"/>
      <c r="O48" s="1144"/>
      <c r="P48" s="3466" t="str">
        <f>A48</f>
        <v>比较价值（元/平方米）</v>
      </c>
      <c r="Q48" s="346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17"/>
      <c r="L49" s="1143"/>
      <c r="M49" s="1144"/>
      <c r="N49" s="1144"/>
      <c r="O49" s="1144"/>
      <c r="P49" s="3463" t="str">
        <f>A49</f>
        <v>估价对象XX用房的比较价值（楼面单价，元/平方米）</v>
      </c>
      <c r="Q49" s="3464"/>
      <c r="R49" s="3465" t="e">
        <f>IF(F1="售价",ROUND(AVERAGE(R48:V48),0),ROUND(AVERAGE(R48:V48),1))</f>
        <v>#DIV/0!</v>
      </c>
      <c r="S49" s="3465"/>
      <c r="T49" s="3465"/>
      <c r="U49" s="3465"/>
      <c r="V49" s="3465"/>
      <c r="W49" s="346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0"/>
      <c r="Q57" s="504"/>
    </row>
    <row r="58" spans="1:29" s="508" customFormat="1" ht="15">
      <c r="A58" s="505" t="s">
        <v>2580</v>
      </c>
      <c r="B58" s="506"/>
      <c r="C58" s="1576" t="str">
        <f>YEAR(C7)&amp;"-"&amp;MONTH(C7)</f>
        <v>2021-8</v>
      </c>
      <c r="D58" s="1575">
        <f>EDATE(C58,-1)</f>
        <v>44378</v>
      </c>
      <c r="E58" s="1575">
        <f>EDATE(D58,-1)</f>
        <v>44348</v>
      </c>
      <c r="F58" s="1575">
        <f t="shared" ref="F58:O58" si="19">EDATE(E58,-1)</f>
        <v>44317</v>
      </c>
      <c r="G58" s="1575">
        <f t="shared" si="19"/>
        <v>44287</v>
      </c>
      <c r="H58" s="1575">
        <f t="shared" si="19"/>
        <v>44256</v>
      </c>
      <c r="I58" s="1575">
        <f t="shared" si="19"/>
        <v>44228</v>
      </c>
      <c r="J58" s="1575">
        <f t="shared" si="19"/>
        <v>44197</v>
      </c>
      <c r="K58" s="1575">
        <f t="shared" si="19"/>
        <v>44166</v>
      </c>
      <c r="L58" s="1575">
        <f t="shared" si="19"/>
        <v>44136</v>
      </c>
      <c r="M58" s="1575">
        <f t="shared" si="19"/>
        <v>44105</v>
      </c>
      <c r="N58" s="1575">
        <f t="shared" si="19"/>
        <v>44075</v>
      </c>
      <c r="O58" s="1575">
        <f t="shared" si="19"/>
        <v>44044</v>
      </c>
      <c r="P58" s="1570"/>
    </row>
    <row r="59" spans="1:29" s="117" customFormat="1" ht="15">
      <c r="A59" s="509"/>
      <c r="B59" s="2621"/>
      <c r="C59" s="1573">
        <v>100</v>
      </c>
      <c r="D59" s="511"/>
      <c r="E59" s="512"/>
      <c r="F59" s="512"/>
      <c r="G59" s="512"/>
      <c r="H59" s="512"/>
      <c r="I59" s="512"/>
      <c r="J59" s="512"/>
      <c r="K59" s="512"/>
      <c r="L59" s="512"/>
      <c r="M59" s="513"/>
      <c r="N59" s="512"/>
      <c r="O59" s="513"/>
      <c r="P59" s="2622"/>
    </row>
    <row r="60" spans="1:29" s="117" customFormat="1" ht="15.75" thickBot="1">
      <c r="A60" s="515" t="s">
        <v>2581</v>
      </c>
      <c r="B60" s="516"/>
      <c r="C60" s="517"/>
      <c r="D60" s="518"/>
      <c r="E60" s="518"/>
      <c r="F60" s="518"/>
      <c r="G60" s="518"/>
      <c r="H60" s="518"/>
      <c r="I60" s="518"/>
      <c r="J60" s="518"/>
      <c r="K60" s="518"/>
      <c r="L60" s="518"/>
      <c r="M60" s="519"/>
      <c r="N60" s="518"/>
      <c r="O60" s="519"/>
      <c r="P60" s="2622"/>
      <c r="Q60" s="504"/>
    </row>
    <row r="61" spans="1:29" s="117" customFormat="1" ht="15">
      <c r="A61" s="521" t="s">
        <v>2582</v>
      </c>
      <c r="B61" s="510"/>
      <c r="C61" s="522" t="s">
        <v>2583</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2584</v>
      </c>
      <c r="B63" s="528" t="s">
        <v>2550</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4"/>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2093</v>
      </c>
      <c r="C82" s="539" t="s">
        <v>2600</v>
      </c>
      <c r="D82" s="539" t="s">
        <v>2601</v>
      </c>
      <c r="E82" s="539" t="s">
        <v>2602</v>
      </c>
      <c r="F82" s="539" t="s">
        <v>2603</v>
      </c>
      <c r="G82" s="539" t="s">
        <v>2604</v>
      </c>
      <c r="H82" s="539"/>
      <c r="I82" s="539"/>
      <c r="J82" s="539"/>
      <c r="K82" s="539"/>
      <c r="L82" s="539"/>
      <c r="M82" s="1382"/>
      <c r="N82" s="1153"/>
      <c r="O82" s="1153"/>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4"/>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2606</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5.75" thickTop="1">
      <c r="A88" s="579"/>
      <c r="B88" s="538" t="s">
        <v>2607</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2559</v>
      </c>
      <c r="B100" s="528" t="s">
        <v>2608</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4"/>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5"/>
      <c r="Q104" s="559"/>
    </row>
    <row r="105" spans="1:17" ht="15" thickTop="1">
      <c r="A105" s="599"/>
      <c r="B105" s="538" t="s">
        <v>2610</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4"/>
      <c r="Q106" s="504"/>
    </row>
    <row r="107" spans="1:17" ht="15" thickTop="1">
      <c r="A107" s="599"/>
      <c r="B107" s="538" t="s">
        <v>2611</v>
      </c>
      <c r="C107" s="583"/>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4"/>
      <c r="Q108" s="504"/>
    </row>
    <row r="109" spans="1:17" ht="15" thickTop="1">
      <c r="A109" s="599"/>
      <c r="B109" s="538" t="s">
        <v>2612</v>
      </c>
      <c r="C109" s="554"/>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4"/>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5"/>
      <c r="Q113" s="559"/>
    </row>
    <row r="114" spans="1:17" ht="15" thickTop="1">
      <c r="A114" s="599"/>
      <c r="B114" s="538" t="s">
        <v>2613</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4"/>
      <c r="Q115" s="504"/>
    </row>
    <row r="116" spans="1:17" ht="15" thickTop="1">
      <c r="A116" s="599"/>
      <c r="B116" s="538" t="s">
        <v>2614</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2615</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4"/>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2616</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4"/>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2618</v>
      </c>
    </row>
    <row r="137" spans="1:17" ht="15">
      <c r="B137" s="2632" t="s">
        <v>2619</v>
      </c>
      <c r="C137" s="2633"/>
      <c r="D137" s="2633"/>
      <c r="E137" s="2633"/>
      <c r="F137" s="2633"/>
      <c r="G137" s="2634"/>
      <c r="H137" s="2635"/>
      <c r="I137" s="2636" t="s">
        <v>2620</v>
      </c>
      <c r="J137" s="2633"/>
      <c r="K137" s="2637"/>
    </row>
    <row r="138" spans="1:17" ht="15">
      <c r="B138" s="2638"/>
      <c r="C138" s="146" t="s">
        <v>2621</v>
      </c>
      <c r="D138" s="146" t="s">
        <v>2622</v>
      </c>
      <c r="E138" s="2639" t="s">
        <v>2623</v>
      </c>
      <c r="F138" s="2640" t="s">
        <v>2624</v>
      </c>
      <c r="G138" s="146" t="s">
        <v>2622</v>
      </c>
      <c r="H138" s="147" t="s">
        <v>2623</v>
      </c>
      <c r="I138" s="2641"/>
      <c r="J138" s="146" t="s">
        <v>2625</v>
      </c>
      <c r="K138" s="147" t="s">
        <v>2626</v>
      </c>
    </row>
    <row r="139" spans="1:17" ht="15">
      <c r="B139" s="1084">
        <v>6</v>
      </c>
      <c r="C139" s="1085">
        <v>96</v>
      </c>
      <c r="D139" s="2642" t="s">
        <v>2627</v>
      </c>
      <c r="E139" s="1086">
        <v>100</v>
      </c>
      <c r="F139" s="1087">
        <v>102.5</v>
      </c>
      <c r="G139" s="2642" t="s">
        <v>2627</v>
      </c>
      <c r="H139" s="1088">
        <v>105</v>
      </c>
      <c r="I139" s="2643" t="s">
        <v>2628</v>
      </c>
      <c r="J139" s="1085">
        <v>20</v>
      </c>
      <c r="K139" s="1089">
        <f>C145/(J139-2)</f>
        <v>4.0555555555555553E-3</v>
      </c>
    </row>
    <row r="140" spans="1:17" ht="15">
      <c r="B140" s="1090">
        <v>5</v>
      </c>
      <c r="C140" s="1091">
        <v>100</v>
      </c>
      <c r="D140" s="1091"/>
      <c r="E140" s="1092"/>
      <c r="F140" s="1093">
        <v>102</v>
      </c>
      <c r="G140" s="1091"/>
      <c r="H140" s="1094"/>
      <c r="I140" s="2644" t="s">
        <v>2629</v>
      </c>
      <c r="J140" s="315">
        <f>ROUNDUP((J139-1)/2,0)</f>
        <v>10</v>
      </c>
      <c r="K140" s="1095">
        <v>100</v>
      </c>
    </row>
    <row r="141" spans="1:17" ht="15">
      <c r="B141" s="1090">
        <v>4</v>
      </c>
      <c r="C141" s="1091">
        <v>102</v>
      </c>
      <c r="D141" s="1091"/>
      <c r="E141" s="1092"/>
      <c r="F141" s="1093">
        <v>101.5</v>
      </c>
      <c r="G141" s="1091"/>
      <c r="H141" s="1094"/>
      <c r="I141" s="2644" t="s">
        <v>2630</v>
      </c>
      <c r="J141" s="315">
        <v>1</v>
      </c>
      <c r="K141" s="1096">
        <f>ROUND(100+(J141-J140)*K139*100,1)</f>
        <v>96.4</v>
      </c>
    </row>
    <row r="142" spans="1:17" ht="15">
      <c r="B142" s="1090">
        <v>3</v>
      </c>
      <c r="C142" s="1091">
        <v>103</v>
      </c>
      <c r="D142" s="1091"/>
      <c r="E142" s="1092"/>
      <c r="F142" s="1093">
        <v>101</v>
      </c>
      <c r="G142" s="1091"/>
      <c r="H142" s="1094"/>
      <c r="I142" s="2644" t="s">
        <v>2631</v>
      </c>
      <c r="J142" s="315">
        <f>J139</f>
        <v>20</v>
      </c>
      <c r="K142" s="1097">
        <v>95</v>
      </c>
    </row>
    <row r="143" spans="1:17" ht="15">
      <c r="B143" s="1090">
        <v>2</v>
      </c>
      <c r="C143" s="1091">
        <v>100</v>
      </c>
      <c r="D143" s="1091"/>
      <c r="E143" s="1092"/>
      <c r="F143" s="1093">
        <v>100.5</v>
      </c>
      <c r="G143" s="1091"/>
      <c r="H143" s="1094"/>
      <c r="I143" s="2644" t="s">
        <v>2632</v>
      </c>
      <c r="J143" s="1091">
        <v>15</v>
      </c>
      <c r="K143" s="1096">
        <f>ROUND(100+(J143-J140)*K139*100,1)</f>
        <v>102</v>
      </c>
    </row>
    <row r="144" spans="1:17" ht="15">
      <c r="B144" s="1090">
        <v>1</v>
      </c>
      <c r="C144" s="1091">
        <v>98</v>
      </c>
      <c r="D144" s="2645" t="s">
        <v>2633</v>
      </c>
      <c r="E144" s="1092">
        <v>102</v>
      </c>
      <c r="F144" s="1098">
        <v>100</v>
      </c>
      <c r="G144" s="2645" t="s">
        <v>2633</v>
      </c>
      <c r="H144" s="1094">
        <v>105</v>
      </c>
      <c r="I144" s="2644" t="s">
        <v>2632</v>
      </c>
      <c r="J144" s="1091">
        <v>18</v>
      </c>
      <c r="K144" s="1096">
        <f>ROUND(100+(J144-J140)*K139*100,1)</f>
        <v>103.2</v>
      </c>
    </row>
    <row r="145" spans="2:11" ht="15.75" thickBot="1">
      <c r="B145" s="2646" t="s">
        <v>2634</v>
      </c>
      <c r="C145" s="1099">
        <f>ROUND(MAX(C139:C144)/MIN(C139:C144)-1,3)</f>
        <v>7.2999999999999995E-2</v>
      </c>
      <c r="D145" s="1100"/>
      <c r="E145" s="1100"/>
      <c r="F145" s="2647" t="s">
        <v>2635</v>
      </c>
      <c r="G145" s="2648"/>
      <c r="H145" s="2649"/>
      <c r="I145" s="2650" t="s">
        <v>2632</v>
      </c>
      <c r="J145" s="1101">
        <v>8</v>
      </c>
      <c r="K145" s="1102">
        <f>ROUND(100+(J145-J140)*K139*100,1)</f>
        <v>99.2</v>
      </c>
    </row>
    <row r="147" spans="2:11">
      <c r="B147" s="2631" t="s">
        <v>2636</v>
      </c>
    </row>
    <row r="148" spans="2:11">
      <c r="B148" s="2631"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E20 I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C10 E10 G10 I10" xr:uid="{00000000-0002-0000-2300-000011000000}">
      <formula1>土地年限区间</formula1>
    </dataValidation>
    <dataValidation type="list" allowBlank="1" showInputMessage="1" showErrorMessage="1" sqref="E9 G9 I9" xr:uid="{00000000-0002-0000-2300-000012000000}">
      <formula1>住宅用途</formula1>
    </dataValidation>
    <dataValidation type="list" allowBlank="1" showInputMessage="1" showErrorMessage="1" sqref="C22 E22 G22 I22" xr:uid="{00000000-0002-0000-2300-000013000000}">
      <formula1>基础设施水平</formula1>
    </dataValidation>
    <dataValidation type="list" allowBlank="1" showInputMessage="1" showErrorMessage="1" sqref="F1" xr:uid="{00000000-0002-0000-2300-000014000000}">
      <formula1>"售价,租金"</formula1>
    </dataValidation>
    <dataValidation type="list" allowBlank="1" showInputMessage="1" showErrorMessage="1" sqref="C2" xr:uid="{00000000-0002-0000-2300-000015000000}">
      <formula1>"需扣减承租人权益,——"</formula1>
    </dataValidation>
    <dataValidation type="list" allowBlank="1" showInputMessage="1" showErrorMessage="1" sqref="F2" xr:uid="{00000000-0002-0000-23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18"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2524</v>
      </c>
      <c r="B1" s="2576" t="s">
        <v>2638</v>
      </c>
      <c r="C1" s="1634" t="s">
        <v>2526</v>
      </c>
      <c r="D1" s="1621"/>
      <c r="E1" s="2651"/>
      <c r="F1" s="2578"/>
      <c r="G1" s="1631" t="s">
        <v>2639</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2323</v>
      </c>
      <c r="B2" s="1418" t="e">
        <f ca="1">IF(C2="——",ROUND(C49*D3/10000,0),ROUND(C49*D3/10000,0)-D2)</f>
        <v>#DIV/0!</v>
      </c>
      <c r="C2" s="2580"/>
      <c r="D2" s="1365" t="e">
        <f ca="1">SUMIF(INDIRECT("'"&amp;F2&amp;"'"&amp;"!A:A"),"承租人权益价值",INDIRECT("'"&amp;F2&amp;"'"&amp;"!c:c"))</f>
        <v>#REF!</v>
      </c>
      <c r="E2" s="2581" t="s">
        <v>2324</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2325</v>
      </c>
      <c r="B3" s="609" t="e">
        <f ca="1">IF(C2="——",C49,ROUND(B2*10000/D3,0))</f>
        <v>#DIV/0!</v>
      </c>
      <c r="C3" s="400" t="s">
        <v>2640</v>
      </c>
      <c r="D3" s="399">
        <f>IF(D1="",'数据-汇总表'!E3,SUMIF('数据-汇总表'!$C19:$C33,D1,'数据-汇总表'!$E19:$E33))</f>
        <v>11757.189999999999</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2641</v>
      </c>
      <c r="B4" s="402"/>
      <c r="C4" s="3481" t="s">
        <v>2642</v>
      </c>
      <c r="D4" s="3482"/>
      <c r="E4" s="3483" t="s">
        <v>2643</v>
      </c>
      <c r="F4" s="3484"/>
      <c r="G4" s="3481" t="s">
        <v>2644</v>
      </c>
      <c r="H4" s="3482"/>
      <c r="I4" s="3481" t="s">
        <v>2645</v>
      </c>
      <c r="J4" s="3482"/>
      <c r="K4" s="610" t="s">
        <v>2646</v>
      </c>
      <c r="L4" s="1130"/>
      <c r="M4" s="1131"/>
      <c r="N4" s="1131"/>
      <c r="O4" s="1131"/>
      <c r="P4" s="3485" t="s">
        <v>2647</v>
      </c>
      <c r="Q4" s="3486"/>
      <c r="R4" s="3491" t="s">
        <v>2643</v>
      </c>
      <c r="S4" s="3492"/>
      <c r="T4" s="3491" t="s">
        <v>2644</v>
      </c>
      <c r="U4" s="3492"/>
      <c r="V4" s="3497" t="s">
        <v>2645</v>
      </c>
      <c r="W4" s="3497"/>
      <c r="X4" s="1805"/>
      <c r="Y4" s="3491" t="s">
        <v>2647</v>
      </c>
      <c r="Z4" s="3492"/>
      <c r="AA4" s="3478" t="s">
        <v>2643</v>
      </c>
      <c r="AB4" s="3497" t="s">
        <v>2644</v>
      </c>
      <c r="AC4" s="3478" t="s">
        <v>2645</v>
      </c>
    </row>
    <row r="5" spans="1:29" ht="15">
      <c r="A5" s="404"/>
      <c r="B5" s="405"/>
      <c r="C5" s="3500" t="s">
        <v>2538</v>
      </c>
      <c r="D5" s="3501"/>
      <c r="E5" s="3507" t="s">
        <v>2539</v>
      </c>
      <c r="F5" s="3508"/>
      <c r="G5" s="3500" t="s">
        <v>2540</v>
      </c>
      <c r="H5" s="3501"/>
      <c r="I5" s="3500" t="s">
        <v>2541</v>
      </c>
      <c r="J5" s="3501"/>
      <c r="K5" s="610"/>
      <c r="L5" s="1130"/>
      <c r="M5" s="1131"/>
      <c r="N5" s="1131"/>
      <c r="O5" s="1131"/>
      <c r="P5" s="3487"/>
      <c r="Q5" s="3488"/>
      <c r="R5" s="3493"/>
      <c r="S5" s="3494"/>
      <c r="T5" s="3493"/>
      <c r="U5" s="3494"/>
      <c r="V5" s="3497"/>
      <c r="W5" s="3497"/>
      <c r="X5" s="1805"/>
      <c r="Y5" s="3493"/>
      <c r="Z5" s="3494"/>
      <c r="AA5" s="3479"/>
      <c r="AB5" s="3497"/>
      <c r="AC5" s="3479"/>
    </row>
    <row r="6" spans="1:29" ht="15.75" thickBot="1">
      <c r="A6" s="406"/>
      <c r="B6" s="407"/>
      <c r="C6" s="3498" t="s">
        <v>2542</v>
      </c>
      <c r="D6" s="3499"/>
      <c r="E6" s="3505" t="s">
        <v>2542</v>
      </c>
      <c r="F6" s="3506"/>
      <c r="G6" s="3498" t="s">
        <v>2542</v>
      </c>
      <c r="H6" s="3499"/>
      <c r="I6" s="3498" t="s">
        <v>2542</v>
      </c>
      <c r="J6" s="3499"/>
      <c r="K6" s="610" t="s">
        <v>2543</v>
      </c>
      <c r="L6" s="1130"/>
      <c r="M6" s="1131"/>
      <c r="N6" s="1131"/>
      <c r="O6" s="1131"/>
      <c r="P6" s="3489"/>
      <c r="Q6" s="3490"/>
      <c r="R6" s="3493"/>
      <c r="S6" s="3494"/>
      <c r="T6" s="3495"/>
      <c r="U6" s="3496"/>
      <c r="V6" s="3497"/>
      <c r="W6" s="3497"/>
      <c r="X6" s="1805"/>
      <c r="Y6" s="3495"/>
      <c r="Z6" s="3496"/>
      <c r="AA6" s="3480"/>
      <c r="AB6" s="3497"/>
      <c r="AC6" s="3480"/>
    </row>
    <row r="7" spans="1:29" s="117" customFormat="1" ht="15.75" thickBot="1">
      <c r="A7" s="408" t="s">
        <v>2544</v>
      </c>
      <c r="B7" s="409"/>
      <c r="C7" s="410">
        <f>'数据-取费表'!B2</f>
        <v>44425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502" t="s">
        <v>2545</v>
      </c>
      <c r="Q7" s="3504"/>
      <c r="R7" s="770" t="s">
        <v>17</v>
      </c>
      <c r="S7" s="771">
        <f t="shared" ref="S7:S15" si="0">F7</f>
        <v>0</v>
      </c>
      <c r="T7" s="770" t="s">
        <v>17</v>
      </c>
      <c r="U7" s="771">
        <f t="shared" ref="U7:U15" si="1">H7</f>
        <v>0</v>
      </c>
      <c r="V7" s="770" t="s">
        <v>17</v>
      </c>
      <c r="W7" s="771">
        <f t="shared" ref="W7:W15" si="2">J7</f>
        <v>0</v>
      </c>
      <c r="X7" s="772"/>
      <c r="Y7" s="3502" t="s">
        <v>2545</v>
      </c>
      <c r="Z7" s="3503"/>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502" t="s">
        <v>2548</v>
      </c>
      <c r="Q8" s="3503"/>
      <c r="R8" s="770" t="s">
        <v>17</v>
      </c>
      <c r="S8" s="771">
        <f t="shared" si="0"/>
        <v>0</v>
      </c>
      <c r="T8" s="770" t="s">
        <v>17</v>
      </c>
      <c r="U8" s="771">
        <f t="shared" si="1"/>
        <v>0</v>
      </c>
      <c r="V8" s="770" t="s">
        <v>17</v>
      </c>
      <c r="W8" s="771">
        <f t="shared" si="2"/>
        <v>0</v>
      </c>
      <c r="X8" s="772"/>
      <c r="Y8" s="3502" t="s">
        <v>2548</v>
      </c>
      <c r="Z8" s="3503"/>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477" t="s">
        <v>2551</v>
      </c>
      <c r="Q9" s="1787" t="str">
        <f t="shared" ref="Q9:Q15" si="6">B9</f>
        <v>用途</v>
      </c>
      <c r="R9" s="770" t="s">
        <v>17</v>
      </c>
      <c r="S9" s="771">
        <f t="shared" si="0"/>
        <v>100</v>
      </c>
      <c r="T9" s="770" t="s">
        <v>17</v>
      </c>
      <c r="U9" s="771">
        <f t="shared" si="1"/>
        <v>100</v>
      </c>
      <c r="V9" s="770" t="s">
        <v>17</v>
      </c>
      <c r="W9" s="771">
        <f t="shared" si="2"/>
        <v>100</v>
      </c>
      <c r="X9" s="772"/>
      <c r="Y9" s="3259"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477"/>
      <c r="Q10" s="1787" t="str">
        <f t="shared" si="6"/>
        <v>土地使用年限（年）</v>
      </c>
      <c r="R10" s="770" t="s">
        <v>17</v>
      </c>
      <c r="S10" s="771">
        <f t="shared" si="0"/>
        <v>100</v>
      </c>
      <c r="T10" s="770" t="s">
        <v>17</v>
      </c>
      <c r="U10" s="771">
        <f t="shared" si="1"/>
        <v>100</v>
      </c>
      <c r="V10" s="770" t="s">
        <v>17</v>
      </c>
      <c r="W10" s="771">
        <f t="shared" si="2"/>
        <v>100</v>
      </c>
      <c r="X10" s="772"/>
      <c r="Y10" s="3259"/>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477"/>
      <c r="Q11" s="1787" t="str">
        <f t="shared" si="6"/>
        <v>容积率</v>
      </c>
      <c r="R11" s="770" t="s">
        <v>17</v>
      </c>
      <c r="S11" s="771" t="e">
        <f t="shared" si="0"/>
        <v>#N/A</v>
      </c>
      <c r="T11" s="770" t="s">
        <v>17</v>
      </c>
      <c r="U11" s="771" t="e">
        <f t="shared" si="1"/>
        <v>#N/A</v>
      </c>
      <c r="V11" s="770" t="s">
        <v>17</v>
      </c>
      <c r="W11" s="771" t="e">
        <f t="shared" si="2"/>
        <v>#N/A</v>
      </c>
      <c r="X11" s="772"/>
      <c r="Y11" s="3259"/>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477"/>
      <c r="Q12" s="1787">
        <f t="shared" si="6"/>
        <v>111</v>
      </c>
      <c r="R12" s="770" t="s">
        <v>17</v>
      </c>
      <c r="S12" s="771">
        <f t="shared" si="0"/>
        <v>100</v>
      </c>
      <c r="T12" s="770" t="s">
        <v>17</v>
      </c>
      <c r="U12" s="771">
        <f t="shared" si="1"/>
        <v>100</v>
      </c>
      <c r="V12" s="770" t="s">
        <v>17</v>
      </c>
      <c r="W12" s="771">
        <f t="shared" si="2"/>
        <v>100</v>
      </c>
      <c r="X12" s="772"/>
      <c r="Y12" s="3259"/>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477"/>
      <c r="Q13" s="1787">
        <f t="shared" si="6"/>
        <v>111</v>
      </c>
      <c r="R13" s="770" t="s">
        <v>17</v>
      </c>
      <c r="S13" s="771">
        <f t="shared" si="0"/>
        <v>100</v>
      </c>
      <c r="T13" s="770" t="s">
        <v>17</v>
      </c>
      <c r="U13" s="771">
        <f t="shared" si="1"/>
        <v>100</v>
      </c>
      <c r="V13" s="770" t="s">
        <v>17</v>
      </c>
      <c r="W13" s="771">
        <f t="shared" si="2"/>
        <v>100</v>
      </c>
      <c r="X13" s="772"/>
      <c r="Y13" s="3259"/>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477"/>
      <c r="Q14" s="1787">
        <f t="shared" si="6"/>
        <v>111</v>
      </c>
      <c r="R14" s="770" t="s">
        <v>17</v>
      </c>
      <c r="S14" s="771">
        <f t="shared" si="0"/>
        <v>100</v>
      </c>
      <c r="T14" s="770" t="s">
        <v>17</v>
      </c>
      <c r="U14" s="771">
        <f t="shared" si="1"/>
        <v>100</v>
      </c>
      <c r="V14" s="770" t="s">
        <v>17</v>
      </c>
      <c r="W14" s="771">
        <f t="shared" si="2"/>
        <v>100</v>
      </c>
      <c r="X14" s="772"/>
      <c r="Y14" s="3259"/>
      <c r="Z14" s="55">
        <f t="shared" si="7"/>
        <v>111</v>
      </c>
      <c r="AA14" s="773">
        <f t="shared" si="3"/>
        <v>1</v>
      </c>
      <c r="AB14" s="773">
        <f t="shared" si="4"/>
        <v>1</v>
      </c>
      <c r="AC14" s="773">
        <f t="shared" si="5"/>
        <v>1</v>
      </c>
    </row>
    <row r="15" spans="1:29" ht="71.25">
      <c r="A15" s="440" t="s">
        <v>2555</v>
      </c>
      <c r="B15" s="69" t="s">
        <v>2649</v>
      </c>
      <c r="C15" s="259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475" t="s">
        <v>2556</v>
      </c>
      <c r="Q15" s="1802" t="str">
        <f t="shared" si="6"/>
        <v>商业繁华度</v>
      </c>
      <c r="R15" s="774" t="s">
        <v>17</v>
      </c>
      <c r="S15" s="775">
        <f t="shared" si="0"/>
        <v>100</v>
      </c>
      <c r="T15" s="774" t="s">
        <v>17</v>
      </c>
      <c r="U15" s="775">
        <f t="shared" si="1"/>
        <v>100</v>
      </c>
      <c r="V15" s="774" t="s">
        <v>17</v>
      </c>
      <c r="W15" s="775">
        <f t="shared" si="2"/>
        <v>100</v>
      </c>
      <c r="X15" s="1805"/>
      <c r="Y15" s="3468" t="s">
        <v>2556</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476"/>
      <c r="Q16" s="1802"/>
      <c r="R16" s="774"/>
      <c r="S16" s="775"/>
      <c r="T16" s="774"/>
      <c r="U16" s="775"/>
      <c r="V16" s="774"/>
      <c r="W16" s="775"/>
      <c r="X16" s="1805"/>
      <c r="Y16" s="3469"/>
      <c r="Z16" s="1806"/>
      <c r="AA16" s="1803">
        <v>1</v>
      </c>
      <c r="AB16" s="1803">
        <v>1</v>
      </c>
      <c r="AC16" s="1803">
        <v>1</v>
      </c>
    </row>
    <row r="17" spans="1:29" ht="85.5">
      <c r="A17" s="428"/>
      <c r="B17" s="451" t="s">
        <v>2092</v>
      </c>
      <c r="C17" s="260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476"/>
      <c r="Q17" s="1802" t="str">
        <f>B17</f>
        <v>交通便捷度</v>
      </c>
      <c r="R17" s="774" t="s">
        <v>17</v>
      </c>
      <c r="S17" s="775">
        <f>F17</f>
        <v>100</v>
      </c>
      <c r="T17" s="774" t="s">
        <v>17</v>
      </c>
      <c r="U17" s="775">
        <f>H17</f>
        <v>100</v>
      </c>
      <c r="V17" s="774" t="s">
        <v>17</v>
      </c>
      <c r="W17" s="775">
        <f>J17</f>
        <v>100</v>
      </c>
      <c r="X17" s="1805"/>
      <c r="Y17" s="3469"/>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1"/>
      <c r="P18" s="3476"/>
      <c r="Q18" s="1802"/>
      <c r="R18" s="774"/>
      <c r="S18" s="775"/>
      <c r="T18" s="774"/>
      <c r="U18" s="775"/>
      <c r="V18" s="774"/>
      <c r="W18" s="775"/>
      <c r="X18" s="1805"/>
      <c r="Y18" s="3469"/>
      <c r="Z18" s="1806"/>
      <c r="AA18" s="1803">
        <v>1</v>
      </c>
      <c r="AB18" s="1803">
        <v>1</v>
      </c>
      <c r="AC18" s="1803">
        <v>1</v>
      </c>
    </row>
    <row r="19" spans="1:29" ht="42.75">
      <c r="A19" s="428"/>
      <c r="B19" s="451" t="s">
        <v>2650</v>
      </c>
      <c r="C19" s="260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476"/>
      <c r="Q19" s="1802" t="str">
        <f>B19</f>
        <v>公共配套设施</v>
      </c>
      <c r="R19" s="774" t="s">
        <v>17</v>
      </c>
      <c r="S19" s="775">
        <f>F19</f>
        <v>100</v>
      </c>
      <c r="T19" s="774" t="s">
        <v>17</v>
      </c>
      <c r="U19" s="775">
        <f>H19</f>
        <v>100</v>
      </c>
      <c r="V19" s="774" t="s">
        <v>17</v>
      </c>
      <c r="W19" s="775">
        <f>J19</f>
        <v>100</v>
      </c>
      <c r="X19" s="1805"/>
      <c r="Y19" s="3469"/>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1"/>
      <c r="P20" s="3476"/>
      <c r="Q20" s="1802"/>
      <c r="R20" s="774"/>
      <c r="S20" s="775"/>
      <c r="T20" s="774"/>
      <c r="U20" s="775"/>
      <c r="V20" s="774"/>
      <c r="W20" s="775"/>
      <c r="X20" s="1805"/>
      <c r="Y20" s="3469"/>
      <c r="Z20" s="1806"/>
      <c r="AA20" s="1803">
        <v>1</v>
      </c>
      <c r="AB20" s="1803">
        <v>1</v>
      </c>
      <c r="AC20" s="1803">
        <v>1</v>
      </c>
    </row>
    <row r="21" spans="1:29" ht="28.5">
      <c r="A21" s="428"/>
      <c r="B21" s="1384" t="s">
        <v>2651</v>
      </c>
      <c r="C21" s="260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476"/>
      <c r="Q21" s="1802" t="str">
        <f>B21</f>
        <v>基础设施水平</v>
      </c>
      <c r="R21" s="774" t="s">
        <v>17</v>
      </c>
      <c r="S21" s="775">
        <f>F21</f>
        <v>100</v>
      </c>
      <c r="T21" s="774" t="s">
        <v>17</v>
      </c>
      <c r="U21" s="775">
        <f>H21</f>
        <v>100</v>
      </c>
      <c r="V21" s="774" t="s">
        <v>17</v>
      </c>
      <c r="W21" s="775">
        <f>J21</f>
        <v>100</v>
      </c>
      <c r="X21" s="1805"/>
      <c r="Y21" s="3469"/>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1"/>
      <c r="P22" s="3476"/>
      <c r="Q22" s="1802"/>
      <c r="R22" s="774"/>
      <c r="S22" s="775"/>
      <c r="T22" s="774"/>
      <c r="U22" s="775"/>
      <c r="V22" s="774"/>
      <c r="W22" s="775"/>
      <c r="X22" s="1805"/>
      <c r="Y22" s="3469"/>
      <c r="Z22" s="1806"/>
      <c r="AA22" s="1803">
        <v>1</v>
      </c>
      <c r="AB22" s="1803">
        <v>1</v>
      </c>
      <c r="AC22" s="1803">
        <v>1</v>
      </c>
    </row>
    <row r="23" spans="1:29" ht="57">
      <c r="A23" s="428"/>
      <c r="B23" s="451" t="s">
        <v>2097</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476"/>
      <c r="Q23" s="1802" t="str">
        <f>B23</f>
        <v>自然及人文环境</v>
      </c>
      <c r="R23" s="774" t="s">
        <v>17</v>
      </c>
      <c r="S23" s="775">
        <f>F23</f>
        <v>100</v>
      </c>
      <c r="T23" s="774" t="s">
        <v>17</v>
      </c>
      <c r="U23" s="775">
        <f>H23</f>
        <v>100</v>
      </c>
      <c r="V23" s="774" t="s">
        <v>17</v>
      </c>
      <c r="W23" s="775">
        <f>J23</f>
        <v>100</v>
      </c>
      <c r="X23" s="1805"/>
      <c r="Y23" s="3469"/>
      <c r="Z23" s="1806" t="str">
        <f>Q23</f>
        <v>自然及人文环境</v>
      </c>
      <c r="AA23" s="1803">
        <f t="shared" si="3"/>
        <v>1</v>
      </c>
      <c r="AB23" s="1803">
        <f t="shared" si="4"/>
        <v>1</v>
      </c>
      <c r="AC23" s="1803">
        <f t="shared" si="5"/>
        <v>1</v>
      </c>
    </row>
    <row r="24" spans="1:29" ht="15">
      <c r="A24" s="428"/>
      <c r="B24" s="456"/>
      <c r="C24" s="447"/>
      <c r="D24" s="448"/>
      <c r="E24" s="2599"/>
      <c r="F24" s="449"/>
      <c r="G24" s="2598"/>
      <c r="H24" s="448"/>
      <c r="I24" s="2599"/>
      <c r="J24" s="448"/>
      <c r="K24" s="615"/>
      <c r="L24" s="1140"/>
      <c r="M24" s="1131"/>
      <c r="N24" s="1131"/>
      <c r="O24" s="1131"/>
      <c r="P24" s="3476"/>
      <c r="Q24" s="1802"/>
      <c r="R24" s="774"/>
      <c r="S24" s="775"/>
      <c r="T24" s="774"/>
      <c r="U24" s="775"/>
      <c r="V24" s="774"/>
      <c r="W24" s="775"/>
      <c r="X24" s="1805"/>
      <c r="Y24" s="3469"/>
      <c r="Z24" s="1806"/>
      <c r="AA24" s="1803">
        <v>1</v>
      </c>
      <c r="AB24" s="1803">
        <v>1</v>
      </c>
      <c r="AC24" s="1803">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476"/>
      <c r="Q25" s="1802" t="str">
        <f t="shared" ref="Q25:Q46" si="11">B25</f>
        <v>临街状况</v>
      </c>
      <c r="R25" s="774" t="s">
        <v>17</v>
      </c>
      <c r="S25" s="775">
        <f>F25</f>
        <v>100</v>
      </c>
      <c r="T25" s="774" t="s">
        <v>17</v>
      </c>
      <c r="U25" s="775">
        <f>H25</f>
        <v>100</v>
      </c>
      <c r="V25" s="774" t="s">
        <v>17</v>
      </c>
      <c r="W25" s="775">
        <f>J25</f>
        <v>100</v>
      </c>
      <c r="X25" s="1805"/>
      <c r="Y25" s="3469"/>
      <c r="Z25" s="1806" t="str">
        <f>Q25</f>
        <v>临街状况</v>
      </c>
      <c r="AA25" s="1803">
        <f t="shared" si="3"/>
        <v>1</v>
      </c>
      <c r="AB25" s="1803">
        <f t="shared" si="4"/>
        <v>1</v>
      </c>
      <c r="AC25" s="1803">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476"/>
      <c r="Q26" s="1802" t="str">
        <f t="shared" si="11"/>
        <v>平面位置/可视性</v>
      </c>
      <c r="R26" s="774" t="s">
        <v>17</v>
      </c>
      <c r="S26" s="775">
        <f>F26</f>
        <v>100</v>
      </c>
      <c r="T26" s="774" t="s">
        <v>17</v>
      </c>
      <c r="U26" s="775">
        <f>H26</f>
        <v>100</v>
      </c>
      <c r="V26" s="774" t="s">
        <v>17</v>
      </c>
      <c r="W26" s="775">
        <f>J26</f>
        <v>100</v>
      </c>
      <c r="X26" s="1805"/>
      <c r="Y26" s="3469"/>
      <c r="Z26" s="1806" t="str">
        <f>Q26</f>
        <v>平面位置/可视性</v>
      </c>
      <c r="AA26" s="1803">
        <f t="shared" si="3"/>
        <v>1</v>
      </c>
      <c r="AB26" s="1803">
        <f t="shared" si="4"/>
        <v>1</v>
      </c>
      <c r="AC26" s="1803">
        <f t="shared" si="5"/>
        <v>1</v>
      </c>
    </row>
    <row r="27" spans="1:29" s="117" customFormat="1" ht="15">
      <c r="A27" s="431"/>
      <c r="B27" s="451" t="s">
        <v>2654</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476"/>
      <c r="Q27" s="1787" t="str">
        <f t="shared" si="11"/>
        <v>人流量</v>
      </c>
      <c r="R27" s="770" t="s">
        <v>17</v>
      </c>
      <c r="S27" s="771">
        <f>F27</f>
        <v>100</v>
      </c>
      <c r="T27" s="770" t="s">
        <v>17</v>
      </c>
      <c r="U27" s="771">
        <f>H27</f>
        <v>100</v>
      </c>
      <c r="V27" s="770" t="s">
        <v>17</v>
      </c>
      <c r="W27" s="771">
        <f>J27</f>
        <v>100</v>
      </c>
      <c r="X27" s="772"/>
      <c r="Y27" s="3469"/>
      <c r="Z27" s="55" t="str">
        <f>Q27</f>
        <v>人流量</v>
      </c>
      <c r="AA27" s="1803">
        <f>D27/F27</f>
        <v>1</v>
      </c>
      <c r="AB27" s="1803">
        <f>D27/H27</f>
        <v>1</v>
      </c>
      <c r="AC27" s="1803">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476"/>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469"/>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476"/>
      <c r="Q29" s="1802">
        <f t="shared" si="11"/>
        <v>111</v>
      </c>
      <c r="R29" s="774" t="s">
        <v>17</v>
      </c>
      <c r="S29" s="775">
        <f t="shared" si="12"/>
        <v>100</v>
      </c>
      <c r="T29" s="774" t="s">
        <v>17</v>
      </c>
      <c r="U29" s="775">
        <f t="shared" si="13"/>
        <v>100</v>
      </c>
      <c r="V29" s="774" t="s">
        <v>17</v>
      </c>
      <c r="W29" s="775">
        <f t="shared" si="14"/>
        <v>100</v>
      </c>
      <c r="X29" s="1805"/>
      <c r="Y29" s="3469"/>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476"/>
      <c r="Q30" s="1802">
        <f t="shared" si="11"/>
        <v>111</v>
      </c>
      <c r="R30" s="774" t="s">
        <v>17</v>
      </c>
      <c r="S30" s="775">
        <f t="shared" si="12"/>
        <v>100</v>
      </c>
      <c r="T30" s="774" t="s">
        <v>17</v>
      </c>
      <c r="U30" s="775">
        <f t="shared" si="13"/>
        <v>100</v>
      </c>
      <c r="V30" s="774" t="s">
        <v>17</v>
      </c>
      <c r="W30" s="775">
        <f t="shared" si="14"/>
        <v>100</v>
      </c>
      <c r="X30" s="1805"/>
      <c r="Y30" s="3469"/>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476"/>
      <c r="Q31" s="1802">
        <f t="shared" si="11"/>
        <v>111</v>
      </c>
      <c r="R31" s="774" t="s">
        <v>17</v>
      </c>
      <c r="S31" s="775">
        <f t="shared" si="12"/>
        <v>100</v>
      </c>
      <c r="T31" s="774" t="s">
        <v>17</v>
      </c>
      <c r="U31" s="775">
        <f t="shared" si="13"/>
        <v>100</v>
      </c>
      <c r="V31" s="774" t="s">
        <v>17</v>
      </c>
      <c r="W31" s="775">
        <f t="shared" si="14"/>
        <v>100</v>
      </c>
      <c r="X31" s="1805"/>
      <c r="Y31" s="3469"/>
      <c r="Z31" s="1806">
        <f t="shared" si="15"/>
        <v>111</v>
      </c>
      <c r="AA31" s="1803">
        <f t="shared" si="3"/>
        <v>1</v>
      </c>
      <c r="AB31" s="1803">
        <f t="shared" si="4"/>
        <v>1</v>
      </c>
      <c r="AC31" s="1803">
        <f t="shared" si="5"/>
        <v>1</v>
      </c>
    </row>
    <row r="32" spans="1:29" ht="15">
      <c r="A32" s="440" t="s">
        <v>2559</v>
      </c>
      <c r="B32" s="71" t="s">
        <v>2656</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40"/>
      <c r="M32" s="1131"/>
      <c r="N32" s="1131"/>
      <c r="O32" s="1131"/>
      <c r="P32" s="3470" t="s">
        <v>2561</v>
      </c>
      <c r="Q32" s="1802" t="str">
        <f t="shared" si="11"/>
        <v>商业类型</v>
      </c>
      <c r="R32" s="774" t="s">
        <v>17</v>
      </c>
      <c r="S32" s="775">
        <f t="shared" si="12"/>
        <v>100</v>
      </c>
      <c r="T32" s="774" t="s">
        <v>17</v>
      </c>
      <c r="U32" s="775">
        <f t="shared" si="13"/>
        <v>100</v>
      </c>
      <c r="V32" s="774" t="s">
        <v>17</v>
      </c>
      <c r="W32" s="775">
        <f t="shared" si="14"/>
        <v>100</v>
      </c>
      <c r="X32" s="1805"/>
      <c r="Y32" s="3473" t="s">
        <v>2561</v>
      </c>
      <c r="Z32" s="1806" t="str">
        <f t="shared" si="15"/>
        <v>商业类型</v>
      </c>
      <c r="AA32" s="1803">
        <f t="shared" si="3"/>
        <v>1</v>
      </c>
      <c r="AB32" s="1803">
        <f t="shared" si="4"/>
        <v>1</v>
      </c>
      <c r="AC32" s="1803">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471"/>
      <c r="Q33" s="776" t="str">
        <f t="shared" si="11"/>
        <v>项目建筑规模</v>
      </c>
      <c r="R33" s="777" t="s">
        <v>17</v>
      </c>
      <c r="S33" s="778" t="e">
        <f t="shared" si="12"/>
        <v>#N/A</v>
      </c>
      <c r="T33" s="777" t="s">
        <v>17</v>
      </c>
      <c r="U33" s="778" t="e">
        <f t="shared" si="13"/>
        <v>#N/A</v>
      </c>
      <c r="V33" s="777" t="s">
        <v>17</v>
      </c>
      <c r="W33" s="778" t="e">
        <f t="shared" si="14"/>
        <v>#N/A</v>
      </c>
      <c r="X33" s="779"/>
      <c r="Y33" s="3473"/>
      <c r="Z33" s="780" t="str">
        <f t="shared" si="15"/>
        <v>项目建筑规模</v>
      </c>
      <c r="AA33" s="1803" t="e">
        <f t="shared" si="3"/>
        <v>#N/A</v>
      </c>
      <c r="AB33" s="1803" t="e">
        <f t="shared" si="4"/>
        <v>#N/A</v>
      </c>
      <c r="AC33" s="1803" t="e">
        <f t="shared" si="5"/>
        <v>#N/A</v>
      </c>
    </row>
    <row r="34" spans="1:29" ht="15">
      <c r="A34" s="472"/>
      <c r="B34" s="422" t="s">
        <v>2563</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40"/>
      <c r="M34" s="1131"/>
      <c r="N34" s="1131"/>
      <c r="O34" s="1131"/>
      <c r="P34" s="3471"/>
      <c r="Q34" s="1802" t="str">
        <f t="shared" si="11"/>
        <v>建筑结构</v>
      </c>
      <c r="R34" s="774" t="s">
        <v>17</v>
      </c>
      <c r="S34" s="775">
        <f t="shared" si="12"/>
        <v>100</v>
      </c>
      <c r="T34" s="774" t="s">
        <v>17</v>
      </c>
      <c r="U34" s="775">
        <f t="shared" si="13"/>
        <v>100</v>
      </c>
      <c r="V34" s="774" t="s">
        <v>17</v>
      </c>
      <c r="W34" s="775">
        <f t="shared" si="14"/>
        <v>100</v>
      </c>
      <c r="X34" s="1805"/>
      <c r="Y34" s="3473"/>
      <c r="Z34" s="1806" t="str">
        <f t="shared" si="15"/>
        <v>建筑结构</v>
      </c>
      <c r="AA34" s="1803">
        <f t="shared" si="3"/>
        <v>1</v>
      </c>
      <c r="AB34" s="1803">
        <f t="shared" si="4"/>
        <v>1</v>
      </c>
      <c r="AC34" s="1803">
        <f t="shared" si="5"/>
        <v>1</v>
      </c>
    </row>
    <row r="35" spans="1:29" ht="15">
      <c r="A35" s="472"/>
      <c r="B35" s="422" t="s">
        <v>2657</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40"/>
      <c r="M35" s="1131"/>
      <c r="N35" s="1131"/>
      <c r="O35" s="1131"/>
      <c r="P35" s="3471"/>
      <c r="Q35" s="1802" t="str">
        <f t="shared" si="11"/>
        <v>公共部分装修</v>
      </c>
      <c r="R35" s="774" t="s">
        <v>17</v>
      </c>
      <c r="S35" s="775">
        <f t="shared" si="12"/>
        <v>100</v>
      </c>
      <c r="T35" s="774" t="s">
        <v>17</v>
      </c>
      <c r="U35" s="775">
        <f t="shared" si="13"/>
        <v>100</v>
      </c>
      <c r="V35" s="774" t="s">
        <v>17</v>
      </c>
      <c r="W35" s="775">
        <f t="shared" si="14"/>
        <v>100</v>
      </c>
      <c r="X35" s="1805"/>
      <c r="Y35" s="3473"/>
      <c r="Z35" s="1806" t="str">
        <f t="shared" si="15"/>
        <v>公共部分装修</v>
      </c>
      <c r="AA35" s="1803">
        <f t="shared" si="3"/>
        <v>1</v>
      </c>
      <c r="AB35" s="1803">
        <f t="shared" si="4"/>
        <v>1</v>
      </c>
      <c r="AC35" s="1803">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471"/>
      <c r="Q36" s="1802" t="str">
        <f t="shared" si="11"/>
        <v>成新度</v>
      </c>
      <c r="R36" s="774" t="s">
        <v>17</v>
      </c>
      <c r="S36" s="775" t="e">
        <f t="shared" si="12"/>
        <v>#N/A</v>
      </c>
      <c r="T36" s="774" t="s">
        <v>17</v>
      </c>
      <c r="U36" s="775" t="e">
        <f t="shared" si="13"/>
        <v>#N/A</v>
      </c>
      <c r="V36" s="774" t="s">
        <v>17</v>
      </c>
      <c r="W36" s="775" t="e">
        <f t="shared" si="14"/>
        <v>#N/A</v>
      </c>
      <c r="X36" s="1805"/>
      <c r="Y36" s="3473"/>
      <c r="Z36" s="1806" t="str">
        <f t="shared" si="15"/>
        <v>成新度</v>
      </c>
      <c r="AA36" s="1803" t="e">
        <f t="shared" si="3"/>
        <v>#N/A</v>
      </c>
      <c r="AB36" s="1803" t="e">
        <f t="shared" si="4"/>
        <v>#N/A</v>
      </c>
      <c r="AC36" s="1803" t="e">
        <f t="shared" si="5"/>
        <v>#N/A</v>
      </c>
    </row>
    <row r="37" spans="1:29" s="117" customFormat="1" ht="15">
      <c r="A37" s="473"/>
      <c r="B37" s="422" t="s">
        <v>2659</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32"/>
      <c r="M37" s="1133"/>
      <c r="N37" s="1133"/>
      <c r="O37" s="1133"/>
      <c r="P37" s="3471"/>
      <c r="Q37" s="1787" t="str">
        <f t="shared" si="11"/>
        <v>市政基础设施</v>
      </c>
      <c r="R37" s="770" t="s">
        <v>17</v>
      </c>
      <c r="S37" s="771">
        <f t="shared" si="12"/>
        <v>100</v>
      </c>
      <c r="T37" s="770" t="s">
        <v>17</v>
      </c>
      <c r="U37" s="771">
        <f t="shared" si="13"/>
        <v>100</v>
      </c>
      <c r="V37" s="770" t="s">
        <v>17</v>
      </c>
      <c r="W37" s="771">
        <f t="shared" si="14"/>
        <v>100</v>
      </c>
      <c r="X37" s="772"/>
      <c r="Y37" s="3473"/>
      <c r="Z37" s="55" t="str">
        <f t="shared" si="15"/>
        <v>市政基础设施</v>
      </c>
      <c r="AA37" s="773">
        <f t="shared" si="3"/>
        <v>1</v>
      </c>
      <c r="AB37" s="773">
        <f t="shared" si="4"/>
        <v>1</v>
      </c>
      <c r="AC37" s="773">
        <f t="shared" si="5"/>
        <v>1</v>
      </c>
    </row>
    <row r="38" spans="1:29" ht="15">
      <c r="A38" s="472"/>
      <c r="B38" s="422" t="s">
        <v>2660</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40"/>
      <c r="M38" s="1131"/>
      <c r="N38" s="1131"/>
      <c r="O38" s="1131"/>
      <c r="P38" s="3471" t="s">
        <v>2561</v>
      </c>
      <c r="Q38" s="1802" t="str">
        <f t="shared" si="11"/>
        <v>业态</v>
      </c>
      <c r="R38" s="774" t="s">
        <v>17</v>
      </c>
      <c r="S38" s="775">
        <f t="shared" si="12"/>
        <v>100</v>
      </c>
      <c r="T38" s="774" t="s">
        <v>17</v>
      </c>
      <c r="U38" s="775">
        <f t="shared" si="13"/>
        <v>100</v>
      </c>
      <c r="V38" s="774" t="s">
        <v>17</v>
      </c>
      <c r="W38" s="775">
        <f t="shared" si="14"/>
        <v>100</v>
      </c>
      <c r="X38" s="1805"/>
      <c r="Y38" s="3473" t="s">
        <v>2561</v>
      </c>
      <c r="Z38" s="1806" t="str">
        <f t="shared" si="15"/>
        <v>业态</v>
      </c>
      <c r="AA38" s="1803">
        <f t="shared" si="3"/>
        <v>1</v>
      </c>
      <c r="AB38" s="1803">
        <f t="shared" si="4"/>
        <v>1</v>
      </c>
      <c r="AC38" s="1803">
        <f t="shared" si="5"/>
        <v>1</v>
      </c>
    </row>
    <row r="39" spans="1:29" ht="15">
      <c r="A39" s="472"/>
      <c r="B39" s="422" t="s">
        <v>2661</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40"/>
      <c r="M39" s="1131"/>
      <c r="N39" s="1131"/>
      <c r="O39" s="1131"/>
      <c r="P39" s="3471"/>
      <c r="Q39" s="1802" t="str">
        <f t="shared" si="11"/>
        <v>层高</v>
      </c>
      <c r="R39" s="774" t="s">
        <v>17</v>
      </c>
      <c r="S39" s="775">
        <f t="shared" si="12"/>
        <v>100</v>
      </c>
      <c r="T39" s="774" t="s">
        <v>17</v>
      </c>
      <c r="U39" s="775">
        <f t="shared" si="13"/>
        <v>100</v>
      </c>
      <c r="V39" s="774" t="s">
        <v>17</v>
      </c>
      <c r="W39" s="775">
        <f t="shared" si="14"/>
        <v>100</v>
      </c>
      <c r="X39" s="1805"/>
      <c r="Y39" s="3473"/>
      <c r="Z39" s="1806" t="str">
        <f t="shared" si="15"/>
        <v>层高</v>
      </c>
      <c r="AA39" s="1803">
        <f t="shared" si="3"/>
        <v>1</v>
      </c>
      <c r="AB39" s="1803">
        <f t="shared" si="4"/>
        <v>1</v>
      </c>
      <c r="AC39" s="1803">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471"/>
      <c r="Q40" s="1802" t="str">
        <f t="shared" si="11"/>
        <v>单套建筑面积</v>
      </c>
      <c r="R40" s="774" t="s">
        <v>17</v>
      </c>
      <c r="S40" s="775">
        <f t="shared" si="12"/>
        <v>100</v>
      </c>
      <c r="T40" s="774" t="s">
        <v>17</v>
      </c>
      <c r="U40" s="775">
        <f t="shared" si="13"/>
        <v>100</v>
      </c>
      <c r="V40" s="774" t="s">
        <v>17</v>
      </c>
      <c r="W40" s="775">
        <f t="shared" si="14"/>
        <v>100</v>
      </c>
      <c r="X40" s="1805"/>
      <c r="Y40" s="3473"/>
      <c r="Z40" s="1806" t="str">
        <f t="shared" si="15"/>
        <v>单套建筑面积</v>
      </c>
      <c r="AA40" s="1803">
        <f t="shared" si="3"/>
        <v>1</v>
      </c>
      <c r="AB40" s="1803">
        <f t="shared" si="4"/>
        <v>1</v>
      </c>
      <c r="AC40" s="1803">
        <f t="shared" si="5"/>
        <v>1</v>
      </c>
    </row>
    <row r="41" spans="1:29" s="471" customFormat="1" ht="15">
      <c r="A41" s="468"/>
      <c r="B41" s="1804"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471"/>
      <c r="Q41" s="776" t="str">
        <f t="shared" si="11"/>
        <v>进深比</v>
      </c>
      <c r="R41" s="777" t="s">
        <v>17</v>
      </c>
      <c r="S41" s="778">
        <f t="shared" si="12"/>
        <v>100</v>
      </c>
      <c r="T41" s="777" t="s">
        <v>17</v>
      </c>
      <c r="U41" s="778">
        <f t="shared" si="13"/>
        <v>100</v>
      </c>
      <c r="V41" s="777" t="s">
        <v>17</v>
      </c>
      <c r="W41" s="778">
        <f t="shared" si="14"/>
        <v>100</v>
      </c>
      <c r="X41" s="779"/>
      <c r="Y41" s="3473"/>
      <c r="Z41" s="780" t="str">
        <f t="shared" si="15"/>
        <v>进深比</v>
      </c>
      <c r="AA41" s="1803">
        <f t="shared" si="3"/>
        <v>1</v>
      </c>
      <c r="AB41" s="1803">
        <f t="shared" si="4"/>
        <v>1</v>
      </c>
      <c r="AC41" s="1803">
        <f t="shared" si="5"/>
        <v>1</v>
      </c>
    </row>
    <row r="42" spans="1:29" ht="15">
      <c r="A42" s="472"/>
      <c r="B42" s="422" t="s">
        <v>2664</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40"/>
      <c r="M42" s="1131"/>
      <c r="N42" s="1131"/>
      <c r="O42" s="1131"/>
      <c r="P42" s="3471"/>
      <c r="Q42" s="1802" t="str">
        <f t="shared" si="11"/>
        <v>内部装修</v>
      </c>
      <c r="R42" s="774" t="s">
        <v>17</v>
      </c>
      <c r="S42" s="775">
        <f t="shared" si="12"/>
        <v>100</v>
      </c>
      <c r="T42" s="774" t="s">
        <v>17</v>
      </c>
      <c r="U42" s="775">
        <f t="shared" si="13"/>
        <v>100</v>
      </c>
      <c r="V42" s="774" t="s">
        <v>17</v>
      </c>
      <c r="W42" s="775">
        <f t="shared" si="14"/>
        <v>100</v>
      </c>
      <c r="X42" s="1805"/>
      <c r="Y42" s="3473"/>
      <c r="Z42" s="1806" t="str">
        <f t="shared" si="15"/>
        <v>内部装修</v>
      </c>
      <c r="AA42" s="1803">
        <f t="shared" si="3"/>
        <v>1</v>
      </c>
      <c r="AB42" s="1803">
        <f t="shared" si="4"/>
        <v>1</v>
      </c>
      <c r="AC42" s="1803">
        <f t="shared" si="5"/>
        <v>1</v>
      </c>
    </row>
    <row r="43" spans="1:29" ht="15">
      <c r="A43" s="472"/>
      <c r="B43" s="422" t="s">
        <v>2572</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40"/>
      <c r="M43" s="1131"/>
      <c r="N43" s="1131"/>
      <c r="O43" s="1131"/>
      <c r="P43" s="3471"/>
      <c r="Q43" s="1802" t="str">
        <f t="shared" si="11"/>
        <v>内部装修维护情况</v>
      </c>
      <c r="R43" s="774" t="s">
        <v>17</v>
      </c>
      <c r="S43" s="775">
        <f t="shared" si="12"/>
        <v>100</v>
      </c>
      <c r="T43" s="774" t="s">
        <v>17</v>
      </c>
      <c r="U43" s="775">
        <f t="shared" si="13"/>
        <v>100</v>
      </c>
      <c r="V43" s="774" t="s">
        <v>17</v>
      </c>
      <c r="W43" s="775">
        <f t="shared" si="14"/>
        <v>100</v>
      </c>
      <c r="X43" s="1805"/>
      <c r="Y43" s="3473"/>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471"/>
      <c r="Q44" s="1787">
        <f t="shared" si="11"/>
        <v>111</v>
      </c>
      <c r="R44" s="770" t="s">
        <v>17</v>
      </c>
      <c r="S44" s="771">
        <f t="shared" si="12"/>
        <v>100</v>
      </c>
      <c r="T44" s="770" t="s">
        <v>17</v>
      </c>
      <c r="U44" s="771">
        <f t="shared" si="13"/>
        <v>100</v>
      </c>
      <c r="V44" s="770" t="s">
        <v>17</v>
      </c>
      <c r="W44" s="771">
        <f t="shared" si="14"/>
        <v>100</v>
      </c>
      <c r="X44" s="772"/>
      <c r="Y44" s="347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471"/>
      <c r="Q45" s="1802">
        <f t="shared" si="11"/>
        <v>111</v>
      </c>
      <c r="R45" s="774" t="s">
        <v>17</v>
      </c>
      <c r="S45" s="775">
        <f t="shared" si="12"/>
        <v>100</v>
      </c>
      <c r="T45" s="774" t="s">
        <v>17</v>
      </c>
      <c r="U45" s="775">
        <f t="shared" si="13"/>
        <v>100</v>
      </c>
      <c r="V45" s="774" t="s">
        <v>17</v>
      </c>
      <c r="W45" s="775">
        <f t="shared" si="14"/>
        <v>100</v>
      </c>
      <c r="X45" s="1805"/>
      <c r="Y45" s="3473"/>
      <c r="Z45" s="1806">
        <f t="shared" si="15"/>
        <v>111</v>
      </c>
      <c r="AA45" s="1803">
        <f t="shared" si="3"/>
        <v>1</v>
      </c>
      <c r="AB45" s="1803">
        <f t="shared" si="4"/>
        <v>1</v>
      </c>
      <c r="AC45" s="1803">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472"/>
      <c r="Q46" s="1802">
        <f t="shared" si="11"/>
        <v>111</v>
      </c>
      <c r="R46" s="774" t="s">
        <v>17</v>
      </c>
      <c r="S46" s="775">
        <f t="shared" si="12"/>
        <v>100</v>
      </c>
      <c r="T46" s="774" t="s">
        <v>17</v>
      </c>
      <c r="U46" s="775">
        <f t="shared" si="13"/>
        <v>100</v>
      </c>
      <c r="V46" s="774" t="s">
        <v>17</v>
      </c>
      <c r="W46" s="775">
        <f t="shared" si="14"/>
        <v>100</v>
      </c>
      <c r="X46" s="1805"/>
      <c r="Y46" s="3474"/>
      <c r="Z46" s="1806">
        <f t="shared" si="15"/>
        <v>111</v>
      </c>
      <c r="AA46" s="1803">
        <f t="shared" si="3"/>
        <v>1</v>
      </c>
      <c r="AB46" s="1803">
        <f t="shared" si="4"/>
        <v>1</v>
      </c>
      <c r="AC46" s="1803">
        <f t="shared" si="5"/>
        <v>1</v>
      </c>
    </row>
    <row r="47" spans="1:29" ht="15">
      <c r="A47" s="479" t="s">
        <v>2573</v>
      </c>
      <c r="B47" s="480"/>
      <c r="C47" s="1407" t="s">
        <v>1</v>
      </c>
      <c r="D47" s="1408"/>
      <c r="E47" s="1409"/>
      <c r="F47" s="1410"/>
      <c r="G47" s="1411"/>
      <c r="H47" s="1412"/>
      <c r="I47" s="1409"/>
      <c r="J47" s="1412"/>
      <c r="K47" s="783"/>
      <c r="L47" s="1143"/>
      <c r="M47" s="1144"/>
      <c r="N47" s="1131"/>
      <c r="O47" s="1144"/>
      <c r="P47" s="3466" t="str">
        <f>A47</f>
        <v>成交单价（元/平方米）</v>
      </c>
      <c r="Q47" s="3466"/>
      <c r="R47" s="3497">
        <f>E47</f>
        <v>0</v>
      </c>
      <c r="S47" s="3497"/>
      <c r="T47" s="3497">
        <f>G47</f>
        <v>0</v>
      </c>
      <c r="U47" s="3497"/>
      <c r="V47" s="3497">
        <f>I47</f>
        <v>0</v>
      </c>
      <c r="W47" s="3497"/>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466" t="str">
        <f>A48</f>
        <v>比较价值（元/平方米）</v>
      </c>
      <c r="Q48" s="346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463" t="str">
        <f>A49</f>
        <v>估价对象XX用房的比较价值（楼面单价，元/平方米）</v>
      </c>
      <c r="Q49" s="3464"/>
      <c r="R49" s="3465" t="e">
        <f>IF(F1="售价",ROUND(AVERAGE(R48:V48),0),ROUND(AVERAGE(R48:V48),1))</f>
        <v>#DIV/0!</v>
      </c>
      <c r="S49" s="3465"/>
      <c r="T49" s="3465"/>
      <c r="U49" s="3465"/>
      <c r="V49" s="3465"/>
      <c r="W49" s="346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2544</v>
      </c>
      <c r="B58" s="506"/>
      <c r="C58" s="1574" t="str">
        <f>YEAR(C7)&amp;"-"&amp;MONTH(C7)</f>
        <v>2021-8</v>
      </c>
      <c r="D58" s="1575">
        <f>EDATE(C58,-1)</f>
        <v>44378</v>
      </c>
      <c r="E58" s="1575">
        <f t="shared" ref="E58:N58" si="16">EDATE(D58,-1)</f>
        <v>44348</v>
      </c>
      <c r="F58" s="1575">
        <f t="shared" si="16"/>
        <v>44317</v>
      </c>
      <c r="G58" s="1575">
        <f t="shared" si="16"/>
        <v>44287</v>
      </c>
      <c r="H58" s="1575">
        <f t="shared" si="16"/>
        <v>44256</v>
      </c>
      <c r="I58" s="1575">
        <f t="shared" si="16"/>
        <v>44228</v>
      </c>
      <c r="J58" s="1575">
        <f t="shared" si="16"/>
        <v>44197</v>
      </c>
      <c r="K58" s="1575">
        <f t="shared" si="16"/>
        <v>44166</v>
      </c>
      <c r="L58" s="1575">
        <f t="shared" si="16"/>
        <v>44136</v>
      </c>
      <c r="M58" s="1575">
        <f t="shared" si="16"/>
        <v>44105</v>
      </c>
      <c r="N58" s="1575">
        <f t="shared" si="16"/>
        <v>44075</v>
      </c>
      <c r="O58" s="1575">
        <f>EDATE(N58,-1)</f>
        <v>44044</v>
      </c>
      <c r="P58" s="1570"/>
    </row>
    <row r="59" spans="1:29" s="117" customFormat="1" ht="15">
      <c r="A59" s="509"/>
      <c r="B59" s="510"/>
      <c r="C59" s="1573">
        <v>100</v>
      </c>
      <c r="D59" s="512"/>
      <c r="E59" s="512"/>
      <c r="F59" s="512"/>
      <c r="G59" s="512"/>
      <c r="H59" s="512"/>
      <c r="I59" s="512"/>
      <c r="J59" s="512"/>
      <c r="K59" s="512"/>
      <c r="L59" s="512"/>
      <c r="M59" s="513"/>
      <c r="N59" s="512"/>
      <c r="O59" s="513"/>
      <c r="P59" s="2622"/>
    </row>
    <row r="60" spans="1:29" s="117" customFormat="1" ht="15.75" thickBot="1">
      <c r="A60" s="515" t="s">
        <v>2581</v>
      </c>
      <c r="B60" s="516"/>
      <c r="C60" s="517"/>
      <c r="D60" s="518"/>
      <c r="E60" s="518"/>
      <c r="F60" s="518"/>
      <c r="G60" s="518"/>
      <c r="H60" s="518"/>
      <c r="I60" s="518"/>
      <c r="J60" s="518"/>
      <c r="K60" s="518"/>
      <c r="L60" s="518"/>
      <c r="M60" s="519"/>
      <c r="N60" s="518"/>
      <c r="O60" s="519"/>
      <c r="P60" s="2622"/>
      <c r="Q60" s="504"/>
    </row>
    <row r="61" spans="1:29" s="117" customFormat="1" ht="15">
      <c r="A61" s="521" t="s">
        <v>2546</v>
      </c>
      <c r="B61" s="510"/>
      <c r="C61" s="522" t="s">
        <v>2648</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2584</v>
      </c>
      <c r="B63" s="528" t="s">
        <v>2550</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4"/>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2676</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5.75" thickBot="1">
      <c r="A89" s="579"/>
      <c r="B89" s="543"/>
      <c r="C89" s="560"/>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5.75" thickTop="1">
      <c r="A92" s="534"/>
      <c r="B92" s="538" t="str">
        <f>B28</f>
        <v>楼层</v>
      </c>
      <c r="C92" s="554"/>
      <c r="D92" s="554"/>
      <c r="E92" s="554"/>
      <c r="F92" s="554"/>
      <c r="G92" s="554"/>
      <c r="H92" s="554"/>
      <c r="I92" s="554"/>
      <c r="J92" s="554"/>
      <c r="K92" s="554"/>
      <c r="L92" s="580"/>
      <c r="M92" s="581"/>
      <c r="N92" s="1152"/>
      <c r="O92" s="1152"/>
      <c r="P92" s="2624"/>
      <c r="Q92" s="504"/>
    </row>
    <row r="93" spans="1:17" ht="15.75" thickBot="1">
      <c r="A93" s="534"/>
      <c r="B93" s="543"/>
      <c r="C93" s="536"/>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111</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2559</v>
      </c>
      <c r="B100" s="528" t="s">
        <v>2677</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4"/>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5"/>
      <c r="Q104" s="559"/>
    </row>
    <row r="105" spans="1:17" ht="15" thickTop="1">
      <c r="A105" s="599"/>
      <c r="B105" s="538" t="s">
        <v>2610</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4"/>
      <c r="Q106" s="504"/>
    </row>
    <row r="107" spans="1:17" ht="15" thickTop="1">
      <c r="A107" s="599"/>
      <c r="B107" s="538" t="s">
        <v>2612</v>
      </c>
      <c r="C107" s="554"/>
      <c r="D107" s="554"/>
      <c r="E107" s="554"/>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4"/>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4"/>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5"/>
      <c r="Q113" s="559"/>
    </row>
    <row r="114" spans="1:17" ht="15" thickTop="1">
      <c r="A114" s="599"/>
      <c r="B114" s="538" t="s">
        <v>2678</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4"/>
      <c r="Q115" s="504"/>
    </row>
    <row r="116" spans="1:17" ht="15" thickTop="1">
      <c r="A116" s="599"/>
      <c r="B116" s="538" t="s">
        <v>2679</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2680</v>
      </c>
      <c r="C118" s="627"/>
      <c r="D118" s="627"/>
      <c r="E118" s="627"/>
      <c r="F118" s="627"/>
      <c r="G118" s="627"/>
      <c r="H118" s="555"/>
      <c r="I118" s="555"/>
      <c r="J118" s="555"/>
      <c r="K118" s="555"/>
      <c r="L118" s="556"/>
      <c r="M118" s="557"/>
      <c r="N118" s="1152"/>
      <c r="O118" s="1152"/>
      <c r="P118" s="2624"/>
      <c r="Q118" s="504"/>
    </row>
    <row r="119" spans="1:17" ht="15.75"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5"/>
      <c r="Q121" s="559"/>
    </row>
    <row r="122" spans="1:17" ht="15" thickTop="1">
      <c r="A122" s="599"/>
      <c r="B122" s="538" t="s">
        <v>2616</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4"/>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43 E43 G43 I43" xr:uid="{00000000-0002-0000-2400-000002000000}">
      <formula1>内部装修维护情况</formula1>
    </dataValidation>
    <dataValidation type="list" allowBlank="1" showInputMessage="1" showErrorMessage="1" sqref="E20 I20 G20 C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E34 G34 I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C2" xr:uid="{00000000-0002-0000-2400-000016000000}">
      <formula1>"需扣减承租人权益,——"</formula1>
    </dataValidation>
    <dataValidation type="list" allowBlank="1" showInputMessage="1" showErrorMessage="1" sqref="F2" xr:uid="{00000000-0002-0000-24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875" style="403" customWidth="1"/>
    <col min="3"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2524</v>
      </c>
      <c r="B1" s="2663" t="s">
        <v>2682</v>
      </c>
      <c r="C1" s="1620" t="s">
        <v>2526</v>
      </c>
      <c r="D1" s="1621"/>
      <c r="E1" s="1630"/>
      <c r="F1" s="2578"/>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0"/>
      <c r="D2" s="1365" t="e">
        <f ca="1">SUMIF(INDIRECT("'"&amp;F2&amp;"'"&amp;"!A:A"),"承租人权益价值",INDIRECT("'"&amp;F2&amp;"'"&amp;"!c:c"))</f>
        <v>#REF!</v>
      </c>
      <c r="E2" s="2581" t="s">
        <v>2324</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11757.189999999999</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481" t="s">
        <v>2642</v>
      </c>
      <c r="D4" s="3482"/>
      <c r="E4" s="3483" t="s">
        <v>2643</v>
      </c>
      <c r="F4" s="3484"/>
      <c r="G4" s="3481" t="s">
        <v>2644</v>
      </c>
      <c r="H4" s="3482"/>
      <c r="I4" s="3481" t="s">
        <v>2645</v>
      </c>
      <c r="J4" s="3482"/>
      <c r="K4" s="610" t="s">
        <v>2646</v>
      </c>
      <c r="L4" s="1130"/>
      <c r="M4" s="1131"/>
      <c r="N4" s="1131"/>
      <c r="O4" s="1131"/>
      <c r="P4" s="3515" t="s">
        <v>2647</v>
      </c>
      <c r="Q4" s="3516"/>
      <c r="R4" s="3519" t="s">
        <v>2643</v>
      </c>
      <c r="S4" s="3520"/>
      <c r="T4" s="3519" t="s">
        <v>2644</v>
      </c>
      <c r="U4" s="3520"/>
      <c r="V4" s="3521" t="s">
        <v>2645</v>
      </c>
      <c r="W4" s="3521"/>
      <c r="X4" s="2664"/>
      <c r="Y4" s="3519" t="s">
        <v>2647</v>
      </c>
      <c r="Z4" s="3520"/>
      <c r="AA4" s="3523" t="s">
        <v>2643</v>
      </c>
      <c r="AB4" s="3523" t="s">
        <v>2644</v>
      </c>
      <c r="AC4" s="3512" t="s">
        <v>2645</v>
      </c>
    </row>
    <row r="5" spans="1:29" ht="15">
      <c r="A5" s="404"/>
      <c r="B5" s="405"/>
      <c r="C5" s="3500" t="s">
        <v>2538</v>
      </c>
      <c r="D5" s="3501"/>
      <c r="E5" s="3507" t="s">
        <v>2539</v>
      </c>
      <c r="F5" s="3508"/>
      <c r="G5" s="3500" t="s">
        <v>2540</v>
      </c>
      <c r="H5" s="3501"/>
      <c r="I5" s="3500" t="s">
        <v>2541</v>
      </c>
      <c r="J5" s="3501"/>
      <c r="K5" s="610"/>
      <c r="L5" s="1130"/>
      <c r="M5" s="1131"/>
      <c r="N5" s="1131"/>
      <c r="O5" s="1131"/>
      <c r="P5" s="3517"/>
      <c r="Q5" s="3488"/>
      <c r="R5" s="3493"/>
      <c r="S5" s="3494"/>
      <c r="T5" s="3493"/>
      <c r="U5" s="3494"/>
      <c r="V5" s="3497"/>
      <c r="W5" s="3497"/>
      <c r="X5" s="1805"/>
      <c r="Y5" s="3493"/>
      <c r="Z5" s="3494"/>
      <c r="AA5" s="3479"/>
      <c r="AB5" s="3479"/>
      <c r="AC5" s="3513"/>
    </row>
    <row r="6" spans="1:29" ht="15.75" thickBot="1">
      <c r="A6" s="406"/>
      <c r="B6" s="407"/>
      <c r="C6" s="3498" t="s">
        <v>2542</v>
      </c>
      <c r="D6" s="3499"/>
      <c r="E6" s="3505" t="s">
        <v>2542</v>
      </c>
      <c r="F6" s="3506"/>
      <c r="G6" s="3498" t="s">
        <v>2542</v>
      </c>
      <c r="H6" s="3499"/>
      <c r="I6" s="3498" t="s">
        <v>2542</v>
      </c>
      <c r="J6" s="3499"/>
      <c r="K6" s="610" t="s">
        <v>2543</v>
      </c>
      <c r="L6" s="1130"/>
      <c r="M6" s="1131"/>
      <c r="N6" s="1131"/>
      <c r="O6" s="1131"/>
      <c r="P6" s="3518"/>
      <c r="Q6" s="3490"/>
      <c r="R6" s="3493"/>
      <c r="S6" s="3494"/>
      <c r="T6" s="3495"/>
      <c r="U6" s="3496"/>
      <c r="V6" s="3497"/>
      <c r="W6" s="3497"/>
      <c r="X6" s="1805"/>
      <c r="Y6" s="3495"/>
      <c r="Z6" s="3496"/>
      <c r="AA6" s="3480"/>
      <c r="AB6" s="3480"/>
      <c r="AC6" s="3514"/>
    </row>
    <row r="7" spans="1:29" s="117" customFormat="1" ht="15.75" thickBot="1">
      <c r="A7" s="408" t="s">
        <v>2544</v>
      </c>
      <c r="B7" s="409"/>
      <c r="C7" s="410">
        <f>'数据-取费表'!B2</f>
        <v>44425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522" t="s">
        <v>2545</v>
      </c>
      <c r="Q7" s="3504"/>
      <c r="R7" s="770" t="s">
        <v>17</v>
      </c>
      <c r="S7" s="771">
        <f t="shared" ref="S7:S15" si="0">F7</f>
        <v>0</v>
      </c>
      <c r="T7" s="770" t="s">
        <v>17</v>
      </c>
      <c r="U7" s="771">
        <f t="shared" ref="U7:U15" si="1">H7</f>
        <v>0</v>
      </c>
      <c r="V7" s="770" t="s">
        <v>17</v>
      </c>
      <c r="W7" s="771">
        <f t="shared" ref="W7:W15" si="2">J7</f>
        <v>0</v>
      </c>
      <c r="X7" s="772"/>
      <c r="Y7" s="3502" t="s">
        <v>2545</v>
      </c>
      <c r="Z7" s="3503"/>
      <c r="AA7" s="773" t="e">
        <f>D7/F7</f>
        <v>#DIV/0!</v>
      </c>
      <c r="AB7" s="773" t="e">
        <f>D7/H7</f>
        <v>#DIV/0!</v>
      </c>
      <c r="AC7" s="2665"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522" t="s">
        <v>2548</v>
      </c>
      <c r="Q8" s="3503"/>
      <c r="R8" s="770" t="s">
        <v>17</v>
      </c>
      <c r="S8" s="771">
        <f t="shared" si="0"/>
        <v>0</v>
      </c>
      <c r="T8" s="770" t="s">
        <v>17</v>
      </c>
      <c r="U8" s="771">
        <f t="shared" si="1"/>
        <v>0</v>
      </c>
      <c r="V8" s="770" t="s">
        <v>17</v>
      </c>
      <c r="W8" s="771">
        <f t="shared" si="2"/>
        <v>0</v>
      </c>
      <c r="X8" s="772"/>
      <c r="Y8" s="3502" t="s">
        <v>2548</v>
      </c>
      <c r="Z8" s="3503"/>
      <c r="AA8" s="773" t="e">
        <f t="shared" ref="AA8:AA47" si="3">D8/F8</f>
        <v>#DIV/0!</v>
      </c>
      <c r="AB8" s="773" t="e">
        <f t="shared" ref="AB8:AB47" si="4">D8/H8</f>
        <v>#DIV/0!</v>
      </c>
      <c r="AC8" s="2665"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477" t="s">
        <v>2551</v>
      </c>
      <c r="Q9" s="1787" t="str">
        <f t="shared" ref="Q9:Q15" si="6">B9</f>
        <v>用途</v>
      </c>
      <c r="R9" s="770" t="s">
        <v>17</v>
      </c>
      <c r="S9" s="771">
        <f t="shared" si="0"/>
        <v>100</v>
      </c>
      <c r="T9" s="770" t="s">
        <v>17</v>
      </c>
      <c r="U9" s="771">
        <f t="shared" si="1"/>
        <v>100</v>
      </c>
      <c r="V9" s="770" t="s">
        <v>17</v>
      </c>
      <c r="W9" s="771">
        <f t="shared" si="2"/>
        <v>100</v>
      </c>
      <c r="X9" s="772"/>
      <c r="Y9" s="3259" t="s">
        <v>2552</v>
      </c>
      <c r="Z9" s="55" t="str">
        <f t="shared" ref="Z9:Z15" si="7">Q9</f>
        <v>用途</v>
      </c>
      <c r="AA9" s="773">
        <f t="shared" si="3"/>
        <v>1</v>
      </c>
      <c r="AB9" s="773">
        <f t="shared" si="4"/>
        <v>1</v>
      </c>
      <c r="AC9" s="2665">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477"/>
      <c r="Q10" s="1787" t="str">
        <f t="shared" si="6"/>
        <v>土地使用年限（年）</v>
      </c>
      <c r="R10" s="770" t="s">
        <v>17</v>
      </c>
      <c r="S10" s="771">
        <f t="shared" si="0"/>
        <v>100</v>
      </c>
      <c r="T10" s="770" t="s">
        <v>17</v>
      </c>
      <c r="U10" s="771">
        <f t="shared" si="1"/>
        <v>100</v>
      </c>
      <c r="V10" s="770" t="s">
        <v>17</v>
      </c>
      <c r="W10" s="771">
        <f t="shared" si="2"/>
        <v>100</v>
      </c>
      <c r="X10" s="772"/>
      <c r="Y10" s="3259"/>
      <c r="Z10" s="55" t="str">
        <f t="shared" si="7"/>
        <v>土地使用年限（年）</v>
      </c>
      <c r="AA10" s="773">
        <f t="shared" si="3"/>
        <v>1</v>
      </c>
      <c r="AB10" s="773">
        <f t="shared" si="4"/>
        <v>1</v>
      </c>
      <c r="AC10" s="2665">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477"/>
      <c r="Q11" s="1787" t="str">
        <f t="shared" si="6"/>
        <v>容积率</v>
      </c>
      <c r="R11" s="770" t="s">
        <v>17</v>
      </c>
      <c r="S11" s="771" t="e">
        <f t="shared" si="0"/>
        <v>#N/A</v>
      </c>
      <c r="T11" s="770" t="s">
        <v>17</v>
      </c>
      <c r="U11" s="771" t="e">
        <f t="shared" si="1"/>
        <v>#N/A</v>
      </c>
      <c r="V11" s="770" t="s">
        <v>17</v>
      </c>
      <c r="W11" s="771" t="e">
        <f t="shared" si="2"/>
        <v>#N/A</v>
      </c>
      <c r="X11" s="772"/>
      <c r="Y11" s="3259"/>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477"/>
      <c r="Q12" s="1787">
        <f t="shared" si="6"/>
        <v>111</v>
      </c>
      <c r="R12" s="770" t="s">
        <v>17</v>
      </c>
      <c r="S12" s="771">
        <f t="shared" si="0"/>
        <v>100</v>
      </c>
      <c r="T12" s="770" t="s">
        <v>17</v>
      </c>
      <c r="U12" s="771">
        <f t="shared" si="1"/>
        <v>100</v>
      </c>
      <c r="V12" s="770" t="s">
        <v>17</v>
      </c>
      <c r="W12" s="771">
        <f t="shared" si="2"/>
        <v>100</v>
      </c>
      <c r="X12" s="772"/>
      <c r="Y12" s="3259"/>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477"/>
      <c r="Q13" s="1787">
        <f t="shared" si="6"/>
        <v>111</v>
      </c>
      <c r="R13" s="770" t="s">
        <v>17</v>
      </c>
      <c r="S13" s="771">
        <f t="shared" si="0"/>
        <v>100</v>
      </c>
      <c r="T13" s="770" t="s">
        <v>17</v>
      </c>
      <c r="U13" s="771">
        <f t="shared" si="1"/>
        <v>100</v>
      </c>
      <c r="V13" s="770" t="s">
        <v>17</v>
      </c>
      <c r="W13" s="771">
        <f t="shared" si="2"/>
        <v>100</v>
      </c>
      <c r="X13" s="772"/>
      <c r="Y13" s="3259"/>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477"/>
      <c r="Q14" s="1787">
        <f t="shared" si="6"/>
        <v>111</v>
      </c>
      <c r="R14" s="770" t="s">
        <v>17</v>
      </c>
      <c r="S14" s="771">
        <f t="shared" si="0"/>
        <v>100</v>
      </c>
      <c r="T14" s="770" t="s">
        <v>17</v>
      </c>
      <c r="U14" s="771">
        <f t="shared" si="1"/>
        <v>100</v>
      </c>
      <c r="V14" s="770" t="s">
        <v>17</v>
      </c>
      <c r="W14" s="771">
        <f t="shared" si="2"/>
        <v>100</v>
      </c>
      <c r="X14" s="772"/>
      <c r="Y14" s="3259"/>
      <c r="Z14" s="55">
        <f t="shared" si="7"/>
        <v>111</v>
      </c>
      <c r="AA14" s="773">
        <f t="shared" si="3"/>
        <v>1</v>
      </c>
      <c r="AB14" s="773">
        <f t="shared" si="4"/>
        <v>1</v>
      </c>
      <c r="AC14" s="2665">
        <f t="shared" si="5"/>
        <v>1</v>
      </c>
    </row>
    <row r="15" spans="1:29" ht="71.25">
      <c r="A15" s="440" t="s">
        <v>2555</v>
      </c>
      <c r="B15" s="629" t="s">
        <v>2683</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475" t="s">
        <v>2556</v>
      </c>
      <c r="Q15" s="1802" t="str">
        <f t="shared" si="6"/>
        <v>办公集聚程度</v>
      </c>
      <c r="R15" s="774" t="s">
        <v>17</v>
      </c>
      <c r="S15" s="775">
        <f t="shared" si="0"/>
        <v>100</v>
      </c>
      <c r="T15" s="774" t="s">
        <v>17</v>
      </c>
      <c r="U15" s="775">
        <f t="shared" si="1"/>
        <v>100</v>
      </c>
      <c r="V15" s="774" t="s">
        <v>17</v>
      </c>
      <c r="W15" s="775">
        <f t="shared" si="2"/>
        <v>100</v>
      </c>
      <c r="X15" s="1805"/>
      <c r="Y15" s="3468" t="s">
        <v>2556</v>
      </c>
      <c r="Z15" s="1806" t="str">
        <f t="shared" si="7"/>
        <v>办公集聚程度</v>
      </c>
      <c r="AA15" s="1803">
        <f t="shared" si="3"/>
        <v>1</v>
      </c>
      <c r="AB15" s="1803">
        <f t="shared" si="4"/>
        <v>1</v>
      </c>
      <c r="AC15" s="2668">
        <f t="shared" si="5"/>
        <v>1</v>
      </c>
    </row>
    <row r="16" spans="1:29" ht="15">
      <c r="A16" s="428"/>
      <c r="B16" s="630"/>
      <c r="C16" s="2605"/>
      <c r="D16" s="448"/>
      <c r="E16" s="447"/>
      <c r="F16" s="448"/>
      <c r="G16" s="2605"/>
      <c r="H16" s="450"/>
      <c r="I16" s="447"/>
      <c r="J16" s="448"/>
      <c r="K16" s="615"/>
      <c r="L16" s="1140"/>
      <c r="M16" s="1131"/>
      <c r="N16" s="1131"/>
      <c r="O16" s="1131"/>
      <c r="P16" s="3476"/>
      <c r="Q16" s="1802"/>
      <c r="R16" s="774"/>
      <c r="S16" s="775"/>
      <c r="T16" s="774"/>
      <c r="U16" s="775"/>
      <c r="V16" s="774"/>
      <c r="W16" s="775"/>
      <c r="X16" s="1805"/>
      <c r="Y16" s="3469"/>
      <c r="Z16" s="1806"/>
      <c r="AA16" s="1803">
        <v>1</v>
      </c>
      <c r="AB16" s="1803">
        <v>1</v>
      </c>
      <c r="AC16" s="2668">
        <v>1</v>
      </c>
    </row>
    <row r="17" spans="1:29" ht="71.25">
      <c r="A17" s="428"/>
      <c r="B17" s="631" t="s">
        <v>2092</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476"/>
      <c r="Q17" s="1802" t="str">
        <f>B17</f>
        <v>交通便捷度</v>
      </c>
      <c r="R17" s="774" t="s">
        <v>17</v>
      </c>
      <c r="S17" s="775">
        <f>F17</f>
        <v>100</v>
      </c>
      <c r="T17" s="774" t="s">
        <v>17</v>
      </c>
      <c r="U17" s="775">
        <f>H17</f>
        <v>100</v>
      </c>
      <c r="V17" s="774" t="s">
        <v>17</v>
      </c>
      <c r="W17" s="775">
        <f>J17</f>
        <v>100</v>
      </c>
      <c r="X17" s="1805"/>
      <c r="Y17" s="3469"/>
      <c r="Z17" s="1806" t="str">
        <f>Q17</f>
        <v>交通便捷度</v>
      </c>
      <c r="AA17" s="1803">
        <f t="shared" si="3"/>
        <v>1</v>
      </c>
      <c r="AB17" s="1803">
        <f t="shared" si="4"/>
        <v>1</v>
      </c>
      <c r="AC17" s="2668">
        <f t="shared" si="5"/>
        <v>1</v>
      </c>
    </row>
    <row r="18" spans="1:29" ht="15">
      <c r="A18" s="428"/>
      <c r="B18" s="632"/>
      <c r="C18" s="2670"/>
      <c r="D18" s="450"/>
      <c r="E18" s="2603"/>
      <c r="F18" s="450"/>
      <c r="G18" s="2604"/>
      <c r="H18" s="448"/>
      <c r="I18" s="2604"/>
      <c r="J18" s="448"/>
      <c r="K18" s="615"/>
      <c r="L18" s="1140"/>
      <c r="M18" s="1131"/>
      <c r="N18" s="1131"/>
      <c r="O18" s="1131"/>
      <c r="P18" s="3476"/>
      <c r="Q18" s="1802"/>
      <c r="R18" s="774"/>
      <c r="S18" s="775"/>
      <c r="T18" s="774"/>
      <c r="U18" s="775"/>
      <c r="V18" s="774"/>
      <c r="W18" s="775"/>
      <c r="X18" s="1805"/>
      <c r="Y18" s="3469"/>
      <c r="Z18" s="1806"/>
      <c r="AA18" s="1803">
        <v>1</v>
      </c>
      <c r="AB18" s="1803">
        <v>1</v>
      </c>
      <c r="AC18" s="2668">
        <v>1</v>
      </c>
    </row>
    <row r="19" spans="1:29" ht="42.75">
      <c r="A19" s="428"/>
      <c r="B19" s="631" t="s">
        <v>2684</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476"/>
      <c r="Q19" s="1802" t="str">
        <f>B19</f>
        <v>公共配套设施</v>
      </c>
      <c r="R19" s="774" t="s">
        <v>17</v>
      </c>
      <c r="S19" s="775">
        <f>F19</f>
        <v>100</v>
      </c>
      <c r="T19" s="774" t="s">
        <v>17</v>
      </c>
      <c r="U19" s="775">
        <f>H19</f>
        <v>100</v>
      </c>
      <c r="V19" s="774" t="s">
        <v>17</v>
      </c>
      <c r="W19" s="775">
        <f>J19</f>
        <v>100</v>
      </c>
      <c r="X19" s="1805"/>
      <c r="Y19" s="3469"/>
      <c r="Z19" s="1806" t="str">
        <f>Q19</f>
        <v>公共配套设施</v>
      </c>
      <c r="AA19" s="1803">
        <f t="shared" si="3"/>
        <v>1</v>
      </c>
      <c r="AB19" s="1803">
        <f t="shared" si="4"/>
        <v>1</v>
      </c>
      <c r="AC19" s="2668">
        <f t="shared" si="5"/>
        <v>1</v>
      </c>
    </row>
    <row r="20" spans="1:29" ht="15">
      <c r="A20" s="428"/>
      <c r="B20" s="632"/>
      <c r="C20" s="2605"/>
      <c r="D20" s="448"/>
      <c r="E20" s="2598"/>
      <c r="F20" s="448"/>
      <c r="G20" s="2599"/>
      <c r="H20" s="448"/>
      <c r="I20" s="2599"/>
      <c r="J20" s="448"/>
      <c r="K20" s="615"/>
      <c r="L20" s="1140"/>
      <c r="M20" s="1131"/>
      <c r="N20" s="1131"/>
      <c r="O20" s="1131"/>
      <c r="P20" s="3476"/>
      <c r="Q20" s="1802"/>
      <c r="R20" s="774"/>
      <c r="S20" s="775"/>
      <c r="T20" s="774"/>
      <c r="U20" s="775"/>
      <c r="V20" s="774"/>
      <c r="W20" s="775"/>
      <c r="X20" s="1805"/>
      <c r="Y20" s="3469"/>
      <c r="Z20" s="1806"/>
      <c r="AA20" s="1803">
        <v>1</v>
      </c>
      <c r="AB20" s="1803">
        <v>1</v>
      </c>
      <c r="AC20" s="2668">
        <v>1</v>
      </c>
    </row>
    <row r="21" spans="1:29" ht="28.5">
      <c r="A21" s="428"/>
      <c r="B21" s="633" t="s">
        <v>2685</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476"/>
      <c r="Q21" s="1802" t="str">
        <f>B21</f>
        <v>基础设施水平</v>
      </c>
      <c r="R21" s="774" t="s">
        <v>17</v>
      </c>
      <c r="S21" s="775">
        <f>F21</f>
        <v>100</v>
      </c>
      <c r="T21" s="774" t="s">
        <v>17</v>
      </c>
      <c r="U21" s="775">
        <f>H21</f>
        <v>100</v>
      </c>
      <c r="V21" s="774" t="s">
        <v>17</v>
      </c>
      <c r="W21" s="775">
        <f>J21</f>
        <v>100</v>
      </c>
      <c r="X21" s="1805"/>
      <c r="Y21" s="3469"/>
      <c r="Z21" s="1806" t="str">
        <f>Q21</f>
        <v>基础设施水平</v>
      </c>
      <c r="AA21" s="1803">
        <f t="shared" ref="AA21" si="8">D21/F21</f>
        <v>1</v>
      </c>
      <c r="AB21" s="1803">
        <f t="shared" ref="AB21" si="9">D21/H21</f>
        <v>1</v>
      </c>
      <c r="AC21" s="2668">
        <f t="shared" ref="AC21" si="10">D21/J21</f>
        <v>1</v>
      </c>
    </row>
    <row r="22" spans="1:29" ht="15">
      <c r="A22" s="428"/>
      <c r="B22" s="633"/>
      <c r="C22" s="2670"/>
      <c r="D22" s="448"/>
      <c r="E22" s="447"/>
      <c r="F22" s="448"/>
      <c r="G22" s="2605"/>
      <c r="H22" s="448"/>
      <c r="I22" s="2605"/>
      <c r="J22" s="448"/>
      <c r="K22" s="1383"/>
      <c r="L22" s="1140"/>
      <c r="M22" s="1131"/>
      <c r="N22" s="1131"/>
      <c r="O22" s="1131"/>
      <c r="P22" s="3476"/>
      <c r="Q22" s="1802"/>
      <c r="R22" s="774"/>
      <c r="S22" s="775"/>
      <c r="T22" s="774"/>
      <c r="U22" s="775"/>
      <c r="V22" s="774"/>
      <c r="W22" s="775"/>
      <c r="X22" s="1805"/>
      <c r="Y22" s="3469"/>
      <c r="Z22" s="1806"/>
      <c r="AA22" s="1803">
        <v>1</v>
      </c>
      <c r="AB22" s="1803">
        <v>1</v>
      </c>
      <c r="AC22" s="2668">
        <v>1</v>
      </c>
    </row>
    <row r="23" spans="1:29" ht="42.75">
      <c r="A23" s="428"/>
      <c r="B23" s="631" t="s">
        <v>2686</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476"/>
      <c r="Q23" s="1802" t="str">
        <f>B23</f>
        <v>环境质量</v>
      </c>
      <c r="R23" s="774" t="s">
        <v>17</v>
      </c>
      <c r="S23" s="775">
        <f>F23</f>
        <v>100</v>
      </c>
      <c r="T23" s="774" t="s">
        <v>17</v>
      </c>
      <c r="U23" s="775">
        <f>H23</f>
        <v>100</v>
      </c>
      <c r="V23" s="774" t="s">
        <v>17</v>
      </c>
      <c r="W23" s="775">
        <f>J23</f>
        <v>100</v>
      </c>
      <c r="X23" s="1805"/>
      <c r="Y23" s="3469"/>
      <c r="Z23" s="1806" t="str">
        <f>Q23</f>
        <v>环境质量</v>
      </c>
      <c r="AA23" s="1803">
        <f t="shared" si="3"/>
        <v>1</v>
      </c>
      <c r="AB23" s="1803">
        <f t="shared" si="4"/>
        <v>1</v>
      </c>
      <c r="AC23" s="2668">
        <f t="shared" si="5"/>
        <v>1</v>
      </c>
    </row>
    <row r="24" spans="1:29" ht="15">
      <c r="A24" s="428"/>
      <c r="B24" s="633"/>
      <c r="C24" s="2605"/>
      <c r="D24" s="448"/>
      <c r="E24" s="2598"/>
      <c r="F24" s="448"/>
      <c r="G24" s="2599"/>
      <c r="H24" s="448"/>
      <c r="I24" s="2599"/>
      <c r="J24" s="448"/>
      <c r="K24" s="615"/>
      <c r="L24" s="1140"/>
      <c r="M24" s="1131"/>
      <c r="N24" s="1131"/>
      <c r="O24" s="1131"/>
      <c r="P24" s="3476"/>
      <c r="Q24" s="1802"/>
      <c r="R24" s="774"/>
      <c r="S24" s="775"/>
      <c r="T24" s="774"/>
      <c r="U24" s="775"/>
      <c r="V24" s="774"/>
      <c r="W24" s="775"/>
      <c r="X24" s="1805"/>
      <c r="Y24" s="3469"/>
      <c r="Z24" s="1806"/>
      <c r="AA24" s="1803">
        <v>1</v>
      </c>
      <c r="AB24" s="1803">
        <v>1</v>
      </c>
      <c r="AC24" s="2668">
        <v>1</v>
      </c>
    </row>
    <row r="25" spans="1:29" ht="27">
      <c r="A25" s="404"/>
      <c r="B25" s="631" t="s">
        <v>2687</v>
      </c>
      <c r="C25" s="2609"/>
      <c r="D25" s="435">
        <v>100</v>
      </c>
      <c r="E25" s="434"/>
      <c r="F25" s="435">
        <f>SUMIF(87:87,E26,88:88)-SUMIF(87:87,C26,88:88)+100</f>
        <v>100</v>
      </c>
      <c r="G25" s="2609"/>
      <c r="H25" s="435">
        <f>SUMIF(87:87,G26,88:88)-SUMIF(87:87,C26,88:88)+100</f>
        <v>100</v>
      </c>
      <c r="I25" s="434"/>
      <c r="J25" s="435">
        <f>SUMIF(87:87,I26,88:88)-SUMIF(87:87,C26,88:88)+100</f>
        <v>100</v>
      </c>
      <c r="K25" s="614"/>
      <c r="L25" s="1140"/>
      <c r="M25" s="1131"/>
      <c r="N25" s="1131"/>
      <c r="O25" s="1131"/>
      <c r="P25" s="3476"/>
      <c r="Q25" s="1802" t="str">
        <f>B25</f>
        <v>毗邻道路的类型与等级</v>
      </c>
      <c r="R25" s="774" t="s">
        <v>17</v>
      </c>
      <c r="S25" s="775">
        <f>F25</f>
        <v>100</v>
      </c>
      <c r="T25" s="774" t="s">
        <v>17</v>
      </c>
      <c r="U25" s="775">
        <f>H25</f>
        <v>100</v>
      </c>
      <c r="V25" s="774" t="s">
        <v>17</v>
      </c>
      <c r="W25" s="775">
        <f>J25</f>
        <v>100</v>
      </c>
      <c r="X25" s="1805"/>
      <c r="Y25" s="3469"/>
      <c r="Z25" s="1806" t="str">
        <f>Q25</f>
        <v>毗邻道路的类型与等级</v>
      </c>
      <c r="AA25" s="1803">
        <f t="shared" si="3"/>
        <v>1</v>
      </c>
      <c r="AB25" s="1803">
        <f t="shared" si="4"/>
        <v>1</v>
      </c>
      <c r="AC25" s="2668">
        <f t="shared" si="5"/>
        <v>1</v>
      </c>
    </row>
    <row r="26" spans="1:29" ht="15">
      <c r="A26" s="404"/>
      <c r="B26" s="632"/>
      <c r="C26" s="634"/>
      <c r="D26" s="435"/>
      <c r="E26" s="616"/>
      <c r="F26" s="435"/>
      <c r="G26" s="634"/>
      <c r="H26" s="435"/>
      <c r="I26" s="616"/>
      <c r="J26" s="435"/>
      <c r="K26" s="615"/>
      <c r="L26" s="1140"/>
      <c r="M26" s="1131"/>
      <c r="N26" s="1131"/>
      <c r="O26" s="1131"/>
      <c r="P26" s="3476"/>
      <c r="Q26" s="1802"/>
      <c r="R26" s="774"/>
      <c r="S26" s="775"/>
      <c r="T26" s="774"/>
      <c r="U26" s="775"/>
      <c r="V26" s="774"/>
      <c r="W26" s="775"/>
      <c r="X26" s="1805"/>
      <c r="Y26" s="3469"/>
      <c r="Z26" s="1806"/>
      <c r="AA26" s="1803">
        <v>1</v>
      </c>
      <c r="AB26" s="1803">
        <v>1</v>
      </c>
      <c r="AC26" s="2668">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476"/>
      <c r="Q27" s="1802" t="str">
        <f t="shared" ref="Q27:Q47" si="11">B27</f>
        <v>楼层</v>
      </c>
      <c r="R27" s="774" t="s">
        <v>17</v>
      </c>
      <c r="S27" s="775">
        <f>F27</f>
        <v>100</v>
      </c>
      <c r="T27" s="774" t="s">
        <v>17</v>
      </c>
      <c r="U27" s="775">
        <f>H27</f>
        <v>100</v>
      </c>
      <c r="V27" s="774" t="s">
        <v>17</v>
      </c>
      <c r="W27" s="775">
        <f>J27</f>
        <v>100</v>
      </c>
      <c r="X27" s="1805"/>
      <c r="Y27" s="3469"/>
      <c r="Z27" s="1806" t="str">
        <f>Q27</f>
        <v>楼层</v>
      </c>
      <c r="AA27" s="1803">
        <f t="shared" si="3"/>
        <v>1</v>
      </c>
      <c r="AB27" s="1803">
        <f t="shared" si="4"/>
        <v>1</v>
      </c>
      <c r="AC27" s="2668">
        <f t="shared" si="5"/>
        <v>1</v>
      </c>
    </row>
    <row r="28" spans="1:29" s="117" customFormat="1" ht="15">
      <c r="A28" s="431"/>
      <c r="B28" s="631" t="s">
        <v>2688</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476"/>
      <c r="Q28" s="1787" t="str">
        <f t="shared" si="11"/>
        <v>朝向</v>
      </c>
      <c r="R28" s="770" t="s">
        <v>17</v>
      </c>
      <c r="S28" s="771">
        <f>F28</f>
        <v>100</v>
      </c>
      <c r="T28" s="770" t="s">
        <v>17</v>
      </c>
      <c r="U28" s="771">
        <f>H28</f>
        <v>100</v>
      </c>
      <c r="V28" s="770" t="s">
        <v>17</v>
      </c>
      <c r="W28" s="771">
        <f>J28</f>
        <v>100</v>
      </c>
      <c r="X28" s="772"/>
      <c r="Y28" s="3469"/>
      <c r="Z28" s="55" t="str">
        <f>Q28</f>
        <v>朝向</v>
      </c>
      <c r="AA28" s="1803">
        <f>D28/F28</f>
        <v>1</v>
      </c>
      <c r="AB28" s="1803">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476"/>
      <c r="Q29" s="1802">
        <f t="shared" si="11"/>
        <v>111</v>
      </c>
      <c r="R29" s="774" t="s">
        <v>17</v>
      </c>
      <c r="S29" s="775">
        <f t="shared" ref="S29:S47" si="12">F29</f>
        <v>100</v>
      </c>
      <c r="T29" s="774" t="s">
        <v>17</v>
      </c>
      <c r="U29" s="775">
        <f t="shared" ref="U29:U47" si="13">H29</f>
        <v>100</v>
      </c>
      <c r="V29" s="774" t="s">
        <v>17</v>
      </c>
      <c r="W29" s="775">
        <f t="shared" ref="W29:W47" si="14">J29</f>
        <v>100</v>
      </c>
      <c r="X29" s="1805"/>
      <c r="Y29" s="3469"/>
      <c r="Z29" s="1806">
        <f t="shared" ref="Z29:Z47" si="15">Q29</f>
        <v>111</v>
      </c>
      <c r="AA29" s="1803">
        <f t="shared" si="3"/>
        <v>1</v>
      </c>
      <c r="AB29" s="1803">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476"/>
      <c r="Q30" s="1802">
        <f t="shared" si="11"/>
        <v>111</v>
      </c>
      <c r="R30" s="774" t="s">
        <v>17</v>
      </c>
      <c r="S30" s="775">
        <f t="shared" si="12"/>
        <v>100</v>
      </c>
      <c r="T30" s="774" t="s">
        <v>17</v>
      </c>
      <c r="U30" s="775">
        <f t="shared" si="13"/>
        <v>100</v>
      </c>
      <c r="V30" s="774" t="s">
        <v>17</v>
      </c>
      <c r="W30" s="775">
        <f t="shared" si="14"/>
        <v>100</v>
      </c>
      <c r="X30" s="1805"/>
      <c r="Y30" s="3469"/>
      <c r="Z30" s="1806">
        <f t="shared" si="15"/>
        <v>111</v>
      </c>
      <c r="AA30" s="1803">
        <f t="shared" si="3"/>
        <v>1</v>
      </c>
      <c r="AB30" s="1803">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476"/>
      <c r="Q31" s="1802">
        <f t="shared" si="11"/>
        <v>111</v>
      </c>
      <c r="R31" s="774" t="s">
        <v>17</v>
      </c>
      <c r="S31" s="775">
        <f t="shared" si="12"/>
        <v>100</v>
      </c>
      <c r="T31" s="774" t="s">
        <v>17</v>
      </c>
      <c r="U31" s="775">
        <f t="shared" si="13"/>
        <v>100</v>
      </c>
      <c r="V31" s="774" t="s">
        <v>17</v>
      </c>
      <c r="W31" s="775">
        <f t="shared" si="14"/>
        <v>100</v>
      </c>
      <c r="X31" s="1805"/>
      <c r="Y31" s="3469"/>
      <c r="Z31" s="1806">
        <f t="shared" si="15"/>
        <v>111</v>
      </c>
      <c r="AA31" s="1803">
        <f t="shared" si="3"/>
        <v>1</v>
      </c>
      <c r="AB31" s="1803">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476"/>
      <c r="Q32" s="1802">
        <f t="shared" si="11"/>
        <v>111</v>
      </c>
      <c r="R32" s="774" t="s">
        <v>17</v>
      </c>
      <c r="S32" s="775">
        <f t="shared" si="12"/>
        <v>100</v>
      </c>
      <c r="T32" s="774" t="s">
        <v>17</v>
      </c>
      <c r="U32" s="775">
        <f t="shared" si="13"/>
        <v>100</v>
      </c>
      <c r="V32" s="774" t="s">
        <v>17</v>
      </c>
      <c r="W32" s="775">
        <f t="shared" si="14"/>
        <v>100</v>
      </c>
      <c r="X32" s="1805"/>
      <c r="Y32" s="3469"/>
      <c r="Z32" s="1806">
        <f t="shared" si="15"/>
        <v>111</v>
      </c>
      <c r="AA32" s="1803">
        <f t="shared" si="3"/>
        <v>1</v>
      </c>
      <c r="AB32" s="1803">
        <f t="shared" si="4"/>
        <v>1</v>
      </c>
      <c r="AC32" s="2668">
        <f t="shared" si="5"/>
        <v>1</v>
      </c>
    </row>
    <row r="33" spans="1:29" ht="15">
      <c r="A33" s="440" t="s">
        <v>2559</v>
      </c>
      <c r="B33" s="71" t="s">
        <v>2689</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470" t="s">
        <v>2561</v>
      </c>
      <c r="Q33" s="1802" t="str">
        <f t="shared" si="11"/>
        <v>建筑类型</v>
      </c>
      <c r="R33" s="774" t="s">
        <v>17</v>
      </c>
      <c r="S33" s="775">
        <f t="shared" si="12"/>
        <v>100</v>
      </c>
      <c r="T33" s="774" t="s">
        <v>17</v>
      </c>
      <c r="U33" s="775">
        <f t="shared" si="13"/>
        <v>100</v>
      </c>
      <c r="V33" s="774" t="s">
        <v>17</v>
      </c>
      <c r="W33" s="775">
        <f t="shared" si="14"/>
        <v>100</v>
      </c>
      <c r="X33" s="1805"/>
      <c r="Y33" s="3473" t="s">
        <v>2561</v>
      </c>
      <c r="Z33" s="1806" t="str">
        <f t="shared" si="15"/>
        <v>建筑类型</v>
      </c>
      <c r="AA33" s="1803">
        <f t="shared" si="3"/>
        <v>1</v>
      </c>
      <c r="AB33" s="1803">
        <f t="shared" si="4"/>
        <v>1</v>
      </c>
      <c r="AC33" s="2668">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471"/>
      <c r="Q34" s="776" t="str">
        <f t="shared" si="11"/>
        <v>项目建筑规模</v>
      </c>
      <c r="R34" s="777" t="s">
        <v>17</v>
      </c>
      <c r="S34" s="778" t="e">
        <f t="shared" si="12"/>
        <v>#N/A</v>
      </c>
      <c r="T34" s="777" t="s">
        <v>17</v>
      </c>
      <c r="U34" s="778" t="e">
        <f t="shared" si="13"/>
        <v>#N/A</v>
      </c>
      <c r="V34" s="777" t="s">
        <v>17</v>
      </c>
      <c r="W34" s="778" t="e">
        <f t="shared" si="14"/>
        <v>#N/A</v>
      </c>
      <c r="X34" s="779"/>
      <c r="Y34" s="3473"/>
      <c r="Z34" s="780" t="str">
        <f t="shared" si="15"/>
        <v>项目建筑规模</v>
      </c>
      <c r="AA34" s="1803" t="e">
        <f t="shared" si="3"/>
        <v>#N/A</v>
      </c>
      <c r="AB34" s="1803" t="e">
        <f t="shared" si="4"/>
        <v>#N/A</v>
      </c>
      <c r="AC34" s="2668"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471"/>
      <c r="Q35" s="1802" t="str">
        <f t="shared" si="11"/>
        <v>建筑结构</v>
      </c>
      <c r="R35" s="774" t="s">
        <v>17</v>
      </c>
      <c r="S35" s="775">
        <f t="shared" si="12"/>
        <v>100</v>
      </c>
      <c r="T35" s="774" t="s">
        <v>17</v>
      </c>
      <c r="U35" s="775">
        <f t="shared" si="13"/>
        <v>100</v>
      </c>
      <c r="V35" s="774" t="s">
        <v>17</v>
      </c>
      <c r="W35" s="775">
        <f t="shared" si="14"/>
        <v>100</v>
      </c>
      <c r="X35" s="1805"/>
      <c r="Y35" s="3473"/>
      <c r="Z35" s="1806" t="str">
        <f t="shared" si="15"/>
        <v>建筑结构</v>
      </c>
      <c r="AA35" s="1803">
        <f t="shared" si="3"/>
        <v>1</v>
      </c>
      <c r="AB35" s="1803">
        <f t="shared" si="4"/>
        <v>1</v>
      </c>
      <c r="AC35" s="2668">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471"/>
      <c r="Q36" s="1802" t="str">
        <f t="shared" si="11"/>
        <v>公共部分装修</v>
      </c>
      <c r="R36" s="774" t="s">
        <v>17</v>
      </c>
      <c r="S36" s="775">
        <f t="shared" si="12"/>
        <v>100</v>
      </c>
      <c r="T36" s="774" t="s">
        <v>17</v>
      </c>
      <c r="U36" s="775">
        <f t="shared" si="13"/>
        <v>100</v>
      </c>
      <c r="V36" s="774" t="s">
        <v>17</v>
      </c>
      <c r="W36" s="775">
        <f t="shared" si="14"/>
        <v>100</v>
      </c>
      <c r="X36" s="1805"/>
      <c r="Y36" s="3473"/>
      <c r="Z36" s="1806" t="str">
        <f t="shared" si="15"/>
        <v>公共部分装修</v>
      </c>
      <c r="AA36" s="1803">
        <f t="shared" si="3"/>
        <v>1</v>
      </c>
      <c r="AB36" s="1803">
        <f t="shared" si="4"/>
        <v>1</v>
      </c>
      <c r="AC36" s="2668">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471"/>
      <c r="Q37" s="1802" t="str">
        <f t="shared" si="11"/>
        <v>成新度</v>
      </c>
      <c r="R37" s="774" t="s">
        <v>17</v>
      </c>
      <c r="S37" s="775" t="e">
        <f t="shared" si="12"/>
        <v>#N/A</v>
      </c>
      <c r="T37" s="774" t="s">
        <v>17</v>
      </c>
      <c r="U37" s="775" t="e">
        <f t="shared" si="13"/>
        <v>#N/A</v>
      </c>
      <c r="V37" s="774" t="s">
        <v>17</v>
      </c>
      <c r="W37" s="775" t="e">
        <f t="shared" si="14"/>
        <v>#N/A</v>
      </c>
      <c r="X37" s="1805"/>
      <c r="Y37" s="3473"/>
      <c r="Z37" s="1806" t="str">
        <f t="shared" si="15"/>
        <v>成新度</v>
      </c>
      <c r="AA37" s="1803" t="e">
        <f t="shared" si="3"/>
        <v>#N/A</v>
      </c>
      <c r="AB37" s="1803" t="e">
        <f t="shared" si="4"/>
        <v>#N/A</v>
      </c>
      <c r="AC37" s="2668"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471"/>
      <c r="Q38" s="1787" t="str">
        <f t="shared" si="11"/>
        <v>写字楼等级</v>
      </c>
      <c r="R38" s="770" t="s">
        <v>17</v>
      </c>
      <c r="S38" s="771">
        <f t="shared" si="12"/>
        <v>100</v>
      </c>
      <c r="T38" s="770" t="s">
        <v>17</v>
      </c>
      <c r="U38" s="771">
        <f t="shared" si="13"/>
        <v>100</v>
      </c>
      <c r="V38" s="770" t="s">
        <v>17</v>
      </c>
      <c r="W38" s="771">
        <f t="shared" si="14"/>
        <v>100</v>
      </c>
      <c r="X38" s="772"/>
      <c r="Y38" s="3473"/>
      <c r="Z38" s="55" t="str">
        <f t="shared" si="15"/>
        <v>写字楼等级</v>
      </c>
      <c r="AA38" s="773">
        <f t="shared" si="3"/>
        <v>1</v>
      </c>
      <c r="AB38" s="773">
        <f t="shared" si="4"/>
        <v>1</v>
      </c>
      <c r="AC38" s="2665">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471" t="s">
        <v>2561</v>
      </c>
      <c r="Q39" s="1802" t="str">
        <f t="shared" si="11"/>
        <v>物业管理</v>
      </c>
      <c r="R39" s="774" t="s">
        <v>17</v>
      </c>
      <c r="S39" s="775">
        <f t="shared" si="12"/>
        <v>100</v>
      </c>
      <c r="T39" s="774" t="s">
        <v>17</v>
      </c>
      <c r="U39" s="775">
        <f t="shared" si="13"/>
        <v>100</v>
      </c>
      <c r="V39" s="774" t="s">
        <v>17</v>
      </c>
      <c r="W39" s="775">
        <f t="shared" si="14"/>
        <v>100</v>
      </c>
      <c r="X39" s="1805"/>
      <c r="Y39" s="3473" t="s">
        <v>2561</v>
      </c>
      <c r="Z39" s="1806" t="str">
        <f t="shared" si="15"/>
        <v>物业管理</v>
      </c>
      <c r="AA39" s="1803">
        <f t="shared" si="3"/>
        <v>1</v>
      </c>
      <c r="AB39" s="1803">
        <f t="shared" si="4"/>
        <v>1</v>
      </c>
      <c r="AC39" s="2668">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471"/>
      <c r="Q40" s="1802" t="str">
        <f t="shared" si="11"/>
        <v>市政基础设施</v>
      </c>
      <c r="R40" s="774" t="s">
        <v>17</v>
      </c>
      <c r="S40" s="775">
        <f t="shared" si="12"/>
        <v>100</v>
      </c>
      <c r="T40" s="774" t="s">
        <v>17</v>
      </c>
      <c r="U40" s="775">
        <f t="shared" si="13"/>
        <v>100</v>
      </c>
      <c r="V40" s="774" t="s">
        <v>17</v>
      </c>
      <c r="W40" s="775">
        <f t="shared" si="14"/>
        <v>100</v>
      </c>
      <c r="X40" s="1805"/>
      <c r="Y40" s="3473"/>
      <c r="Z40" s="1806" t="str">
        <f t="shared" si="15"/>
        <v>市政基础设施</v>
      </c>
      <c r="AA40" s="1803">
        <f t="shared" si="3"/>
        <v>1</v>
      </c>
      <c r="AB40" s="1803">
        <f t="shared" si="4"/>
        <v>1</v>
      </c>
      <c r="AC40" s="2668">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471"/>
      <c r="Q41" s="1802" t="str">
        <f t="shared" si="11"/>
        <v>层高</v>
      </c>
      <c r="R41" s="774" t="s">
        <v>17</v>
      </c>
      <c r="S41" s="775">
        <f t="shared" si="12"/>
        <v>100</v>
      </c>
      <c r="T41" s="774" t="s">
        <v>17</v>
      </c>
      <c r="U41" s="775">
        <f t="shared" si="13"/>
        <v>100</v>
      </c>
      <c r="V41" s="774" t="s">
        <v>17</v>
      </c>
      <c r="W41" s="775">
        <f t="shared" si="14"/>
        <v>100</v>
      </c>
      <c r="X41" s="1805"/>
      <c r="Y41" s="3473"/>
      <c r="Z41" s="1806" t="str">
        <f t="shared" si="15"/>
        <v>层高</v>
      </c>
      <c r="AA41" s="1803">
        <f t="shared" si="3"/>
        <v>1</v>
      </c>
      <c r="AB41" s="1803">
        <f t="shared" si="4"/>
        <v>1</v>
      </c>
      <c r="AC41" s="2668">
        <f t="shared" si="5"/>
        <v>1</v>
      </c>
    </row>
    <row r="42" spans="1:29" s="471" customFormat="1" ht="15">
      <c r="A42" s="468"/>
      <c r="B42" s="1804"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471"/>
      <c r="Q42" s="776" t="str">
        <f t="shared" si="11"/>
        <v>单套建筑面积</v>
      </c>
      <c r="R42" s="777" t="s">
        <v>17</v>
      </c>
      <c r="S42" s="778">
        <f t="shared" si="12"/>
        <v>100</v>
      </c>
      <c r="T42" s="777" t="s">
        <v>17</v>
      </c>
      <c r="U42" s="778">
        <f t="shared" si="13"/>
        <v>100</v>
      </c>
      <c r="V42" s="777" t="s">
        <v>17</v>
      </c>
      <c r="W42" s="778">
        <f t="shared" si="14"/>
        <v>100</v>
      </c>
      <c r="X42" s="779"/>
      <c r="Y42" s="3473"/>
      <c r="Z42" s="780" t="str">
        <f t="shared" si="15"/>
        <v>单套建筑面积</v>
      </c>
      <c r="AA42" s="1803">
        <f t="shared" si="3"/>
        <v>1</v>
      </c>
      <c r="AB42" s="1803">
        <f t="shared" si="4"/>
        <v>1</v>
      </c>
      <c r="AC42" s="2668">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471"/>
      <c r="Q43" s="1802" t="str">
        <f t="shared" si="11"/>
        <v>内部装修</v>
      </c>
      <c r="R43" s="774" t="s">
        <v>17</v>
      </c>
      <c r="S43" s="775">
        <f t="shared" si="12"/>
        <v>100</v>
      </c>
      <c r="T43" s="774" t="s">
        <v>17</v>
      </c>
      <c r="U43" s="775">
        <f t="shared" si="13"/>
        <v>100</v>
      </c>
      <c r="V43" s="774" t="s">
        <v>17</v>
      </c>
      <c r="W43" s="775">
        <f t="shared" si="14"/>
        <v>100</v>
      </c>
      <c r="X43" s="1805"/>
      <c r="Y43" s="3473"/>
      <c r="Z43" s="1806" t="str">
        <f t="shared" si="15"/>
        <v>内部装修</v>
      </c>
      <c r="AA43" s="1803">
        <f t="shared" si="3"/>
        <v>1</v>
      </c>
      <c r="AB43" s="1803">
        <f t="shared" si="4"/>
        <v>1</v>
      </c>
      <c r="AC43" s="2668">
        <f t="shared" si="5"/>
        <v>1</v>
      </c>
    </row>
    <row r="44" spans="1:29" ht="15">
      <c r="A44" s="472"/>
      <c r="B44" s="422" t="s">
        <v>2572</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40"/>
      <c r="M44" s="1131"/>
      <c r="N44" s="1131"/>
      <c r="O44" s="1131"/>
      <c r="P44" s="3471"/>
      <c r="Q44" s="1802" t="str">
        <f t="shared" si="11"/>
        <v>内部装修维护情况</v>
      </c>
      <c r="R44" s="774" t="s">
        <v>17</v>
      </c>
      <c r="S44" s="775">
        <f t="shared" si="12"/>
        <v>100</v>
      </c>
      <c r="T44" s="774" t="s">
        <v>17</v>
      </c>
      <c r="U44" s="775">
        <f t="shared" si="13"/>
        <v>100</v>
      </c>
      <c r="V44" s="774" t="s">
        <v>17</v>
      </c>
      <c r="W44" s="775">
        <f t="shared" si="14"/>
        <v>100</v>
      </c>
      <c r="X44" s="1805"/>
      <c r="Y44" s="3473"/>
      <c r="Z44" s="1806" t="str">
        <f t="shared" si="15"/>
        <v>内部装修维护情况</v>
      </c>
      <c r="AA44" s="1803">
        <f t="shared" si="3"/>
        <v>1</v>
      </c>
      <c r="AB44" s="1803">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471"/>
      <c r="Q45" s="1787">
        <f t="shared" si="11"/>
        <v>111</v>
      </c>
      <c r="R45" s="770" t="s">
        <v>17</v>
      </c>
      <c r="S45" s="771">
        <f t="shared" si="12"/>
        <v>100</v>
      </c>
      <c r="T45" s="770" t="s">
        <v>17</v>
      </c>
      <c r="U45" s="771">
        <f t="shared" si="13"/>
        <v>100</v>
      </c>
      <c r="V45" s="770" t="s">
        <v>17</v>
      </c>
      <c r="W45" s="771">
        <f t="shared" si="14"/>
        <v>100</v>
      </c>
      <c r="X45" s="772"/>
      <c r="Y45" s="3473"/>
      <c r="Z45" s="55">
        <f t="shared" si="15"/>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471"/>
      <c r="Q46" s="1802">
        <f t="shared" si="11"/>
        <v>111</v>
      </c>
      <c r="R46" s="774" t="s">
        <v>17</v>
      </c>
      <c r="S46" s="775">
        <f t="shared" si="12"/>
        <v>100</v>
      </c>
      <c r="T46" s="774" t="s">
        <v>17</v>
      </c>
      <c r="U46" s="775">
        <f t="shared" si="13"/>
        <v>100</v>
      </c>
      <c r="V46" s="774" t="s">
        <v>17</v>
      </c>
      <c r="W46" s="775">
        <f t="shared" si="14"/>
        <v>100</v>
      </c>
      <c r="X46" s="1805"/>
      <c r="Y46" s="3473"/>
      <c r="Z46" s="1806">
        <f t="shared" si="15"/>
        <v>111</v>
      </c>
      <c r="AA46" s="1803">
        <f t="shared" si="3"/>
        <v>1</v>
      </c>
      <c r="AB46" s="1803">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472"/>
      <c r="Q47" s="1802">
        <f t="shared" si="11"/>
        <v>111</v>
      </c>
      <c r="R47" s="774" t="s">
        <v>17</v>
      </c>
      <c r="S47" s="775">
        <f t="shared" si="12"/>
        <v>100</v>
      </c>
      <c r="T47" s="774" t="s">
        <v>17</v>
      </c>
      <c r="U47" s="775">
        <f t="shared" si="13"/>
        <v>100</v>
      </c>
      <c r="V47" s="774" t="s">
        <v>17</v>
      </c>
      <c r="W47" s="775">
        <f t="shared" si="14"/>
        <v>100</v>
      </c>
      <c r="X47" s="1805"/>
      <c r="Y47" s="3474"/>
      <c r="Z47" s="1806">
        <f t="shared" si="15"/>
        <v>111</v>
      </c>
      <c r="AA47" s="1803">
        <f t="shared" si="3"/>
        <v>1</v>
      </c>
      <c r="AB47" s="1803">
        <f t="shared" si="4"/>
        <v>1</v>
      </c>
      <c r="AC47" s="2668">
        <f t="shared" si="5"/>
        <v>1</v>
      </c>
    </row>
    <row r="48" spans="1:29" ht="15">
      <c r="A48" s="479" t="s">
        <v>2573</v>
      </c>
      <c r="B48" s="480"/>
      <c r="C48" s="1407" t="s">
        <v>1</v>
      </c>
      <c r="D48" s="1408"/>
      <c r="E48" s="1409"/>
      <c r="F48" s="1410"/>
      <c r="G48" s="1411"/>
      <c r="H48" s="1412"/>
      <c r="I48" s="1409"/>
      <c r="J48" s="485"/>
      <c r="K48" s="783"/>
      <c r="L48" s="1143"/>
      <c r="M48" s="1131"/>
      <c r="N48" s="1131"/>
      <c r="O48" s="1131"/>
      <c r="P48" s="3477" t="str">
        <f>A48</f>
        <v>成交单价（元/平方米）</v>
      </c>
      <c r="Q48" s="3466"/>
      <c r="R48" s="3467">
        <f>E48</f>
        <v>0</v>
      </c>
      <c r="S48" s="3467"/>
      <c r="T48" s="3467">
        <f>G48</f>
        <v>0</v>
      </c>
      <c r="U48" s="3467"/>
      <c r="V48" s="3467">
        <f>I48</f>
        <v>0</v>
      </c>
      <c r="W48" s="3467"/>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477" t="str">
        <f>A49</f>
        <v>比较价值（元/平方米）</v>
      </c>
      <c r="Q49" s="3466"/>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509" t="str">
        <f>A50</f>
        <v>估价对象XX用房的比较价值（楼面单价，元/平方米）</v>
      </c>
      <c r="Q50" s="3510"/>
      <c r="R50" s="3511" t="e">
        <f>IF(F1="售价",ROUND(AVERAGE(R49:V49),0),ROUND(AVERAGE(R49:V49),1))</f>
        <v>#DIV/0!</v>
      </c>
      <c r="S50" s="3511"/>
      <c r="T50" s="3511"/>
      <c r="U50" s="3511"/>
      <c r="V50" s="3511"/>
      <c r="W50" s="3511"/>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75"/>
      <c r="Q58" s="504"/>
    </row>
    <row r="59" spans="1:29" s="508" customFormat="1" ht="15">
      <c r="A59" s="505" t="s">
        <v>2544</v>
      </c>
      <c r="B59" s="506"/>
      <c r="C59" s="1574" t="str">
        <f>YEAR(C7)&amp;"-"&amp;MONTH(C7)</f>
        <v>2021-8</v>
      </c>
      <c r="D59" s="1575">
        <f>EDATE(C59,-1)</f>
        <v>44378</v>
      </c>
      <c r="E59" s="1575">
        <f>EDATE(D59,-1)</f>
        <v>44348</v>
      </c>
      <c r="F59" s="1575">
        <f t="shared" ref="F59:O59" si="16">EDATE(E59,-1)</f>
        <v>44317</v>
      </c>
      <c r="G59" s="1575">
        <f t="shared" si="16"/>
        <v>44287</v>
      </c>
      <c r="H59" s="1575">
        <f t="shared" si="16"/>
        <v>44256</v>
      </c>
      <c r="I59" s="1575">
        <f t="shared" si="16"/>
        <v>44228</v>
      </c>
      <c r="J59" s="1575">
        <f t="shared" si="16"/>
        <v>44197</v>
      </c>
      <c r="K59" s="1575">
        <f t="shared" si="16"/>
        <v>44166</v>
      </c>
      <c r="L59" s="1575">
        <f t="shared" si="16"/>
        <v>44136</v>
      </c>
      <c r="M59" s="1575">
        <f t="shared" si="16"/>
        <v>44105</v>
      </c>
      <c r="N59" s="1575">
        <f t="shared" si="16"/>
        <v>44075</v>
      </c>
      <c r="O59" s="1575">
        <f t="shared" si="16"/>
        <v>44044</v>
      </c>
      <c r="P59" s="1571"/>
    </row>
    <row r="60" spans="1:29" s="117" customFormat="1" ht="15">
      <c r="A60" s="509"/>
      <c r="B60" s="510"/>
      <c r="C60" s="1573">
        <v>100</v>
      </c>
      <c r="D60" s="512"/>
      <c r="E60" s="512"/>
      <c r="F60" s="512"/>
      <c r="G60" s="512"/>
      <c r="H60" s="512"/>
      <c r="I60" s="512"/>
      <c r="J60" s="512"/>
      <c r="K60" s="512"/>
      <c r="L60" s="512"/>
      <c r="M60" s="513"/>
      <c r="N60" s="512"/>
      <c r="O60" s="513"/>
      <c r="P60" s="2676"/>
    </row>
    <row r="61" spans="1:29" s="117" customFormat="1" ht="15.75" thickBot="1">
      <c r="A61" s="515" t="s">
        <v>2581</v>
      </c>
      <c r="B61" s="516"/>
      <c r="C61" s="517"/>
      <c r="D61" s="518"/>
      <c r="E61" s="518"/>
      <c r="F61" s="518"/>
      <c r="G61" s="518"/>
      <c r="H61" s="518"/>
      <c r="I61" s="518"/>
      <c r="J61" s="518"/>
      <c r="K61" s="518"/>
      <c r="L61" s="518"/>
      <c r="M61" s="519"/>
      <c r="N61" s="518"/>
      <c r="O61" s="519"/>
      <c r="P61" s="2676"/>
      <c r="Q61" s="504"/>
    </row>
    <row r="62" spans="1:29" s="117" customFormat="1" ht="15">
      <c r="A62" s="521" t="s">
        <v>2546</v>
      </c>
      <c r="B62" s="510"/>
      <c r="C62" s="522" t="s">
        <v>2648</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2584</v>
      </c>
      <c r="B64" s="528" t="s">
        <v>2550</v>
      </c>
      <c r="C64" s="529">
        <f>C9</f>
        <v>0</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5.75" thickTop="1">
      <c r="A71" s="553"/>
      <c r="B71" s="538">
        <f>B12</f>
        <v>111</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111</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111</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7.75" thickTop="1">
      <c r="A87" s="579"/>
      <c r="B87" s="538" t="s">
        <v>2695</v>
      </c>
      <c r="C87" s="554"/>
      <c r="D87" s="554"/>
      <c r="E87" s="554"/>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5.75"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5.75" thickTop="1">
      <c r="A93" s="534"/>
      <c r="B93" s="538">
        <f>B29</f>
        <v>111</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111</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111</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111</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2559</v>
      </c>
      <c r="B101" s="528" t="s">
        <v>2608</v>
      </c>
      <c r="C101" s="530"/>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2610</v>
      </c>
      <c r="C106" s="554"/>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5" thickTop="1">
      <c r="A108" s="599"/>
      <c r="B108" s="538" t="s">
        <v>2612</v>
      </c>
      <c r="C108" s="554"/>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5" thickTop="1">
      <c r="A115" s="599"/>
      <c r="B115" s="538" t="s">
        <v>2613</v>
      </c>
      <c r="C115" s="554"/>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2614</v>
      </c>
      <c r="C117" s="554"/>
      <c r="D117" s="554"/>
      <c r="E117" s="554"/>
      <c r="F117" s="554"/>
      <c r="G117" s="554"/>
      <c r="H117" s="583"/>
      <c r="I117" s="583"/>
      <c r="J117" s="583"/>
      <c r="K117" s="584"/>
      <c r="L117" s="585"/>
      <c r="M117" s="586"/>
      <c r="N117" s="1152"/>
      <c r="O117" s="1152"/>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2697</v>
      </c>
      <c r="C119" s="583"/>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2616</v>
      </c>
      <c r="C123" s="554"/>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111</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111</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0 I20 G20 C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C2" xr:uid="{00000000-0002-0000-2500-000016000000}">
      <formula1>"需扣减承租人权益,——"</formula1>
    </dataValidation>
    <dataValidation type="list" allowBlank="1" showInputMessage="1" showErrorMessage="1" sqref="F2" xr:uid="{00000000-0002-0000-25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2524</v>
      </c>
      <c r="B1" s="2663" t="s">
        <v>2698</v>
      </c>
      <c r="C1" s="1620" t="s">
        <v>2526</v>
      </c>
      <c r="D1" s="1621"/>
      <c r="E1" s="1630"/>
      <c r="F1" s="2578"/>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0"/>
      <c r="D2" s="1124" t="e">
        <f ca="1">SUMIF(INDIRECT("'"&amp;F2&amp;"'"&amp;"!A:A"),"承租人权益价值",INDIRECT("'"&amp;F2&amp;"'"&amp;"!c:c"))</f>
        <v>#REF!</v>
      </c>
      <c r="E2" s="2581" t="s">
        <v>2324</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11757.189999999999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481" t="s">
        <v>2642</v>
      </c>
      <c r="D4" s="3482"/>
      <c r="E4" s="3483" t="s">
        <v>2643</v>
      </c>
      <c r="F4" s="3484"/>
      <c r="G4" s="3481" t="s">
        <v>2644</v>
      </c>
      <c r="H4" s="3482"/>
      <c r="I4" s="3481" t="s">
        <v>2645</v>
      </c>
      <c r="J4" s="3482"/>
      <c r="K4" s="610" t="s">
        <v>2646</v>
      </c>
      <c r="L4" s="1130"/>
      <c r="M4" s="1131"/>
      <c r="N4" s="1131"/>
      <c r="O4" s="1131"/>
      <c r="P4" s="3485" t="s">
        <v>2647</v>
      </c>
      <c r="Q4" s="3486"/>
      <c r="R4" s="3491" t="s">
        <v>2643</v>
      </c>
      <c r="S4" s="3492"/>
      <c r="T4" s="3491" t="s">
        <v>2644</v>
      </c>
      <c r="U4" s="3492"/>
      <c r="V4" s="3497" t="s">
        <v>2645</v>
      </c>
      <c r="W4" s="3497"/>
      <c r="X4" s="1805"/>
      <c r="Y4" s="3491" t="s">
        <v>2647</v>
      </c>
      <c r="Z4" s="3492"/>
      <c r="AA4" s="3478" t="s">
        <v>2643</v>
      </c>
      <c r="AB4" s="3479" t="s">
        <v>2644</v>
      </c>
      <c r="AC4" s="3478" t="s">
        <v>2645</v>
      </c>
    </row>
    <row r="5" spans="1:29" ht="15">
      <c r="A5" s="404"/>
      <c r="B5" s="405"/>
      <c r="C5" s="3500" t="s">
        <v>2538</v>
      </c>
      <c r="D5" s="3501"/>
      <c r="E5" s="3507" t="s">
        <v>2539</v>
      </c>
      <c r="F5" s="3508"/>
      <c r="G5" s="3500" t="s">
        <v>2540</v>
      </c>
      <c r="H5" s="3501"/>
      <c r="I5" s="3500" t="s">
        <v>2541</v>
      </c>
      <c r="J5" s="3501"/>
      <c r="K5" s="610"/>
      <c r="L5" s="1130"/>
      <c r="M5" s="1131"/>
      <c r="N5" s="1131"/>
      <c r="O5" s="1131"/>
      <c r="P5" s="3487"/>
      <c r="Q5" s="3488"/>
      <c r="R5" s="3493"/>
      <c r="S5" s="3494"/>
      <c r="T5" s="3493"/>
      <c r="U5" s="3494"/>
      <c r="V5" s="3497"/>
      <c r="W5" s="3497"/>
      <c r="X5" s="1805"/>
      <c r="Y5" s="3493"/>
      <c r="Z5" s="3494"/>
      <c r="AA5" s="3479"/>
      <c r="AB5" s="3479"/>
      <c r="AC5" s="3479"/>
    </row>
    <row r="6" spans="1:29" ht="15.75" thickBot="1">
      <c r="A6" s="406"/>
      <c r="B6" s="407"/>
      <c r="C6" s="3498" t="s">
        <v>2542</v>
      </c>
      <c r="D6" s="3499"/>
      <c r="E6" s="3505" t="s">
        <v>2542</v>
      </c>
      <c r="F6" s="3506"/>
      <c r="G6" s="3498" t="s">
        <v>2542</v>
      </c>
      <c r="H6" s="3499"/>
      <c r="I6" s="3498" t="s">
        <v>2542</v>
      </c>
      <c r="J6" s="3499"/>
      <c r="K6" s="610" t="s">
        <v>2543</v>
      </c>
      <c r="L6" s="1130"/>
      <c r="M6" s="1131"/>
      <c r="N6" s="1131"/>
      <c r="O6" s="1131"/>
      <c r="P6" s="3489"/>
      <c r="Q6" s="3490"/>
      <c r="R6" s="3493"/>
      <c r="S6" s="3494"/>
      <c r="T6" s="3495"/>
      <c r="U6" s="3496"/>
      <c r="V6" s="3497"/>
      <c r="W6" s="3497"/>
      <c r="X6" s="1805"/>
      <c r="Y6" s="3495"/>
      <c r="Z6" s="3496"/>
      <c r="AA6" s="3480"/>
      <c r="AB6" s="3480"/>
      <c r="AC6" s="3480"/>
    </row>
    <row r="7" spans="1:29" s="117" customFormat="1" ht="15.75" thickBot="1">
      <c r="A7" s="408" t="s">
        <v>2544</v>
      </c>
      <c r="B7" s="409"/>
      <c r="C7" s="410">
        <f>'数据-取费表'!B2</f>
        <v>44425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502" t="s">
        <v>2545</v>
      </c>
      <c r="Q7" s="3504"/>
      <c r="R7" s="770" t="s">
        <v>17</v>
      </c>
      <c r="S7" s="771">
        <f t="shared" ref="S7:S15" si="0">F7</f>
        <v>0</v>
      </c>
      <c r="T7" s="770" t="s">
        <v>17</v>
      </c>
      <c r="U7" s="771">
        <f t="shared" ref="U7:U15" si="1">H7</f>
        <v>0</v>
      </c>
      <c r="V7" s="770" t="s">
        <v>17</v>
      </c>
      <c r="W7" s="771">
        <f t="shared" ref="W7:W15" si="2">J7</f>
        <v>0</v>
      </c>
      <c r="X7" s="772"/>
      <c r="Y7" s="3502" t="s">
        <v>2545</v>
      </c>
      <c r="Z7" s="3503"/>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502" t="s">
        <v>2548</v>
      </c>
      <c r="Q8" s="3503"/>
      <c r="R8" s="770" t="s">
        <v>17</v>
      </c>
      <c r="S8" s="771">
        <f t="shared" si="0"/>
        <v>0</v>
      </c>
      <c r="T8" s="770" t="s">
        <v>17</v>
      </c>
      <c r="U8" s="771">
        <f t="shared" si="1"/>
        <v>0</v>
      </c>
      <c r="V8" s="770" t="s">
        <v>17</v>
      </c>
      <c r="W8" s="771">
        <f t="shared" si="2"/>
        <v>0</v>
      </c>
      <c r="X8" s="772"/>
      <c r="Y8" s="3502" t="s">
        <v>2548</v>
      </c>
      <c r="Z8" s="3503"/>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466" t="s">
        <v>2551</v>
      </c>
      <c r="Q9" s="1787" t="str">
        <f t="shared" ref="Q9:Q15" si="6">B9</f>
        <v>用途</v>
      </c>
      <c r="R9" s="770" t="s">
        <v>17</v>
      </c>
      <c r="S9" s="771">
        <f t="shared" si="0"/>
        <v>100</v>
      </c>
      <c r="T9" s="770" t="s">
        <v>17</v>
      </c>
      <c r="U9" s="771">
        <f t="shared" si="1"/>
        <v>100</v>
      </c>
      <c r="V9" s="770" t="s">
        <v>17</v>
      </c>
      <c r="W9" s="771">
        <f t="shared" si="2"/>
        <v>100</v>
      </c>
      <c r="X9" s="772"/>
      <c r="Y9" s="3259"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466"/>
      <c r="Q10" s="1787" t="str">
        <f t="shared" si="6"/>
        <v>土地使用年限（年）</v>
      </c>
      <c r="R10" s="770" t="s">
        <v>17</v>
      </c>
      <c r="S10" s="771">
        <f t="shared" si="0"/>
        <v>100</v>
      </c>
      <c r="T10" s="770" t="s">
        <v>17</v>
      </c>
      <c r="U10" s="771">
        <f t="shared" si="1"/>
        <v>100</v>
      </c>
      <c r="V10" s="770" t="s">
        <v>17</v>
      </c>
      <c r="W10" s="771">
        <f t="shared" si="2"/>
        <v>100</v>
      </c>
      <c r="X10" s="772"/>
      <c r="Y10" s="3259"/>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466"/>
      <c r="Q11" s="1787" t="str">
        <f t="shared" si="6"/>
        <v>容积率</v>
      </c>
      <c r="R11" s="770" t="s">
        <v>17</v>
      </c>
      <c r="S11" s="771" t="e">
        <f t="shared" si="0"/>
        <v>#N/A</v>
      </c>
      <c r="T11" s="770" t="s">
        <v>17</v>
      </c>
      <c r="U11" s="771" t="e">
        <f t="shared" si="1"/>
        <v>#N/A</v>
      </c>
      <c r="V11" s="770" t="s">
        <v>17</v>
      </c>
      <c r="W11" s="771" t="e">
        <f t="shared" si="2"/>
        <v>#N/A</v>
      </c>
      <c r="X11" s="772"/>
      <c r="Y11" s="3259"/>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466"/>
      <c r="Q12" s="1787">
        <f t="shared" si="6"/>
        <v>111</v>
      </c>
      <c r="R12" s="770" t="s">
        <v>17</v>
      </c>
      <c r="S12" s="771">
        <f t="shared" si="0"/>
        <v>100</v>
      </c>
      <c r="T12" s="770" t="s">
        <v>17</v>
      </c>
      <c r="U12" s="771">
        <f t="shared" si="1"/>
        <v>100</v>
      </c>
      <c r="V12" s="770" t="s">
        <v>17</v>
      </c>
      <c r="W12" s="771">
        <f t="shared" si="2"/>
        <v>100</v>
      </c>
      <c r="X12" s="772"/>
      <c r="Y12" s="3259"/>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466"/>
      <c r="Q13" s="1787">
        <f t="shared" si="6"/>
        <v>111</v>
      </c>
      <c r="R13" s="770" t="s">
        <v>17</v>
      </c>
      <c r="S13" s="771">
        <f t="shared" si="0"/>
        <v>100</v>
      </c>
      <c r="T13" s="770" t="s">
        <v>17</v>
      </c>
      <c r="U13" s="771">
        <f t="shared" si="1"/>
        <v>100</v>
      </c>
      <c r="V13" s="770" t="s">
        <v>17</v>
      </c>
      <c r="W13" s="771">
        <f t="shared" si="2"/>
        <v>100</v>
      </c>
      <c r="X13" s="772"/>
      <c r="Y13" s="3259"/>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466"/>
      <c r="Q14" s="1787">
        <f t="shared" si="6"/>
        <v>111</v>
      </c>
      <c r="R14" s="770" t="s">
        <v>17</v>
      </c>
      <c r="S14" s="771">
        <f t="shared" si="0"/>
        <v>100</v>
      </c>
      <c r="T14" s="770" t="s">
        <v>17</v>
      </c>
      <c r="U14" s="771">
        <f t="shared" si="1"/>
        <v>100</v>
      </c>
      <c r="V14" s="770" t="s">
        <v>17</v>
      </c>
      <c r="W14" s="771">
        <f t="shared" si="2"/>
        <v>100</v>
      </c>
      <c r="X14" s="772"/>
      <c r="Y14" s="3259"/>
      <c r="Z14" s="55">
        <f t="shared" si="7"/>
        <v>111</v>
      </c>
      <c r="AA14" s="773">
        <f t="shared" si="3"/>
        <v>1</v>
      </c>
      <c r="AB14" s="773">
        <f t="shared" si="4"/>
        <v>1</v>
      </c>
      <c r="AC14" s="773">
        <f t="shared" si="5"/>
        <v>1</v>
      </c>
    </row>
    <row r="15" spans="1:29" ht="57">
      <c r="A15" s="440" t="s">
        <v>2555</v>
      </c>
      <c r="B15" s="69" t="s">
        <v>2699</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468" t="s">
        <v>2556</v>
      </c>
      <c r="Q15" s="1802" t="str">
        <f t="shared" si="6"/>
        <v>产业集聚程度</v>
      </c>
      <c r="R15" s="774" t="s">
        <v>17</v>
      </c>
      <c r="S15" s="775">
        <f t="shared" si="0"/>
        <v>100</v>
      </c>
      <c r="T15" s="774" t="s">
        <v>17</v>
      </c>
      <c r="U15" s="775">
        <f t="shared" si="1"/>
        <v>100</v>
      </c>
      <c r="V15" s="774" t="s">
        <v>17</v>
      </c>
      <c r="W15" s="775">
        <f t="shared" si="2"/>
        <v>100</v>
      </c>
      <c r="X15" s="1805"/>
      <c r="Y15" s="3468" t="s">
        <v>2556</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469"/>
      <c r="Q16" s="1802"/>
      <c r="R16" s="774"/>
      <c r="S16" s="775"/>
      <c r="T16" s="774"/>
      <c r="U16" s="775"/>
      <c r="V16" s="774"/>
      <c r="W16" s="775"/>
      <c r="X16" s="1805"/>
      <c r="Y16" s="3469"/>
      <c r="Z16" s="1806"/>
      <c r="AA16" s="1803">
        <v>1</v>
      </c>
      <c r="AB16" s="1803">
        <v>1</v>
      </c>
      <c r="AC16" s="1803">
        <v>1</v>
      </c>
    </row>
    <row r="17" spans="1:29" ht="85.5">
      <c r="A17" s="428"/>
      <c r="B17" s="451" t="s">
        <v>2092</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469"/>
      <c r="Q17" s="1802" t="str">
        <f>B17</f>
        <v>交通便捷度</v>
      </c>
      <c r="R17" s="774" t="s">
        <v>17</v>
      </c>
      <c r="S17" s="775">
        <f>F17</f>
        <v>100</v>
      </c>
      <c r="T17" s="774" t="s">
        <v>17</v>
      </c>
      <c r="U17" s="775">
        <f>H17</f>
        <v>100</v>
      </c>
      <c r="V17" s="774" t="s">
        <v>17</v>
      </c>
      <c r="W17" s="775">
        <f>J17</f>
        <v>100</v>
      </c>
      <c r="X17" s="1805"/>
      <c r="Y17" s="3469"/>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9"/>
      <c r="P18" s="3469"/>
      <c r="Q18" s="1802"/>
      <c r="R18" s="774"/>
      <c r="S18" s="775"/>
      <c r="T18" s="774"/>
      <c r="U18" s="775"/>
      <c r="V18" s="774"/>
      <c r="W18" s="775"/>
      <c r="X18" s="1805"/>
      <c r="Y18" s="3469"/>
      <c r="Z18" s="1806"/>
      <c r="AA18" s="1803">
        <v>1</v>
      </c>
      <c r="AB18" s="1803">
        <v>1</v>
      </c>
      <c r="AC18" s="1803">
        <v>1</v>
      </c>
    </row>
    <row r="19" spans="1:29" ht="42.75">
      <c r="A19" s="428"/>
      <c r="B19" s="451" t="s">
        <v>2684</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469"/>
      <c r="Q19" s="1802" t="str">
        <f>B19</f>
        <v>公共配套设施</v>
      </c>
      <c r="R19" s="774" t="s">
        <v>17</v>
      </c>
      <c r="S19" s="775">
        <f>F19</f>
        <v>100</v>
      </c>
      <c r="T19" s="774" t="s">
        <v>17</v>
      </c>
      <c r="U19" s="775">
        <f>H19</f>
        <v>100</v>
      </c>
      <c r="V19" s="774" t="s">
        <v>17</v>
      </c>
      <c r="W19" s="775">
        <f>J19</f>
        <v>100</v>
      </c>
      <c r="X19" s="1805"/>
      <c r="Y19" s="3469"/>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9"/>
      <c r="P20" s="3469"/>
      <c r="Q20" s="1802"/>
      <c r="R20" s="774"/>
      <c r="S20" s="775"/>
      <c r="T20" s="774"/>
      <c r="U20" s="775"/>
      <c r="V20" s="774"/>
      <c r="W20" s="775"/>
      <c r="X20" s="1805"/>
      <c r="Y20" s="3469"/>
      <c r="Z20" s="1806"/>
      <c r="AA20" s="1803">
        <v>1</v>
      </c>
      <c r="AB20" s="1803">
        <v>1</v>
      </c>
      <c r="AC20" s="1803">
        <v>1</v>
      </c>
    </row>
    <row r="21" spans="1:29" ht="28.5">
      <c r="A21" s="428"/>
      <c r="B21" s="1384" t="s">
        <v>2685</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469"/>
      <c r="Q21" s="1802" t="str">
        <f>B21</f>
        <v>基础设施水平</v>
      </c>
      <c r="R21" s="774" t="s">
        <v>17</v>
      </c>
      <c r="S21" s="775">
        <f>F21</f>
        <v>100</v>
      </c>
      <c r="T21" s="774" t="s">
        <v>17</v>
      </c>
      <c r="U21" s="775">
        <f>H21</f>
        <v>100</v>
      </c>
      <c r="V21" s="774" t="s">
        <v>17</v>
      </c>
      <c r="W21" s="775">
        <f>J21</f>
        <v>100</v>
      </c>
      <c r="X21" s="1805"/>
      <c r="Y21" s="3469"/>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9"/>
      <c r="P22" s="3469"/>
      <c r="Q22" s="1802"/>
      <c r="R22" s="774"/>
      <c r="S22" s="775"/>
      <c r="T22" s="774"/>
      <c r="U22" s="775"/>
      <c r="V22" s="774"/>
      <c r="W22" s="775"/>
      <c r="X22" s="1805"/>
      <c r="Y22" s="3469"/>
      <c r="Z22" s="1806"/>
      <c r="AA22" s="1803">
        <v>1</v>
      </c>
      <c r="AB22" s="1803">
        <v>1</v>
      </c>
      <c r="AC22" s="1803">
        <v>1</v>
      </c>
    </row>
    <row r="23" spans="1:29" ht="71.25">
      <c r="A23" s="428"/>
      <c r="B23" s="451" t="s">
        <v>2686</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469"/>
      <c r="Q23" s="1802" t="str">
        <f>B23</f>
        <v>环境质量</v>
      </c>
      <c r="R23" s="774" t="s">
        <v>17</v>
      </c>
      <c r="S23" s="775">
        <f>F23</f>
        <v>100</v>
      </c>
      <c r="T23" s="774" t="s">
        <v>17</v>
      </c>
      <c r="U23" s="775">
        <f>H23</f>
        <v>100</v>
      </c>
      <c r="V23" s="774" t="s">
        <v>17</v>
      </c>
      <c r="W23" s="775">
        <f>J23</f>
        <v>100</v>
      </c>
      <c r="X23" s="1805"/>
      <c r="Y23" s="3469"/>
      <c r="Z23" s="1806" t="str">
        <f>Q23</f>
        <v>环境质量</v>
      </c>
      <c r="AA23" s="1803">
        <f t="shared" si="3"/>
        <v>1</v>
      </c>
      <c r="AB23" s="1803">
        <f t="shared" si="4"/>
        <v>1</v>
      </c>
      <c r="AC23" s="1803">
        <f t="shared" si="5"/>
        <v>1</v>
      </c>
    </row>
    <row r="24" spans="1:29" ht="15">
      <c r="A24" s="428"/>
      <c r="B24" s="1384"/>
      <c r="C24" s="447"/>
      <c r="D24" s="448"/>
      <c r="E24" s="2599"/>
      <c r="F24" s="449"/>
      <c r="G24" s="2598"/>
      <c r="H24" s="448"/>
      <c r="I24" s="2599"/>
      <c r="J24" s="448"/>
      <c r="K24" s="615"/>
      <c r="L24" s="1140"/>
      <c r="M24" s="1131"/>
      <c r="N24" s="1131"/>
      <c r="O24" s="1139"/>
      <c r="P24" s="3469"/>
      <c r="Q24" s="1802"/>
      <c r="R24" s="774"/>
      <c r="S24" s="775"/>
      <c r="T24" s="774"/>
      <c r="U24" s="775"/>
      <c r="V24" s="774"/>
      <c r="W24" s="775"/>
      <c r="X24" s="1805"/>
      <c r="Y24" s="3469"/>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469"/>
      <c r="Q25" s="1802">
        <f>B25</f>
        <v>111</v>
      </c>
      <c r="R25" s="774" t="s">
        <v>17</v>
      </c>
      <c r="S25" s="775">
        <f>F25</f>
        <v>100</v>
      </c>
      <c r="T25" s="774" t="s">
        <v>17</v>
      </c>
      <c r="U25" s="775">
        <f>H25</f>
        <v>100</v>
      </c>
      <c r="V25" s="774" t="s">
        <v>17</v>
      </c>
      <c r="W25" s="775">
        <f>J25</f>
        <v>100</v>
      </c>
      <c r="X25" s="1805"/>
      <c r="Y25" s="3469"/>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469"/>
      <c r="Q26" s="1802">
        <f t="shared" ref="Q26:Q40" si="11">B26</f>
        <v>111</v>
      </c>
      <c r="R26" s="774" t="s">
        <v>17</v>
      </c>
      <c r="S26" s="775">
        <f>F26</f>
        <v>100</v>
      </c>
      <c r="T26" s="774" t="s">
        <v>17</v>
      </c>
      <c r="U26" s="775">
        <f>H26</f>
        <v>100</v>
      </c>
      <c r="V26" s="774" t="s">
        <v>17</v>
      </c>
      <c r="W26" s="775">
        <f>J26</f>
        <v>100</v>
      </c>
      <c r="X26" s="1805"/>
      <c r="Y26" s="3469"/>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469"/>
      <c r="Q27" s="1787">
        <f t="shared" si="11"/>
        <v>111</v>
      </c>
      <c r="R27" s="770" t="s">
        <v>17</v>
      </c>
      <c r="S27" s="771">
        <f>F27</f>
        <v>100</v>
      </c>
      <c r="T27" s="770" t="s">
        <v>17</v>
      </c>
      <c r="U27" s="771">
        <f>H27</f>
        <v>100</v>
      </c>
      <c r="V27" s="770" t="s">
        <v>17</v>
      </c>
      <c r="W27" s="771">
        <f>J27</f>
        <v>100</v>
      </c>
      <c r="X27" s="772"/>
      <c r="Y27" s="3469"/>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469"/>
      <c r="Q28" s="1802">
        <f t="shared" si="11"/>
        <v>111</v>
      </c>
      <c r="R28" s="774" t="s">
        <v>17</v>
      </c>
      <c r="S28" s="775">
        <f t="shared" ref="S28:S40" si="12">F28</f>
        <v>100</v>
      </c>
      <c r="T28" s="774" t="s">
        <v>17</v>
      </c>
      <c r="U28" s="775">
        <f t="shared" ref="U28:U40" si="13">H28</f>
        <v>100</v>
      </c>
      <c r="V28" s="774" t="s">
        <v>17</v>
      </c>
      <c r="W28" s="775">
        <f t="shared" ref="W28:W40" si="14">J28</f>
        <v>100</v>
      </c>
      <c r="X28" s="1805"/>
      <c r="Y28" s="3469"/>
      <c r="Z28" s="1806">
        <f t="shared" ref="Z28:Z40" si="15">Q28</f>
        <v>111</v>
      </c>
      <c r="AA28" s="1803">
        <f t="shared" si="3"/>
        <v>1</v>
      </c>
      <c r="AB28" s="1803">
        <f t="shared" si="4"/>
        <v>1</v>
      </c>
      <c r="AC28" s="1803">
        <f t="shared" si="5"/>
        <v>1</v>
      </c>
    </row>
    <row r="29" spans="1:29" ht="29.25">
      <c r="A29" s="466" t="s">
        <v>2559</v>
      </c>
      <c r="B29" s="71" t="s">
        <v>2689</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524" t="s">
        <v>2561</v>
      </c>
      <c r="Q29" s="1802" t="str">
        <f t="shared" si="11"/>
        <v>建筑类型</v>
      </c>
      <c r="R29" s="774" t="s">
        <v>17</v>
      </c>
      <c r="S29" s="775">
        <f t="shared" si="12"/>
        <v>100</v>
      </c>
      <c r="T29" s="774" t="s">
        <v>17</v>
      </c>
      <c r="U29" s="775">
        <f t="shared" si="13"/>
        <v>100</v>
      </c>
      <c r="V29" s="774" t="s">
        <v>17</v>
      </c>
      <c r="W29" s="775">
        <f t="shared" si="14"/>
        <v>100</v>
      </c>
      <c r="X29" s="1805"/>
      <c r="Y29" s="3473" t="s">
        <v>2561</v>
      </c>
      <c r="Z29" s="1806" t="str">
        <f t="shared" si="15"/>
        <v>建筑类型</v>
      </c>
      <c r="AA29" s="1803">
        <f t="shared" si="3"/>
        <v>1</v>
      </c>
      <c r="AB29" s="1803">
        <f t="shared" si="4"/>
        <v>1</v>
      </c>
      <c r="AC29" s="1803">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473"/>
      <c r="Q30" s="776" t="str">
        <f t="shared" si="11"/>
        <v>项目建筑规模</v>
      </c>
      <c r="R30" s="777" t="s">
        <v>17</v>
      </c>
      <c r="S30" s="778" t="e">
        <f t="shared" si="12"/>
        <v>#N/A</v>
      </c>
      <c r="T30" s="777" t="s">
        <v>17</v>
      </c>
      <c r="U30" s="778" t="e">
        <f t="shared" si="13"/>
        <v>#N/A</v>
      </c>
      <c r="V30" s="777" t="s">
        <v>17</v>
      </c>
      <c r="W30" s="778" t="e">
        <f t="shared" si="14"/>
        <v>#N/A</v>
      </c>
      <c r="X30" s="779"/>
      <c r="Y30" s="3473"/>
      <c r="Z30" s="780" t="str">
        <f t="shared" si="15"/>
        <v>项目建筑规模</v>
      </c>
      <c r="AA30" s="1803" t="e">
        <f t="shared" si="3"/>
        <v>#N/A</v>
      </c>
      <c r="AB30" s="1803" t="e">
        <f t="shared" si="4"/>
        <v>#N/A</v>
      </c>
      <c r="AC30" s="1803"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473"/>
      <c r="Q31" s="1802" t="str">
        <f t="shared" si="11"/>
        <v>建筑结构</v>
      </c>
      <c r="R31" s="774" t="s">
        <v>17</v>
      </c>
      <c r="S31" s="775">
        <f t="shared" si="12"/>
        <v>100</v>
      </c>
      <c r="T31" s="774" t="s">
        <v>17</v>
      </c>
      <c r="U31" s="775">
        <f t="shared" si="13"/>
        <v>100</v>
      </c>
      <c r="V31" s="774" t="s">
        <v>17</v>
      </c>
      <c r="W31" s="775">
        <f t="shared" si="14"/>
        <v>100</v>
      </c>
      <c r="X31" s="1805"/>
      <c r="Y31" s="3473"/>
      <c r="Z31" s="1806" t="str">
        <f t="shared" si="15"/>
        <v>建筑结构</v>
      </c>
      <c r="AA31" s="1803">
        <f t="shared" si="3"/>
        <v>1</v>
      </c>
      <c r="AB31" s="1803">
        <f t="shared" si="4"/>
        <v>1</v>
      </c>
      <c r="AC31" s="1803">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473"/>
      <c r="Q32" s="1802" t="str">
        <f t="shared" si="11"/>
        <v>公共部分装修</v>
      </c>
      <c r="R32" s="774" t="s">
        <v>17</v>
      </c>
      <c r="S32" s="775">
        <f t="shared" si="12"/>
        <v>100</v>
      </c>
      <c r="T32" s="774" t="s">
        <v>17</v>
      </c>
      <c r="U32" s="775">
        <f t="shared" si="13"/>
        <v>100</v>
      </c>
      <c r="V32" s="774" t="s">
        <v>17</v>
      </c>
      <c r="W32" s="775">
        <f t="shared" si="14"/>
        <v>100</v>
      </c>
      <c r="X32" s="1805"/>
      <c r="Y32" s="3473"/>
      <c r="Z32" s="1806" t="str">
        <f t="shared" si="15"/>
        <v>公共部分装修</v>
      </c>
      <c r="AA32" s="1803">
        <f t="shared" si="3"/>
        <v>1</v>
      </c>
      <c r="AB32" s="1803">
        <f t="shared" si="4"/>
        <v>1</v>
      </c>
      <c r="AC32" s="1803">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473"/>
      <c r="Q33" s="1802" t="str">
        <f t="shared" si="11"/>
        <v>成新度</v>
      </c>
      <c r="R33" s="774" t="s">
        <v>17</v>
      </c>
      <c r="S33" s="775" t="e">
        <f t="shared" si="12"/>
        <v>#N/A</v>
      </c>
      <c r="T33" s="774" t="s">
        <v>17</v>
      </c>
      <c r="U33" s="775" t="e">
        <f t="shared" si="13"/>
        <v>#N/A</v>
      </c>
      <c r="V33" s="774" t="s">
        <v>17</v>
      </c>
      <c r="W33" s="775" t="e">
        <f t="shared" si="14"/>
        <v>#N/A</v>
      </c>
      <c r="X33" s="1805"/>
      <c r="Y33" s="3473"/>
      <c r="Z33" s="1806" t="str">
        <f t="shared" si="15"/>
        <v>成新度</v>
      </c>
      <c r="AA33" s="1803" t="e">
        <f t="shared" si="3"/>
        <v>#N/A</v>
      </c>
      <c r="AB33" s="1803" t="e">
        <f t="shared" si="4"/>
        <v>#N/A</v>
      </c>
      <c r="AC33" s="1803"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473"/>
      <c r="Q34" s="1787" t="str">
        <f t="shared" si="11"/>
        <v>物业管理</v>
      </c>
      <c r="R34" s="770" t="s">
        <v>17</v>
      </c>
      <c r="S34" s="771">
        <f t="shared" si="12"/>
        <v>100</v>
      </c>
      <c r="T34" s="770" t="s">
        <v>17</v>
      </c>
      <c r="U34" s="771">
        <f t="shared" si="13"/>
        <v>100</v>
      </c>
      <c r="V34" s="770" t="s">
        <v>17</v>
      </c>
      <c r="W34" s="771">
        <f t="shared" si="14"/>
        <v>100</v>
      </c>
      <c r="X34" s="772"/>
      <c r="Y34" s="3473"/>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473" t="s">
        <v>2561</v>
      </c>
      <c r="Q35" s="1802" t="str">
        <f t="shared" si="11"/>
        <v>市政基础设施</v>
      </c>
      <c r="R35" s="774" t="s">
        <v>17</v>
      </c>
      <c r="S35" s="775">
        <f t="shared" si="12"/>
        <v>100</v>
      </c>
      <c r="T35" s="774" t="s">
        <v>17</v>
      </c>
      <c r="U35" s="775">
        <f t="shared" si="13"/>
        <v>100</v>
      </c>
      <c r="V35" s="774" t="s">
        <v>17</v>
      </c>
      <c r="W35" s="775">
        <f t="shared" si="14"/>
        <v>100</v>
      </c>
      <c r="X35" s="1805"/>
      <c r="Y35" s="3473" t="s">
        <v>2561</v>
      </c>
      <c r="Z35" s="1806" t="str">
        <f t="shared" si="15"/>
        <v>市政基础设施</v>
      </c>
      <c r="AA35" s="1803">
        <f t="shared" si="3"/>
        <v>1</v>
      </c>
      <c r="AB35" s="1803">
        <f t="shared" si="4"/>
        <v>1</v>
      </c>
      <c r="AC35" s="1803">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473"/>
      <c r="Q36" s="1802" t="str">
        <f t="shared" si="11"/>
        <v>内部装修</v>
      </c>
      <c r="R36" s="774" t="s">
        <v>17</v>
      </c>
      <c r="S36" s="775">
        <f t="shared" si="12"/>
        <v>100</v>
      </c>
      <c r="T36" s="774" t="s">
        <v>17</v>
      </c>
      <c r="U36" s="775">
        <f t="shared" si="13"/>
        <v>100</v>
      </c>
      <c r="V36" s="774" t="s">
        <v>17</v>
      </c>
      <c r="W36" s="775">
        <f t="shared" si="14"/>
        <v>100</v>
      </c>
      <c r="X36" s="1805"/>
      <c r="Y36" s="3473"/>
      <c r="Z36" s="1806" t="str">
        <f t="shared" si="15"/>
        <v>内部装修</v>
      </c>
      <c r="AA36" s="1803">
        <f t="shared" si="3"/>
        <v>1</v>
      </c>
      <c r="AB36" s="1803">
        <f t="shared" si="4"/>
        <v>1</v>
      </c>
      <c r="AC36" s="1803">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473"/>
      <c r="Q37" s="1802" t="str">
        <f t="shared" si="11"/>
        <v>内部装修状况</v>
      </c>
      <c r="R37" s="774" t="s">
        <v>17</v>
      </c>
      <c r="S37" s="775">
        <f t="shared" si="12"/>
        <v>100</v>
      </c>
      <c r="T37" s="774" t="s">
        <v>17</v>
      </c>
      <c r="U37" s="775">
        <f t="shared" si="13"/>
        <v>100</v>
      </c>
      <c r="V37" s="774" t="s">
        <v>17</v>
      </c>
      <c r="W37" s="775">
        <f t="shared" si="14"/>
        <v>100</v>
      </c>
      <c r="X37" s="1805"/>
      <c r="Y37" s="3473"/>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473"/>
      <c r="Q38" s="776">
        <f t="shared" si="11"/>
        <v>111</v>
      </c>
      <c r="R38" s="777" t="s">
        <v>17</v>
      </c>
      <c r="S38" s="778">
        <f t="shared" si="12"/>
        <v>100</v>
      </c>
      <c r="T38" s="777" t="s">
        <v>17</v>
      </c>
      <c r="U38" s="778">
        <f t="shared" si="13"/>
        <v>100</v>
      </c>
      <c r="V38" s="777" t="s">
        <v>17</v>
      </c>
      <c r="W38" s="778">
        <f t="shared" si="14"/>
        <v>100</v>
      </c>
      <c r="X38" s="779"/>
      <c r="Y38" s="3473"/>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473"/>
      <c r="Q39" s="1802">
        <f t="shared" si="11"/>
        <v>111</v>
      </c>
      <c r="R39" s="774" t="s">
        <v>17</v>
      </c>
      <c r="S39" s="775">
        <f t="shared" si="12"/>
        <v>100</v>
      </c>
      <c r="T39" s="774" t="s">
        <v>17</v>
      </c>
      <c r="U39" s="775">
        <f t="shared" si="13"/>
        <v>100</v>
      </c>
      <c r="V39" s="774" t="s">
        <v>17</v>
      </c>
      <c r="W39" s="775">
        <f t="shared" si="14"/>
        <v>100</v>
      </c>
      <c r="X39" s="1805"/>
      <c r="Y39" s="3473"/>
      <c r="Z39" s="1806">
        <f t="shared" si="15"/>
        <v>111</v>
      </c>
      <c r="AA39" s="1803">
        <f t="shared" si="3"/>
        <v>1</v>
      </c>
      <c r="AB39" s="1803">
        <f t="shared" si="4"/>
        <v>1</v>
      </c>
      <c r="AC39" s="1803">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474"/>
      <c r="Q40" s="1802">
        <f t="shared" si="11"/>
        <v>111</v>
      </c>
      <c r="R40" s="774" t="s">
        <v>17</v>
      </c>
      <c r="S40" s="775">
        <f t="shared" si="12"/>
        <v>100</v>
      </c>
      <c r="T40" s="774" t="s">
        <v>17</v>
      </c>
      <c r="U40" s="775">
        <f t="shared" si="13"/>
        <v>100</v>
      </c>
      <c r="V40" s="774" t="s">
        <v>17</v>
      </c>
      <c r="W40" s="775">
        <f t="shared" si="14"/>
        <v>100</v>
      </c>
      <c r="X40" s="1805"/>
      <c r="Y40" s="3474"/>
      <c r="Z40" s="1806">
        <f t="shared" si="15"/>
        <v>111</v>
      </c>
      <c r="AA40" s="1803">
        <f t="shared" si="3"/>
        <v>1</v>
      </c>
      <c r="AB40" s="1803">
        <f t="shared" si="4"/>
        <v>1</v>
      </c>
      <c r="AC40" s="1803">
        <f t="shared" si="5"/>
        <v>1</v>
      </c>
    </row>
    <row r="41" spans="1:29" ht="15">
      <c r="A41" s="479" t="s">
        <v>2573</v>
      </c>
      <c r="B41" s="480"/>
      <c r="C41" s="1407" t="s">
        <v>1</v>
      </c>
      <c r="D41" s="1408"/>
      <c r="E41" s="1409"/>
      <c r="F41" s="1410"/>
      <c r="G41" s="1411"/>
      <c r="H41" s="1412"/>
      <c r="I41" s="1409"/>
      <c r="J41" s="1412"/>
      <c r="K41" s="783"/>
      <c r="L41" s="1143"/>
      <c r="M41" s="1144"/>
      <c r="N41" s="1131"/>
      <c r="O41" s="1144"/>
      <c r="P41" s="3466" t="str">
        <f>A41</f>
        <v>成交单价（元/平方米）</v>
      </c>
      <c r="Q41" s="3466"/>
      <c r="R41" s="3467">
        <f>E41</f>
        <v>0</v>
      </c>
      <c r="S41" s="3467"/>
      <c r="T41" s="3467">
        <f>G41</f>
        <v>0</v>
      </c>
      <c r="U41" s="3467"/>
      <c r="V41" s="3467">
        <f>I41</f>
        <v>0</v>
      </c>
      <c r="W41" s="3467"/>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466" t="str">
        <f>A42</f>
        <v>比较价值（元/平方米）</v>
      </c>
      <c r="Q42" s="3466"/>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463" t="str">
        <f>A43</f>
        <v>估价对象XX用房的比较价值（楼面单价，元/平方米）</v>
      </c>
      <c r="Q43" s="3464"/>
      <c r="R43" s="3465" t="e">
        <f>IF(F1="售价",ROUND(AVERAGE(R42:V42),0),ROUND(AVERAGE(R42:V42),1))</f>
        <v>#DIV/0!</v>
      </c>
      <c r="S43" s="3465"/>
      <c r="T43" s="3465"/>
      <c r="U43" s="3465"/>
      <c r="V43" s="3465"/>
      <c r="W43" s="346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2021-8</v>
      </c>
      <c r="D52" s="1575">
        <f>EDATE(C52,-1)</f>
        <v>44378</v>
      </c>
      <c r="E52" s="1575">
        <f t="shared" ref="E52:O52" si="16">EDATE(D52,-1)</f>
        <v>44348</v>
      </c>
      <c r="F52" s="1575">
        <f t="shared" si="16"/>
        <v>44317</v>
      </c>
      <c r="G52" s="1575">
        <f t="shared" si="16"/>
        <v>44287</v>
      </c>
      <c r="H52" s="1575">
        <f t="shared" si="16"/>
        <v>44256</v>
      </c>
      <c r="I52" s="1575">
        <f t="shared" si="16"/>
        <v>44228</v>
      </c>
      <c r="J52" s="1575">
        <f t="shared" si="16"/>
        <v>44197</v>
      </c>
      <c r="K52" s="1575">
        <f t="shared" si="16"/>
        <v>44166</v>
      </c>
      <c r="L52" s="1575">
        <f t="shared" si="16"/>
        <v>44136</v>
      </c>
      <c r="M52" s="1575">
        <f t="shared" si="16"/>
        <v>44105</v>
      </c>
      <c r="N52" s="1575">
        <f t="shared" si="16"/>
        <v>44075</v>
      </c>
      <c r="O52" s="1575">
        <f t="shared" si="16"/>
        <v>44044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E20 I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C2" xr:uid="{00000000-0002-0000-2600-000011000000}">
      <formula1>"需扣减承租人权益,——"</formula1>
    </dataValidation>
    <dataValidation type="list" allowBlank="1" showInputMessage="1" showErrorMessage="1" sqref="F2" xr:uid="{00000000-0002-0000-26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125" style="1951" customWidth="1"/>
    <col min="3" max="3" width="11.375" style="1951" customWidth="1"/>
    <col min="4" max="4" width="31.8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32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0"/>
      <c r="C2" s="3220"/>
      <c r="D2" s="3220"/>
      <c r="E2" s="3220"/>
    </row>
    <row r="3" spans="1:5" ht="18">
      <c r="A3" s="3221" t="str">
        <f>IF(项目基本情况!B9="房地产市场价值","估价结果一览表（市场价值不需“结果表-1”）","估价结果一览表")</f>
        <v>估价结果一览表（市场价值不需“结果表-1”）</v>
      </c>
      <c r="B3" s="3221"/>
      <c r="C3" s="3221"/>
      <c r="D3" s="3221"/>
      <c r="E3" s="3221"/>
    </row>
    <row r="4" spans="1:5" ht="19.5" thickBot="1">
      <c r="A4" s="1952"/>
      <c r="B4" s="3219" t="s">
        <v>1624</v>
      </c>
      <c r="C4" s="3219"/>
      <c r="D4" s="3219"/>
      <c r="E4" s="1952"/>
    </row>
    <row r="5" spans="1:5" ht="16.5" thickTop="1">
      <c r="A5" s="1950"/>
      <c r="B5" s="3217" t="s">
        <v>1616</v>
      </c>
      <c r="C5" s="1953" t="s">
        <v>1617</v>
      </c>
      <c r="D5" s="1040">
        <f ca="1">结果表!H101</f>
        <v>9741</v>
      </c>
      <c r="E5" s="1950"/>
    </row>
    <row r="6" spans="1:5" ht="15.75">
      <c r="A6" s="1950"/>
      <c r="B6" s="3217"/>
      <c r="C6" s="1953" t="s">
        <v>1618</v>
      </c>
      <c r="D6" s="1040" t="str">
        <f ca="1">NUMBERSTRING(INT(D5*10000),2)&amp;"元整"</f>
        <v>玖仟柒佰肆拾壹万元整</v>
      </c>
      <c r="E6" s="1950"/>
    </row>
    <row r="7" spans="1:5" ht="15.75">
      <c r="A7" s="1950"/>
      <c r="B7" s="3222"/>
      <c r="C7" s="1954" t="s">
        <v>1619</v>
      </c>
      <c r="D7" s="1041">
        <f ca="1">结果表!H102</f>
        <v>9787</v>
      </c>
      <c r="E7" s="1950"/>
    </row>
    <row r="8" spans="1:5" ht="15.75">
      <c r="A8" s="1950"/>
      <c r="B8" s="3223" t="str">
        <f>结果表!E103</f>
        <v>2.估价师知悉的法定优先受偿款</v>
      </c>
      <c r="C8" s="1955" t="s">
        <v>1620</v>
      </c>
      <c r="D8" s="1041">
        <f>结果表!H103</f>
        <v>0</v>
      </c>
      <c r="E8" s="1950"/>
    </row>
    <row r="9" spans="1:5" ht="15.75">
      <c r="A9" s="1950"/>
      <c r="B9" s="3225"/>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3216" t="str">
        <f>结果表!E107</f>
        <v>3.房地产抵押价值</v>
      </c>
      <c r="C13" s="1958" t="s">
        <v>1617</v>
      </c>
      <c r="D13" s="1043">
        <f ca="1">结果表!H107</f>
        <v>9741</v>
      </c>
      <c r="E13" s="1950"/>
    </row>
    <row r="14" spans="1:5" ht="15.75">
      <c r="A14" s="1950"/>
      <c r="B14" s="3217"/>
      <c r="C14" s="1953" t="s">
        <v>1618</v>
      </c>
      <c r="D14" s="1040" t="str">
        <f ca="1">NUMBERSTRING(INT(D13*10000),2)&amp;"元整"</f>
        <v>玖仟柒佰肆拾壹万元整</v>
      </c>
      <c r="E14" s="1950"/>
    </row>
    <row r="15" spans="1:5" ht="15">
      <c r="A15" s="1950"/>
      <c r="B15" s="3222"/>
      <c r="C15" s="1954" t="s">
        <v>1628</v>
      </c>
      <c r="D15" s="1052">
        <f ca="1">结果表!H108</f>
        <v>8285</v>
      </c>
      <c r="E15" s="1950"/>
    </row>
    <row r="16" spans="1:5" ht="15">
      <c r="A16" s="1950"/>
      <c r="B16" s="3223" t="str">
        <f>结果表!E109</f>
        <v>——</v>
      </c>
      <c r="C16" s="1958" t="s">
        <v>1629</v>
      </c>
      <c r="D16" s="1959" t="str">
        <f>结果表!H109</f>
        <v>——</v>
      </c>
      <c r="E16" s="1950"/>
    </row>
    <row r="17" spans="1:5" ht="15.75">
      <c r="A17" s="1950"/>
      <c r="B17" s="3224"/>
      <c r="C17" s="1953" t="s">
        <v>1630</v>
      </c>
      <c r="D17" s="1040" t="e">
        <f>NUMBERSTRING(INT(D16*10000),2)&amp;"元整"</f>
        <v>#VALUE!</v>
      </c>
      <c r="E17" s="1950"/>
    </row>
    <row r="18" spans="1:5" ht="15">
      <c r="A18" s="1950"/>
      <c r="B18" s="3225"/>
      <c r="C18" s="1954" t="s">
        <v>1619</v>
      </c>
      <c r="D18" s="1052" t="str">
        <f>结果表!H110</f>
        <v>——</v>
      </c>
      <c r="E18" s="1950"/>
    </row>
    <row r="19" spans="1:5" ht="15.75">
      <c r="A19" s="1950"/>
      <c r="B19" s="3216" t="str">
        <f>结果表!E111</f>
        <v>——</v>
      </c>
      <c r="C19" s="1958" t="s">
        <v>1617</v>
      </c>
      <c r="D19" s="1041" t="str">
        <f>结果表!H111</f>
        <v>——</v>
      </c>
      <c r="E19" s="1950"/>
    </row>
    <row r="20" spans="1:5" ht="15.75">
      <c r="A20" s="1950"/>
      <c r="B20" s="3217"/>
      <c r="C20" s="1953" t="s">
        <v>1630</v>
      </c>
      <c r="D20" s="1040" t="e">
        <f>NUMBERSTRING(INT(D19*10000),2)&amp;"元整"</f>
        <v>#VALUE!</v>
      </c>
      <c r="E20" s="1950"/>
    </row>
    <row r="21" spans="1:5" ht="15.75" thickBot="1">
      <c r="A21" s="1950"/>
      <c r="B21" s="3218"/>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78"/>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0"/>
      <c r="D2" s="1124" t="e">
        <f ca="1">SUMIF(INDIRECT("'"&amp;F2&amp;"'"&amp;"!A:A"),"承租人权益价值",INDIRECT("'"&amp;F2&amp;"'"&amp;"!c:c"))</f>
        <v>#REF!</v>
      </c>
      <c r="E2" s="2581" t="s">
        <v>2324</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481" t="s">
        <v>2642</v>
      </c>
      <c r="D4" s="3482"/>
      <c r="E4" s="3483" t="s">
        <v>2643</v>
      </c>
      <c r="F4" s="3484"/>
      <c r="G4" s="3481" t="s">
        <v>2644</v>
      </c>
      <c r="H4" s="3482"/>
      <c r="I4" s="3481" t="s">
        <v>2645</v>
      </c>
      <c r="J4" s="3482"/>
      <c r="K4" s="610" t="s">
        <v>2646</v>
      </c>
      <c r="L4" s="1130"/>
      <c r="M4" s="1131"/>
      <c r="N4" s="1131"/>
      <c r="O4" s="1131"/>
      <c r="P4" s="3485" t="s">
        <v>2647</v>
      </c>
      <c r="Q4" s="3486"/>
      <c r="R4" s="3491" t="s">
        <v>2643</v>
      </c>
      <c r="S4" s="3492"/>
      <c r="T4" s="3491" t="s">
        <v>2644</v>
      </c>
      <c r="U4" s="3492"/>
      <c r="V4" s="3497" t="s">
        <v>2645</v>
      </c>
      <c r="W4" s="3497"/>
      <c r="X4" s="1805"/>
      <c r="Y4" s="3491" t="s">
        <v>2647</v>
      </c>
      <c r="Z4" s="3492"/>
      <c r="AA4" s="3478" t="s">
        <v>2643</v>
      </c>
      <c r="AB4" s="3479" t="s">
        <v>2644</v>
      </c>
      <c r="AC4" s="3478" t="s">
        <v>2645</v>
      </c>
    </row>
    <row r="5" spans="1:29" ht="15">
      <c r="A5" s="404"/>
      <c r="B5" s="405"/>
      <c r="C5" s="3500" t="s">
        <v>2538</v>
      </c>
      <c r="D5" s="3501"/>
      <c r="E5" s="3507" t="s">
        <v>2539</v>
      </c>
      <c r="F5" s="3508"/>
      <c r="G5" s="3500" t="s">
        <v>2540</v>
      </c>
      <c r="H5" s="3501"/>
      <c r="I5" s="3500" t="s">
        <v>2541</v>
      </c>
      <c r="J5" s="3501"/>
      <c r="K5" s="610"/>
      <c r="L5" s="1130"/>
      <c r="M5" s="1131"/>
      <c r="N5" s="1131"/>
      <c r="O5" s="1131"/>
      <c r="P5" s="3487"/>
      <c r="Q5" s="3488"/>
      <c r="R5" s="3493"/>
      <c r="S5" s="3494"/>
      <c r="T5" s="3493"/>
      <c r="U5" s="3494"/>
      <c r="V5" s="3497"/>
      <c r="W5" s="3497"/>
      <c r="X5" s="1805"/>
      <c r="Y5" s="3493"/>
      <c r="Z5" s="3494"/>
      <c r="AA5" s="3479"/>
      <c r="AB5" s="3479"/>
      <c r="AC5" s="3479"/>
    </row>
    <row r="6" spans="1:29" ht="15.75" thickBot="1">
      <c r="A6" s="406"/>
      <c r="B6" s="407"/>
      <c r="C6" s="3498" t="s">
        <v>2542</v>
      </c>
      <c r="D6" s="3499"/>
      <c r="E6" s="3505" t="s">
        <v>2542</v>
      </c>
      <c r="F6" s="3506"/>
      <c r="G6" s="3498" t="s">
        <v>2542</v>
      </c>
      <c r="H6" s="3499"/>
      <c r="I6" s="3498" t="s">
        <v>2542</v>
      </c>
      <c r="J6" s="3499"/>
      <c r="K6" s="610" t="s">
        <v>2543</v>
      </c>
      <c r="L6" s="1130"/>
      <c r="M6" s="1131"/>
      <c r="N6" s="1131"/>
      <c r="O6" s="1131"/>
      <c r="P6" s="3489"/>
      <c r="Q6" s="3490"/>
      <c r="R6" s="3493"/>
      <c r="S6" s="3494"/>
      <c r="T6" s="3495"/>
      <c r="U6" s="3496"/>
      <c r="V6" s="3497"/>
      <c r="W6" s="3497"/>
      <c r="X6" s="1805"/>
      <c r="Y6" s="3495"/>
      <c r="Z6" s="3496"/>
      <c r="AA6" s="3480"/>
      <c r="AB6" s="3480"/>
      <c r="AC6" s="3480"/>
    </row>
    <row r="7" spans="1:29" s="117" customFormat="1" ht="15.75" thickBot="1">
      <c r="A7" s="408" t="s">
        <v>2544</v>
      </c>
      <c r="B7" s="409"/>
      <c r="C7" s="410">
        <f>'数据-取费表'!B2</f>
        <v>44425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502" t="s">
        <v>2545</v>
      </c>
      <c r="Q7" s="3504"/>
      <c r="R7" s="770" t="s">
        <v>17</v>
      </c>
      <c r="S7" s="771">
        <f t="shared" ref="S7:S14" si="0">F7</f>
        <v>0</v>
      </c>
      <c r="T7" s="770" t="s">
        <v>17</v>
      </c>
      <c r="U7" s="771">
        <f t="shared" ref="U7:U14" si="1">H7</f>
        <v>0</v>
      </c>
      <c r="V7" s="770" t="s">
        <v>17</v>
      </c>
      <c r="W7" s="771">
        <f t="shared" ref="W7:W14" si="2">J7</f>
        <v>0</v>
      </c>
      <c r="X7" s="772"/>
      <c r="Y7" s="3502" t="s">
        <v>2545</v>
      </c>
      <c r="Z7" s="3503"/>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502" t="s">
        <v>2548</v>
      </c>
      <c r="Q8" s="3503"/>
      <c r="R8" s="770" t="s">
        <v>17</v>
      </c>
      <c r="S8" s="771">
        <f t="shared" si="0"/>
        <v>0</v>
      </c>
      <c r="T8" s="770" t="s">
        <v>17</v>
      </c>
      <c r="U8" s="771">
        <f t="shared" si="1"/>
        <v>0</v>
      </c>
      <c r="V8" s="770" t="s">
        <v>17</v>
      </c>
      <c r="W8" s="771">
        <f t="shared" si="2"/>
        <v>0</v>
      </c>
      <c r="X8" s="772"/>
      <c r="Y8" s="3502" t="s">
        <v>2548</v>
      </c>
      <c r="Z8" s="3503"/>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466" t="s">
        <v>2551</v>
      </c>
      <c r="Q9" s="1787" t="str">
        <f t="shared" ref="Q9:Q14" si="6">B9</f>
        <v>用途</v>
      </c>
      <c r="R9" s="770" t="s">
        <v>17</v>
      </c>
      <c r="S9" s="771">
        <f t="shared" si="0"/>
        <v>100</v>
      </c>
      <c r="T9" s="770" t="s">
        <v>17</v>
      </c>
      <c r="U9" s="771">
        <f t="shared" si="1"/>
        <v>100</v>
      </c>
      <c r="V9" s="770" t="s">
        <v>17</v>
      </c>
      <c r="W9" s="771">
        <f t="shared" si="2"/>
        <v>100</v>
      </c>
      <c r="X9" s="772"/>
      <c r="Y9" s="3259"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466"/>
      <c r="Q10" s="1787" t="str">
        <f t="shared" si="6"/>
        <v>土地使用年限（年）</v>
      </c>
      <c r="R10" s="770" t="s">
        <v>17</v>
      </c>
      <c r="S10" s="771">
        <f t="shared" si="0"/>
        <v>100</v>
      </c>
      <c r="T10" s="770" t="s">
        <v>17</v>
      </c>
      <c r="U10" s="771">
        <f t="shared" si="1"/>
        <v>100</v>
      </c>
      <c r="V10" s="770" t="s">
        <v>17</v>
      </c>
      <c r="W10" s="771">
        <f t="shared" si="2"/>
        <v>100</v>
      </c>
      <c r="X10" s="772"/>
      <c r="Y10" s="325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466"/>
      <c r="Q11" s="1787">
        <f t="shared" si="6"/>
        <v>111</v>
      </c>
      <c r="R11" s="770" t="s">
        <v>17</v>
      </c>
      <c r="S11" s="771">
        <f t="shared" si="0"/>
        <v>100</v>
      </c>
      <c r="T11" s="770" t="s">
        <v>17</v>
      </c>
      <c r="U11" s="771">
        <f t="shared" si="1"/>
        <v>100</v>
      </c>
      <c r="V11" s="770" t="s">
        <v>17</v>
      </c>
      <c r="W11" s="771">
        <f t="shared" si="2"/>
        <v>100</v>
      </c>
      <c r="X11" s="772"/>
      <c r="Y11" s="325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466"/>
      <c r="Q12" s="1787">
        <f t="shared" si="6"/>
        <v>111</v>
      </c>
      <c r="R12" s="770" t="s">
        <v>17</v>
      </c>
      <c r="S12" s="771">
        <f t="shared" si="0"/>
        <v>100</v>
      </c>
      <c r="T12" s="770" t="s">
        <v>17</v>
      </c>
      <c r="U12" s="771">
        <f t="shared" si="1"/>
        <v>100</v>
      </c>
      <c r="V12" s="770" t="s">
        <v>17</v>
      </c>
      <c r="W12" s="771">
        <f t="shared" si="2"/>
        <v>100</v>
      </c>
      <c r="X12" s="772"/>
      <c r="Y12" s="325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466"/>
      <c r="Q13" s="1787">
        <f t="shared" si="6"/>
        <v>111</v>
      </c>
      <c r="R13" s="770" t="s">
        <v>17</v>
      </c>
      <c r="S13" s="771">
        <f t="shared" si="0"/>
        <v>100</v>
      </c>
      <c r="T13" s="770" t="s">
        <v>17</v>
      </c>
      <c r="U13" s="771">
        <f t="shared" si="1"/>
        <v>100</v>
      </c>
      <c r="V13" s="770" t="s">
        <v>17</v>
      </c>
      <c r="W13" s="771">
        <f t="shared" si="2"/>
        <v>100</v>
      </c>
      <c r="X13" s="772"/>
      <c r="Y13" s="3259"/>
      <c r="Z13" s="55">
        <f t="shared" si="7"/>
        <v>111</v>
      </c>
      <c r="AA13" s="773">
        <f t="shared" si="3"/>
        <v>1</v>
      </c>
      <c r="AB13" s="773">
        <f t="shared" si="4"/>
        <v>1</v>
      </c>
      <c r="AC13" s="773">
        <f t="shared" si="5"/>
        <v>1</v>
      </c>
    </row>
    <row r="14" spans="1:29" ht="85.5">
      <c r="A14" s="401" t="s">
        <v>2555</v>
      </c>
      <c r="B14" s="629" t="s">
        <v>2705</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468" t="s">
        <v>2556</v>
      </c>
      <c r="Q14" s="1802" t="str">
        <f t="shared" si="6"/>
        <v>交通便捷度</v>
      </c>
      <c r="R14" s="774" t="s">
        <v>17</v>
      </c>
      <c r="S14" s="775">
        <f t="shared" si="0"/>
        <v>100</v>
      </c>
      <c r="T14" s="774" t="s">
        <v>17</v>
      </c>
      <c r="U14" s="775">
        <f t="shared" si="1"/>
        <v>100</v>
      </c>
      <c r="V14" s="774" t="s">
        <v>17</v>
      </c>
      <c r="W14" s="775">
        <f t="shared" si="2"/>
        <v>100</v>
      </c>
      <c r="X14" s="1805"/>
      <c r="Y14" s="3468" t="s">
        <v>2556</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469"/>
      <c r="Q15" s="1802"/>
      <c r="R15" s="774"/>
      <c r="S15" s="775"/>
      <c r="T15" s="774"/>
      <c r="U15" s="775"/>
      <c r="V15" s="774"/>
      <c r="W15" s="775"/>
      <c r="X15" s="1805"/>
      <c r="Y15" s="3469"/>
      <c r="Z15" s="1806"/>
      <c r="AA15" s="1803">
        <v>1</v>
      </c>
      <c r="AB15" s="1803">
        <v>1</v>
      </c>
      <c r="AC15" s="1803">
        <v>1</v>
      </c>
    </row>
    <row r="16" spans="1:29" ht="42.75">
      <c r="A16" s="404"/>
      <c r="B16" s="631" t="s">
        <v>2684</v>
      </c>
      <c r="C16" s="260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469"/>
      <c r="Q16" s="1802" t="str">
        <f>B16</f>
        <v>公共配套设施</v>
      </c>
      <c r="R16" s="774" t="s">
        <v>17</v>
      </c>
      <c r="S16" s="775">
        <f>F16</f>
        <v>100</v>
      </c>
      <c r="T16" s="774" t="s">
        <v>17</v>
      </c>
      <c r="U16" s="775">
        <f>H16</f>
        <v>100</v>
      </c>
      <c r="V16" s="774" t="s">
        <v>17</v>
      </c>
      <c r="W16" s="775">
        <f>J16</f>
        <v>100</v>
      </c>
      <c r="X16" s="1805"/>
      <c r="Y16" s="3469"/>
      <c r="Z16" s="1806" t="str">
        <f>Q16</f>
        <v>公共配套设施</v>
      </c>
      <c r="AA16" s="1803">
        <f t="shared" si="3"/>
        <v>1</v>
      </c>
      <c r="AB16" s="1803">
        <f t="shared" si="4"/>
        <v>1</v>
      </c>
      <c r="AC16" s="1803">
        <f t="shared" si="5"/>
        <v>1</v>
      </c>
    </row>
    <row r="17" spans="1:29" ht="15">
      <c r="A17" s="404"/>
      <c r="B17" s="632"/>
      <c r="C17" s="2602"/>
      <c r="D17" s="448"/>
      <c r="E17" s="447"/>
      <c r="F17" s="449"/>
      <c r="G17" s="447"/>
      <c r="H17" s="448"/>
      <c r="I17" s="447"/>
      <c r="J17" s="448"/>
      <c r="K17" s="615"/>
      <c r="L17" s="1140"/>
      <c r="M17" s="1131"/>
      <c r="N17" s="1131"/>
      <c r="O17" s="1131"/>
      <c r="P17" s="3469"/>
      <c r="Q17" s="1802"/>
      <c r="R17" s="774"/>
      <c r="S17" s="775"/>
      <c r="T17" s="774"/>
      <c r="U17" s="775"/>
      <c r="V17" s="774"/>
      <c r="W17" s="775"/>
      <c r="X17" s="1805"/>
      <c r="Y17" s="3469"/>
      <c r="Z17" s="1806"/>
      <c r="AA17" s="1803">
        <v>1</v>
      </c>
      <c r="AB17" s="1803">
        <v>1</v>
      </c>
      <c r="AC17" s="1803">
        <v>1</v>
      </c>
    </row>
    <row r="18" spans="1:29" ht="28.5">
      <c r="A18" s="404"/>
      <c r="B18" s="633" t="s">
        <v>2685</v>
      </c>
      <c r="C18" s="260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469"/>
      <c r="Q18" s="1802" t="str">
        <f>B18</f>
        <v>基础设施水平</v>
      </c>
      <c r="R18" s="774" t="s">
        <v>17</v>
      </c>
      <c r="S18" s="775">
        <f>F18</f>
        <v>100</v>
      </c>
      <c r="T18" s="774" t="s">
        <v>17</v>
      </c>
      <c r="U18" s="775">
        <f>H18</f>
        <v>100</v>
      </c>
      <c r="V18" s="774" t="s">
        <v>17</v>
      </c>
      <c r="W18" s="775">
        <f>J18</f>
        <v>100</v>
      </c>
      <c r="X18" s="1805"/>
      <c r="Y18" s="3469"/>
      <c r="Z18" s="1806" t="str">
        <f>Q18</f>
        <v>基础设施水平</v>
      </c>
      <c r="AA18" s="1803">
        <f t="shared" ref="AA18" si="8">D18/F18</f>
        <v>1</v>
      </c>
      <c r="AB18" s="1803">
        <f t="shared" ref="AB18" si="9">D18/H18</f>
        <v>1</v>
      </c>
      <c r="AC18" s="1803">
        <f t="shared" ref="AC18" si="10">D18/J18</f>
        <v>1</v>
      </c>
    </row>
    <row r="19" spans="1:29" ht="15">
      <c r="A19" s="404"/>
      <c r="B19" s="633"/>
      <c r="C19" s="2602"/>
      <c r="D19" s="450"/>
      <c r="E19" s="2602"/>
      <c r="F19" s="453"/>
      <c r="G19" s="2602"/>
      <c r="H19" s="448"/>
      <c r="I19" s="447"/>
      <c r="J19" s="448"/>
      <c r="K19" s="1383"/>
      <c r="L19" s="1140"/>
      <c r="M19" s="1131"/>
      <c r="N19" s="1131"/>
      <c r="O19" s="1131"/>
      <c r="P19" s="3469"/>
      <c r="Q19" s="1802"/>
      <c r="R19" s="774"/>
      <c r="S19" s="775"/>
      <c r="T19" s="774"/>
      <c r="U19" s="775"/>
      <c r="V19" s="774"/>
      <c r="W19" s="775"/>
      <c r="X19" s="1805"/>
      <c r="Y19" s="3469"/>
      <c r="Z19" s="1806"/>
      <c r="AA19" s="1803">
        <v>1</v>
      </c>
      <c r="AB19" s="1803">
        <v>1</v>
      </c>
      <c r="AC19" s="1803">
        <v>1</v>
      </c>
    </row>
    <row r="20" spans="1:29" ht="57">
      <c r="A20" s="404"/>
      <c r="B20" s="631" t="s">
        <v>2706</v>
      </c>
      <c r="C20" s="260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469"/>
      <c r="Q20" s="1802" t="str">
        <f>B20</f>
        <v>自然及人文环境</v>
      </c>
      <c r="R20" s="774" t="s">
        <v>17</v>
      </c>
      <c r="S20" s="775">
        <f>F20</f>
        <v>100</v>
      </c>
      <c r="T20" s="774" t="s">
        <v>17</v>
      </c>
      <c r="U20" s="775">
        <f>H20</f>
        <v>100</v>
      </c>
      <c r="V20" s="774" t="s">
        <v>17</v>
      </c>
      <c r="W20" s="775">
        <f>J20</f>
        <v>100</v>
      </c>
      <c r="X20" s="1805"/>
      <c r="Y20" s="3469"/>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469"/>
      <c r="Q21" s="1802"/>
      <c r="R21" s="774"/>
      <c r="S21" s="775"/>
      <c r="T21" s="774"/>
      <c r="U21" s="775"/>
      <c r="V21" s="774"/>
      <c r="W21" s="775"/>
      <c r="X21" s="1805"/>
      <c r="Y21" s="3469"/>
      <c r="Z21" s="1806"/>
      <c r="AA21" s="1803">
        <v>1</v>
      </c>
      <c r="AB21" s="1803">
        <v>1</v>
      </c>
      <c r="AC21" s="1803">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469"/>
      <c r="Q22" s="1802" t="str">
        <f>B22</f>
        <v>楼层</v>
      </c>
      <c r="R22" s="774" t="s">
        <v>17</v>
      </c>
      <c r="S22" s="775">
        <f>F22</f>
        <v>100</v>
      </c>
      <c r="T22" s="774" t="s">
        <v>17</v>
      </c>
      <c r="U22" s="775">
        <f>H22</f>
        <v>100</v>
      </c>
      <c r="V22" s="774" t="s">
        <v>17</v>
      </c>
      <c r="W22" s="775">
        <f>J22</f>
        <v>100</v>
      </c>
      <c r="X22" s="1805"/>
      <c r="Y22" s="3469"/>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469"/>
      <c r="Q23" s="1802">
        <f>B23</f>
        <v>111</v>
      </c>
      <c r="R23" s="774" t="s">
        <v>17</v>
      </c>
      <c r="S23" s="775">
        <f>F23</f>
        <v>100</v>
      </c>
      <c r="T23" s="774" t="s">
        <v>17</v>
      </c>
      <c r="U23" s="775">
        <f>H23</f>
        <v>100</v>
      </c>
      <c r="V23" s="774" t="s">
        <v>17</v>
      </c>
      <c r="W23" s="775">
        <f>J23</f>
        <v>100</v>
      </c>
      <c r="X23" s="1805"/>
      <c r="Y23" s="3469"/>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469"/>
      <c r="Q24" s="1802">
        <f t="shared" ref="Q24:Q36" si="11">B24</f>
        <v>111</v>
      </c>
      <c r="R24" s="774" t="s">
        <v>17</v>
      </c>
      <c r="S24" s="775">
        <f>F24</f>
        <v>100</v>
      </c>
      <c r="T24" s="774" t="s">
        <v>17</v>
      </c>
      <c r="U24" s="775">
        <f>H24</f>
        <v>100</v>
      </c>
      <c r="V24" s="774" t="s">
        <v>17</v>
      </c>
      <c r="W24" s="775">
        <f>J24</f>
        <v>100</v>
      </c>
      <c r="X24" s="1805"/>
      <c r="Y24" s="3469"/>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469"/>
      <c r="Q25" s="1787">
        <f t="shared" si="11"/>
        <v>111</v>
      </c>
      <c r="R25" s="770" t="s">
        <v>17</v>
      </c>
      <c r="S25" s="771">
        <f>F25</f>
        <v>100</v>
      </c>
      <c r="T25" s="770" t="s">
        <v>17</v>
      </c>
      <c r="U25" s="771">
        <f>H25</f>
        <v>100</v>
      </c>
      <c r="V25" s="770" t="s">
        <v>17</v>
      </c>
      <c r="W25" s="771">
        <f>J25</f>
        <v>100</v>
      </c>
      <c r="X25" s="772"/>
      <c r="Y25" s="3469"/>
      <c r="Z25" s="55">
        <f>Q25</f>
        <v>111</v>
      </c>
      <c r="AA25" s="1803">
        <f>D25/F25</f>
        <v>1</v>
      </c>
      <c r="AB25" s="1803">
        <f>D25/H25</f>
        <v>1</v>
      </c>
      <c r="AC25" s="1803">
        <f>D25/J25</f>
        <v>1</v>
      </c>
    </row>
    <row r="26" spans="1:29" ht="29.25">
      <c r="A26" s="652" t="s">
        <v>2559</v>
      </c>
      <c r="B26" s="70" t="s">
        <v>2708</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524" t="s">
        <v>2561</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473" t="s">
        <v>2561</v>
      </c>
      <c r="Z26" s="1806" t="str">
        <f t="shared" ref="Z26:Z36" si="15">Q26</f>
        <v>配套类型</v>
      </c>
      <c r="AA26" s="1803">
        <f t="shared" si="3"/>
        <v>1</v>
      </c>
      <c r="AB26" s="1803">
        <f t="shared" si="4"/>
        <v>1</v>
      </c>
      <c r="AC26" s="1803">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473"/>
      <c r="Q27" s="776" t="str">
        <f t="shared" si="11"/>
        <v>项目停车位配比</v>
      </c>
      <c r="R27" s="777" t="s">
        <v>17</v>
      </c>
      <c r="S27" s="778">
        <f t="shared" si="12"/>
        <v>100</v>
      </c>
      <c r="T27" s="777" t="s">
        <v>17</v>
      </c>
      <c r="U27" s="778">
        <f t="shared" si="13"/>
        <v>100</v>
      </c>
      <c r="V27" s="777" t="s">
        <v>17</v>
      </c>
      <c r="W27" s="778">
        <f t="shared" si="14"/>
        <v>100</v>
      </c>
      <c r="X27" s="779"/>
      <c r="Y27" s="3473"/>
      <c r="Z27" s="780" t="str">
        <f t="shared" si="15"/>
        <v>项目停车位配比</v>
      </c>
      <c r="AA27" s="1803">
        <f t="shared" si="3"/>
        <v>1</v>
      </c>
      <c r="AB27" s="1803">
        <f t="shared" si="4"/>
        <v>1</v>
      </c>
      <c r="AC27" s="1803">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473"/>
      <c r="Q28" s="1802" t="str">
        <f t="shared" si="11"/>
        <v>公共部分装修</v>
      </c>
      <c r="R28" s="774" t="s">
        <v>17</v>
      </c>
      <c r="S28" s="775">
        <f t="shared" si="12"/>
        <v>100</v>
      </c>
      <c r="T28" s="774" t="s">
        <v>17</v>
      </c>
      <c r="U28" s="775">
        <f t="shared" si="13"/>
        <v>100</v>
      </c>
      <c r="V28" s="774" t="s">
        <v>17</v>
      </c>
      <c r="W28" s="775">
        <f t="shared" si="14"/>
        <v>100</v>
      </c>
      <c r="X28" s="1805"/>
      <c r="Y28" s="3473"/>
      <c r="Z28" s="1806" t="str">
        <f t="shared" si="15"/>
        <v>公共部分装修</v>
      </c>
      <c r="AA28" s="1803">
        <f t="shared" si="3"/>
        <v>1</v>
      </c>
      <c r="AB28" s="1803">
        <f t="shared" si="4"/>
        <v>1</v>
      </c>
      <c r="AC28" s="1803">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473"/>
      <c r="Q29" s="1802" t="str">
        <f t="shared" si="11"/>
        <v>成新率</v>
      </c>
      <c r="R29" s="774" t="s">
        <v>17</v>
      </c>
      <c r="S29" s="775" t="e">
        <f t="shared" si="12"/>
        <v>#N/A</v>
      </c>
      <c r="T29" s="774" t="s">
        <v>17</v>
      </c>
      <c r="U29" s="775" t="e">
        <f t="shared" si="13"/>
        <v>#N/A</v>
      </c>
      <c r="V29" s="774" t="s">
        <v>17</v>
      </c>
      <c r="W29" s="775" t="e">
        <f t="shared" si="14"/>
        <v>#N/A</v>
      </c>
      <c r="X29" s="1805"/>
      <c r="Y29" s="3473"/>
      <c r="Z29" s="1806" t="str">
        <f t="shared" si="15"/>
        <v>成新率</v>
      </c>
      <c r="AA29" s="1803" t="e">
        <f t="shared" si="3"/>
        <v>#N/A</v>
      </c>
      <c r="AB29" s="1803" t="e">
        <f t="shared" si="4"/>
        <v>#N/A</v>
      </c>
      <c r="AC29" s="1803"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473"/>
      <c r="Q30" s="1802" t="str">
        <f t="shared" si="11"/>
        <v>物业等级</v>
      </c>
      <c r="R30" s="774" t="s">
        <v>17</v>
      </c>
      <c r="S30" s="775">
        <f t="shared" si="12"/>
        <v>100</v>
      </c>
      <c r="T30" s="774" t="s">
        <v>17</v>
      </c>
      <c r="U30" s="775">
        <f t="shared" si="13"/>
        <v>100</v>
      </c>
      <c r="V30" s="774" t="s">
        <v>17</v>
      </c>
      <c r="W30" s="775">
        <f t="shared" si="14"/>
        <v>100</v>
      </c>
      <c r="X30" s="1805"/>
      <c r="Y30" s="3473"/>
      <c r="Z30" s="1806" t="str">
        <f t="shared" si="15"/>
        <v>物业等级</v>
      </c>
      <c r="AA30" s="1803">
        <f t="shared" si="3"/>
        <v>1</v>
      </c>
      <c r="AB30" s="1803">
        <f t="shared" si="4"/>
        <v>1</v>
      </c>
      <c r="AC30" s="1803">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473"/>
      <c r="Q31" s="1787" t="str">
        <f t="shared" si="11"/>
        <v>停车位面积</v>
      </c>
      <c r="R31" s="770" t="s">
        <v>17</v>
      </c>
      <c r="S31" s="771" t="e">
        <f t="shared" si="12"/>
        <v>#N/A</v>
      </c>
      <c r="T31" s="770" t="s">
        <v>17</v>
      </c>
      <c r="U31" s="771" t="e">
        <f t="shared" si="13"/>
        <v>#N/A</v>
      </c>
      <c r="V31" s="770" t="s">
        <v>17</v>
      </c>
      <c r="W31" s="771" t="e">
        <f t="shared" si="14"/>
        <v>#N/A</v>
      </c>
      <c r="X31" s="772"/>
      <c r="Y31" s="3473"/>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473" t="s">
        <v>2561</v>
      </c>
      <c r="Q32" s="1802" t="str">
        <f t="shared" si="11"/>
        <v>车位类型</v>
      </c>
      <c r="R32" s="774" t="s">
        <v>17</v>
      </c>
      <c r="S32" s="775">
        <f t="shared" si="12"/>
        <v>100</v>
      </c>
      <c r="T32" s="774" t="s">
        <v>17</v>
      </c>
      <c r="U32" s="775">
        <f t="shared" si="13"/>
        <v>100</v>
      </c>
      <c r="V32" s="774" t="s">
        <v>17</v>
      </c>
      <c r="W32" s="775">
        <f t="shared" si="14"/>
        <v>100</v>
      </c>
      <c r="X32" s="1805"/>
      <c r="Y32" s="3473" t="s">
        <v>2561</v>
      </c>
      <c r="Z32" s="1806" t="str">
        <f t="shared" si="15"/>
        <v>车位类型</v>
      </c>
      <c r="AA32" s="1803">
        <f t="shared" si="3"/>
        <v>1</v>
      </c>
      <c r="AB32" s="1803">
        <f t="shared" si="4"/>
        <v>1</v>
      </c>
      <c r="AC32" s="1803">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473"/>
      <c r="Q33" s="1802" t="str">
        <f t="shared" si="11"/>
        <v>是否直接入户</v>
      </c>
      <c r="R33" s="774" t="s">
        <v>17</v>
      </c>
      <c r="S33" s="775">
        <f t="shared" si="12"/>
        <v>100</v>
      </c>
      <c r="T33" s="774" t="s">
        <v>17</v>
      </c>
      <c r="U33" s="775">
        <f t="shared" si="13"/>
        <v>100</v>
      </c>
      <c r="V33" s="774" t="s">
        <v>17</v>
      </c>
      <c r="W33" s="775">
        <f t="shared" si="14"/>
        <v>100</v>
      </c>
      <c r="X33" s="1805"/>
      <c r="Y33" s="3473"/>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473"/>
      <c r="Q34" s="1802">
        <f t="shared" si="11"/>
        <v>111</v>
      </c>
      <c r="R34" s="774" t="s">
        <v>17</v>
      </c>
      <c r="S34" s="775">
        <f t="shared" si="12"/>
        <v>100</v>
      </c>
      <c r="T34" s="774" t="s">
        <v>17</v>
      </c>
      <c r="U34" s="775">
        <f t="shared" si="13"/>
        <v>100</v>
      </c>
      <c r="V34" s="774" t="s">
        <v>17</v>
      </c>
      <c r="W34" s="775">
        <f t="shared" si="14"/>
        <v>100</v>
      </c>
      <c r="X34" s="1805"/>
      <c r="Y34" s="3473"/>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473"/>
      <c r="Q35" s="776">
        <f t="shared" si="11"/>
        <v>111</v>
      </c>
      <c r="R35" s="777" t="s">
        <v>17</v>
      </c>
      <c r="S35" s="778">
        <f t="shared" si="12"/>
        <v>100</v>
      </c>
      <c r="T35" s="777" t="s">
        <v>17</v>
      </c>
      <c r="U35" s="778">
        <f t="shared" si="13"/>
        <v>100</v>
      </c>
      <c r="V35" s="777" t="s">
        <v>17</v>
      </c>
      <c r="W35" s="778">
        <f t="shared" si="14"/>
        <v>100</v>
      </c>
      <c r="X35" s="779"/>
      <c r="Y35" s="3473"/>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473"/>
      <c r="Q36" s="1802">
        <f t="shared" si="11"/>
        <v>111</v>
      </c>
      <c r="R36" s="774" t="s">
        <v>17</v>
      </c>
      <c r="S36" s="775">
        <f t="shared" si="12"/>
        <v>100</v>
      </c>
      <c r="T36" s="774" t="s">
        <v>17</v>
      </c>
      <c r="U36" s="775">
        <f t="shared" si="13"/>
        <v>100</v>
      </c>
      <c r="V36" s="774" t="s">
        <v>17</v>
      </c>
      <c r="W36" s="775">
        <f t="shared" si="14"/>
        <v>100</v>
      </c>
      <c r="X36" s="1805"/>
      <c r="Y36" s="3473"/>
      <c r="Z36" s="1806">
        <f t="shared" si="15"/>
        <v>111</v>
      </c>
      <c r="AA36" s="1803">
        <f t="shared" si="3"/>
        <v>1</v>
      </c>
      <c r="AB36" s="1803">
        <f t="shared" si="4"/>
        <v>1</v>
      </c>
      <c r="AC36" s="1803">
        <f t="shared" si="5"/>
        <v>1</v>
      </c>
    </row>
    <row r="37" spans="1:29" ht="15">
      <c r="A37" s="479" t="s">
        <v>2716</v>
      </c>
      <c r="B37" s="2689" t="s">
        <v>2717</v>
      </c>
      <c r="C37" s="1407" t="s">
        <v>1</v>
      </c>
      <c r="D37" s="1408"/>
      <c r="E37" s="1409"/>
      <c r="F37" s="1410"/>
      <c r="G37" s="1411"/>
      <c r="H37" s="1412"/>
      <c r="I37" s="1409"/>
      <c r="J37" s="1412"/>
      <c r="K37" s="619"/>
      <c r="L37" s="1143"/>
      <c r="M37" s="1144"/>
      <c r="N37" s="1131"/>
      <c r="O37" s="1144"/>
      <c r="P37" s="3466" t="str">
        <f>A37</f>
        <v>成交单价</v>
      </c>
      <c r="Q37" s="3466"/>
      <c r="R37" s="3467">
        <f>E37</f>
        <v>0</v>
      </c>
      <c r="S37" s="3467"/>
      <c r="T37" s="3467">
        <f>G37</f>
        <v>0</v>
      </c>
      <c r="U37" s="3467"/>
      <c r="V37" s="3467">
        <f>I37</f>
        <v>0</v>
      </c>
      <c r="W37" s="3467"/>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466" t="str">
        <f>A38</f>
        <v>比较价值（元/平方米）</v>
      </c>
      <c r="Q38" s="3466"/>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463" t="str">
        <f>A39</f>
        <v>估价对象XX用房的比较价值（楼面单价，元/平方米）</v>
      </c>
      <c r="Q39" s="3464"/>
      <c r="R39" s="3465" t="e">
        <f>IF(F1="售价",ROUND(AVERAGE(R38:V38),0),ROUND(AVERAGE(R38:V38),1))</f>
        <v>#DIV/0!</v>
      </c>
      <c r="S39" s="3465"/>
      <c r="T39" s="3465"/>
      <c r="U39" s="3465"/>
      <c r="V39" s="3465"/>
      <c r="W39" s="346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2021-8</v>
      </c>
      <c r="D48" s="1575">
        <f>EDATE(C48,-1)</f>
        <v>44378</v>
      </c>
      <c r="E48" s="1575">
        <f t="shared" ref="E48:O48" si="16">EDATE(D48,-1)</f>
        <v>44348</v>
      </c>
      <c r="F48" s="1575">
        <f t="shared" si="16"/>
        <v>44317</v>
      </c>
      <c r="G48" s="1575">
        <f t="shared" si="16"/>
        <v>44287</v>
      </c>
      <c r="H48" s="1575">
        <f t="shared" si="16"/>
        <v>44256</v>
      </c>
      <c r="I48" s="1575">
        <f t="shared" si="16"/>
        <v>44228</v>
      </c>
      <c r="J48" s="1575">
        <f t="shared" si="16"/>
        <v>44197</v>
      </c>
      <c r="K48" s="1575">
        <f t="shared" si="16"/>
        <v>44166</v>
      </c>
      <c r="L48" s="1575">
        <f t="shared" si="16"/>
        <v>44136</v>
      </c>
      <c r="M48" s="1575">
        <f t="shared" si="16"/>
        <v>44105</v>
      </c>
      <c r="N48" s="1575">
        <f t="shared" si="16"/>
        <v>44075</v>
      </c>
      <c r="O48" s="1575">
        <f t="shared" si="16"/>
        <v>44044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G17 C17 E17 I17" xr:uid="{00000000-0002-0000-2700-000002000000}">
      <formula1>公共配套设施</formula1>
    </dataValidation>
    <dataValidation type="list" allowBlank="1" showInputMessage="1" showErrorMessage="1" sqref="G15 E15 C15 I15" xr:uid="{00000000-0002-0000-2700-000003000000}">
      <formula1>交通便捷度</formula1>
    </dataValidation>
    <dataValidation type="list" allowBlank="1" showInputMessage="1" showErrorMessage="1" sqref="C8 E8 G8 I8" xr:uid="{00000000-0002-0000-2700-000004000000}">
      <formula1>车位交易情况</formula1>
    </dataValidation>
    <dataValidation type="list" allowBlank="1" showInputMessage="1" showErrorMessage="1" sqref="E9 G9 I9" xr:uid="{00000000-0002-0000-2700-000005000000}">
      <formula1>车位用途</formula1>
    </dataValidation>
    <dataValidation type="list" allowBlank="1" showInputMessage="1" showErrorMessage="1" sqref="C22 E22 G22 I22" xr:uid="{00000000-0002-0000-2700-000006000000}">
      <formula1>车位楼层</formula1>
    </dataValidation>
    <dataValidation type="list" allowBlank="1" showInputMessage="1" showErrorMessage="1" sqref="C30 E30 G30 I30" xr:uid="{00000000-0002-0000-2700-000007000000}">
      <formula1>车位物业等级</formula1>
    </dataValidation>
    <dataValidation type="list" allowBlank="1" showInputMessage="1" showErrorMessage="1" sqref="C32 E32 G32 I32" xr:uid="{00000000-0002-0000-2700-000008000000}">
      <formula1>车位类型</formula1>
    </dataValidation>
    <dataValidation type="list" allowBlank="1" showInputMessage="1" showErrorMessage="1" sqref="C33 E33 G33 I33" xr:uid="{00000000-0002-0000-2700-000009000000}">
      <formula1>是否直接入户</formula1>
    </dataValidation>
    <dataValidation type="list" allowBlank="1" showInputMessage="1" showErrorMessage="1" sqref="B1" xr:uid="{00000000-0002-0000-2700-00000A000000}">
      <formula1>地类判定</formula1>
    </dataValidation>
    <dataValidation type="list" allowBlank="1" showInputMessage="1" showErrorMessage="1" sqref="I26 E26 G26" xr:uid="{00000000-0002-0000-2700-00000B000000}">
      <formula1>车位配套类型</formula1>
    </dataValidation>
    <dataValidation type="list" allowBlank="1" showInputMessage="1" showErrorMessage="1" sqref="C28 E28 G28 I28" xr:uid="{00000000-0002-0000-2700-00000C000000}">
      <formula1>车位公共部分装修</formula1>
    </dataValidation>
    <dataValidation type="list" allowBlank="1" showInputMessage="1" showErrorMessage="1" sqref="B37" xr:uid="{00000000-0002-0000-2700-00000D000000}">
      <formula1>"元/平方米,元/车位"</formula1>
    </dataValidation>
    <dataValidation type="list" allowBlank="1" showInputMessage="1" showErrorMessage="1" sqref="C21 E21 G21 I21" xr:uid="{00000000-0002-0000-2700-00000E000000}">
      <formula1>环境</formula1>
    </dataValidation>
    <dataValidation type="list" allowBlank="1" showInputMessage="1" showErrorMessage="1" sqref="C19 E19 G19 I19" xr:uid="{00000000-0002-0000-2700-00000F000000}">
      <formula1>基础设施水平</formula1>
    </dataValidation>
    <dataValidation type="list" allowBlank="1" showInputMessage="1" showErrorMessage="1" sqref="F1" xr:uid="{00000000-0002-0000-2700-000010000000}">
      <formula1>"售价,租金"</formula1>
    </dataValidation>
    <dataValidation type="list" allowBlank="1" showInputMessage="1" showErrorMessage="1" sqref="C2" xr:uid="{00000000-0002-0000-2700-000011000000}">
      <formula1>"需扣减承租人权益,——"</formula1>
    </dataValidation>
    <dataValidation type="list" allowBlank="1" showInputMessage="1" showErrorMessage="1" sqref="F2" xr:uid="{00000000-0002-0000-27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78"/>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0"/>
      <c r="D2" s="1124" t="e">
        <f ca="1">SUMIF(INDIRECT("'"&amp;F2&amp;"'"&amp;"!A:A"),"承租人权益价值",INDIRECT("'"&amp;F2&amp;"'"&amp;"!c:c"))</f>
        <v>#REF!</v>
      </c>
      <c r="E2" s="2581" t="s">
        <v>2324</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481" t="s">
        <v>2642</v>
      </c>
      <c r="D4" s="3482"/>
      <c r="E4" s="3483" t="s">
        <v>2643</v>
      </c>
      <c r="F4" s="3484"/>
      <c r="G4" s="3481" t="s">
        <v>2644</v>
      </c>
      <c r="H4" s="3482"/>
      <c r="I4" s="3481" t="s">
        <v>2645</v>
      </c>
      <c r="J4" s="3482"/>
      <c r="K4" s="610" t="s">
        <v>2646</v>
      </c>
      <c r="L4" s="1130"/>
      <c r="M4" s="1131"/>
      <c r="N4" s="1131"/>
      <c r="O4" s="1131"/>
      <c r="P4" s="3485" t="s">
        <v>2647</v>
      </c>
      <c r="Q4" s="3486"/>
      <c r="R4" s="3491" t="s">
        <v>2643</v>
      </c>
      <c r="S4" s="3492"/>
      <c r="T4" s="3491" t="s">
        <v>2644</v>
      </c>
      <c r="U4" s="3492"/>
      <c r="V4" s="3497" t="s">
        <v>2645</v>
      </c>
      <c r="W4" s="3497"/>
      <c r="X4" s="1805"/>
      <c r="Y4" s="3491" t="s">
        <v>2647</v>
      </c>
      <c r="Z4" s="3492"/>
      <c r="AA4" s="3478" t="s">
        <v>2643</v>
      </c>
      <c r="AB4" s="3479" t="s">
        <v>2644</v>
      </c>
      <c r="AC4" s="3478" t="s">
        <v>2645</v>
      </c>
    </row>
    <row r="5" spans="1:29" ht="15">
      <c r="A5" s="404"/>
      <c r="B5" s="405"/>
      <c r="C5" s="3500" t="s">
        <v>2538</v>
      </c>
      <c r="D5" s="3501"/>
      <c r="E5" s="3507" t="s">
        <v>2539</v>
      </c>
      <c r="F5" s="3508"/>
      <c r="G5" s="3500" t="s">
        <v>2540</v>
      </c>
      <c r="H5" s="3501"/>
      <c r="I5" s="3500" t="s">
        <v>2541</v>
      </c>
      <c r="J5" s="3501"/>
      <c r="K5" s="610"/>
      <c r="L5" s="1130"/>
      <c r="M5" s="1131"/>
      <c r="N5" s="1131"/>
      <c r="O5" s="1131"/>
      <c r="P5" s="3487"/>
      <c r="Q5" s="3488"/>
      <c r="R5" s="3493"/>
      <c r="S5" s="3494"/>
      <c r="T5" s="3493"/>
      <c r="U5" s="3494"/>
      <c r="V5" s="3497"/>
      <c r="W5" s="3497"/>
      <c r="X5" s="1805"/>
      <c r="Y5" s="3493"/>
      <c r="Z5" s="3494"/>
      <c r="AA5" s="3479"/>
      <c r="AB5" s="3479"/>
      <c r="AC5" s="3479"/>
    </row>
    <row r="6" spans="1:29" ht="15.75" thickBot="1">
      <c r="A6" s="406"/>
      <c r="B6" s="407"/>
      <c r="C6" s="3498" t="s">
        <v>2542</v>
      </c>
      <c r="D6" s="3499"/>
      <c r="E6" s="3505" t="s">
        <v>2542</v>
      </c>
      <c r="F6" s="3506"/>
      <c r="G6" s="3498" t="s">
        <v>2542</v>
      </c>
      <c r="H6" s="3499"/>
      <c r="I6" s="3498" t="s">
        <v>2542</v>
      </c>
      <c r="J6" s="3499"/>
      <c r="K6" s="610" t="s">
        <v>2543</v>
      </c>
      <c r="L6" s="1130"/>
      <c r="M6" s="1131"/>
      <c r="N6" s="1131"/>
      <c r="O6" s="1131"/>
      <c r="P6" s="3489"/>
      <c r="Q6" s="3490"/>
      <c r="R6" s="3493"/>
      <c r="S6" s="3494"/>
      <c r="T6" s="3495"/>
      <c r="U6" s="3496"/>
      <c r="V6" s="3497"/>
      <c r="W6" s="3497"/>
      <c r="X6" s="1805"/>
      <c r="Y6" s="3495"/>
      <c r="Z6" s="3496"/>
      <c r="AA6" s="3480"/>
      <c r="AB6" s="3480"/>
      <c r="AC6" s="3480"/>
    </row>
    <row r="7" spans="1:29" s="117" customFormat="1" ht="15.75" thickBot="1">
      <c r="A7" s="408" t="s">
        <v>2544</v>
      </c>
      <c r="B7" s="409"/>
      <c r="C7" s="410">
        <f>'数据-取费表'!B2</f>
        <v>44425</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502" t="s">
        <v>2545</v>
      </c>
      <c r="Q7" s="3504"/>
      <c r="R7" s="770" t="s">
        <v>17</v>
      </c>
      <c r="S7" s="771">
        <f t="shared" ref="S7:S14" si="0">F7</f>
        <v>0</v>
      </c>
      <c r="T7" s="770" t="s">
        <v>17</v>
      </c>
      <c r="U7" s="771">
        <f t="shared" ref="U7:U14" si="1">H7</f>
        <v>0</v>
      </c>
      <c r="V7" s="770" t="s">
        <v>17</v>
      </c>
      <c r="W7" s="771">
        <f t="shared" ref="W7:W14" si="2">J7</f>
        <v>0</v>
      </c>
      <c r="X7" s="772"/>
      <c r="Y7" s="3502" t="s">
        <v>2545</v>
      </c>
      <c r="Z7" s="3503"/>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502" t="s">
        <v>2548</v>
      </c>
      <c r="Q8" s="3503"/>
      <c r="R8" s="770" t="s">
        <v>17</v>
      </c>
      <c r="S8" s="771">
        <f t="shared" si="0"/>
        <v>0</v>
      </c>
      <c r="T8" s="770" t="s">
        <v>17</v>
      </c>
      <c r="U8" s="771">
        <f t="shared" si="1"/>
        <v>0</v>
      </c>
      <c r="V8" s="770" t="s">
        <v>17</v>
      </c>
      <c r="W8" s="771">
        <f t="shared" si="2"/>
        <v>0</v>
      </c>
      <c r="X8" s="772"/>
      <c r="Y8" s="3502" t="s">
        <v>2548</v>
      </c>
      <c r="Z8" s="3503"/>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466" t="s">
        <v>2551</v>
      </c>
      <c r="Q9" s="1787" t="str">
        <f t="shared" ref="Q9:Q14" si="6">B9</f>
        <v>用途</v>
      </c>
      <c r="R9" s="770" t="s">
        <v>17</v>
      </c>
      <c r="S9" s="771">
        <f t="shared" si="0"/>
        <v>100</v>
      </c>
      <c r="T9" s="770" t="s">
        <v>17</v>
      </c>
      <c r="U9" s="771">
        <f t="shared" si="1"/>
        <v>100</v>
      </c>
      <c r="V9" s="770" t="s">
        <v>17</v>
      </c>
      <c r="W9" s="771">
        <f t="shared" si="2"/>
        <v>100</v>
      </c>
      <c r="X9" s="772"/>
      <c r="Y9" s="3259"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466"/>
      <c r="Q10" s="1787" t="str">
        <f t="shared" si="6"/>
        <v>土地使用年限（年）</v>
      </c>
      <c r="R10" s="770" t="s">
        <v>17</v>
      </c>
      <c r="S10" s="771">
        <f t="shared" si="0"/>
        <v>100</v>
      </c>
      <c r="T10" s="770" t="s">
        <v>17</v>
      </c>
      <c r="U10" s="771">
        <f t="shared" si="1"/>
        <v>100</v>
      </c>
      <c r="V10" s="770" t="s">
        <v>17</v>
      </c>
      <c r="W10" s="771">
        <f t="shared" si="2"/>
        <v>100</v>
      </c>
      <c r="X10" s="772"/>
      <c r="Y10" s="3259"/>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466"/>
      <c r="Q11" s="1787">
        <f t="shared" si="6"/>
        <v>111</v>
      </c>
      <c r="R11" s="770" t="s">
        <v>17</v>
      </c>
      <c r="S11" s="771">
        <f t="shared" si="0"/>
        <v>100</v>
      </c>
      <c r="T11" s="770" t="s">
        <v>17</v>
      </c>
      <c r="U11" s="771">
        <f t="shared" si="1"/>
        <v>100</v>
      </c>
      <c r="V11" s="770" t="s">
        <v>17</v>
      </c>
      <c r="W11" s="771">
        <f t="shared" si="2"/>
        <v>100</v>
      </c>
      <c r="X11" s="772"/>
      <c r="Y11" s="3259"/>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466"/>
      <c r="Q12" s="1787">
        <f t="shared" si="6"/>
        <v>111</v>
      </c>
      <c r="R12" s="770" t="s">
        <v>17</v>
      </c>
      <c r="S12" s="771">
        <f t="shared" si="0"/>
        <v>100</v>
      </c>
      <c r="T12" s="770" t="s">
        <v>17</v>
      </c>
      <c r="U12" s="771">
        <f t="shared" si="1"/>
        <v>100</v>
      </c>
      <c r="V12" s="770" t="s">
        <v>17</v>
      </c>
      <c r="W12" s="771">
        <f t="shared" si="2"/>
        <v>100</v>
      </c>
      <c r="X12" s="772"/>
      <c r="Y12" s="3259"/>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466"/>
      <c r="Q13" s="1787">
        <f t="shared" si="6"/>
        <v>111</v>
      </c>
      <c r="R13" s="770" t="s">
        <v>17</v>
      </c>
      <c r="S13" s="771">
        <f t="shared" si="0"/>
        <v>100</v>
      </c>
      <c r="T13" s="770" t="s">
        <v>17</v>
      </c>
      <c r="U13" s="771">
        <f t="shared" si="1"/>
        <v>100</v>
      </c>
      <c r="V13" s="770" t="s">
        <v>17</v>
      </c>
      <c r="W13" s="771">
        <f t="shared" si="2"/>
        <v>100</v>
      </c>
      <c r="X13" s="772"/>
      <c r="Y13" s="3259"/>
      <c r="Z13" s="55">
        <f t="shared" si="7"/>
        <v>111</v>
      </c>
      <c r="AA13" s="773">
        <f t="shared" si="3"/>
        <v>1</v>
      </c>
      <c r="AB13" s="773">
        <f t="shared" si="4"/>
        <v>1</v>
      </c>
      <c r="AC13" s="773">
        <f t="shared" si="5"/>
        <v>1</v>
      </c>
    </row>
    <row r="14" spans="1:29" ht="85.5">
      <c r="A14" s="440" t="s">
        <v>2555</v>
      </c>
      <c r="B14" s="69" t="s">
        <v>2705</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468" t="s">
        <v>2556</v>
      </c>
      <c r="Q14" s="1802" t="str">
        <f t="shared" si="6"/>
        <v>交通便捷度</v>
      </c>
      <c r="R14" s="774" t="s">
        <v>17</v>
      </c>
      <c r="S14" s="775">
        <f t="shared" si="0"/>
        <v>100</v>
      </c>
      <c r="T14" s="774" t="s">
        <v>17</v>
      </c>
      <c r="U14" s="775">
        <f t="shared" si="1"/>
        <v>100</v>
      </c>
      <c r="V14" s="774" t="s">
        <v>17</v>
      </c>
      <c r="W14" s="775">
        <f t="shared" si="2"/>
        <v>100</v>
      </c>
      <c r="X14" s="1805"/>
      <c r="Y14" s="3468" t="s">
        <v>2556</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469"/>
      <c r="Q15" s="1802"/>
      <c r="R15" s="774"/>
      <c r="S15" s="775"/>
      <c r="T15" s="774"/>
      <c r="U15" s="775"/>
      <c r="V15" s="774"/>
      <c r="W15" s="775"/>
      <c r="X15" s="1805"/>
      <c r="Y15" s="3469"/>
      <c r="Z15" s="1806"/>
      <c r="AA15" s="1803">
        <v>1</v>
      </c>
      <c r="AB15" s="1803">
        <v>1</v>
      </c>
      <c r="AC15" s="1803">
        <v>1</v>
      </c>
    </row>
    <row r="16" spans="1:29" ht="42.75">
      <c r="A16" s="428"/>
      <c r="B16" s="451" t="s">
        <v>2684</v>
      </c>
      <c r="C16" s="260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469"/>
      <c r="Q16" s="1802" t="str">
        <f>B16</f>
        <v>公共配套设施</v>
      </c>
      <c r="R16" s="774" t="s">
        <v>17</v>
      </c>
      <c r="S16" s="775">
        <f>F16</f>
        <v>100</v>
      </c>
      <c r="T16" s="774" t="s">
        <v>17</v>
      </c>
      <c r="U16" s="775">
        <f>H16</f>
        <v>100</v>
      </c>
      <c r="V16" s="774" t="s">
        <v>17</v>
      </c>
      <c r="W16" s="775">
        <f>J16</f>
        <v>100</v>
      </c>
      <c r="X16" s="1805"/>
      <c r="Y16" s="3469"/>
      <c r="Z16" s="1806" t="str">
        <f>Q16</f>
        <v>公共配套设施</v>
      </c>
      <c r="AA16" s="1803">
        <f t="shared" si="3"/>
        <v>1</v>
      </c>
      <c r="AB16" s="1803">
        <f t="shared" si="4"/>
        <v>1</v>
      </c>
      <c r="AC16" s="1803">
        <f t="shared" si="5"/>
        <v>1</v>
      </c>
    </row>
    <row r="17" spans="1:29" ht="15">
      <c r="A17" s="428"/>
      <c r="B17" s="456"/>
      <c r="C17" s="2602"/>
      <c r="D17" s="448"/>
      <c r="E17" s="447"/>
      <c r="F17" s="449"/>
      <c r="G17" s="447"/>
      <c r="H17" s="448"/>
      <c r="I17" s="447"/>
      <c r="J17" s="448"/>
      <c r="K17" s="615"/>
      <c r="L17" s="1140"/>
      <c r="M17" s="1131"/>
      <c r="N17" s="1131"/>
      <c r="O17" s="1139"/>
      <c r="P17" s="3469"/>
      <c r="Q17" s="1802"/>
      <c r="R17" s="774"/>
      <c r="S17" s="775"/>
      <c r="T17" s="774"/>
      <c r="U17" s="775"/>
      <c r="V17" s="774"/>
      <c r="W17" s="775"/>
      <c r="X17" s="1805"/>
      <c r="Y17" s="3469"/>
      <c r="Z17" s="1806"/>
      <c r="AA17" s="1803">
        <v>1</v>
      </c>
      <c r="AB17" s="1803">
        <v>1</v>
      </c>
      <c r="AC17" s="1803">
        <v>1</v>
      </c>
    </row>
    <row r="18" spans="1:29" ht="28.5">
      <c r="A18" s="428"/>
      <c r="B18" s="1384" t="s">
        <v>2685</v>
      </c>
      <c r="C18" s="260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469"/>
      <c r="Q18" s="1802" t="str">
        <f>B18</f>
        <v>基础设施水平</v>
      </c>
      <c r="R18" s="774" t="s">
        <v>17</v>
      </c>
      <c r="S18" s="775">
        <f>F18</f>
        <v>100</v>
      </c>
      <c r="T18" s="774" t="s">
        <v>17</v>
      </c>
      <c r="U18" s="775">
        <f>H18</f>
        <v>100</v>
      </c>
      <c r="V18" s="774" t="s">
        <v>17</v>
      </c>
      <c r="W18" s="775">
        <f>J18</f>
        <v>100</v>
      </c>
      <c r="X18" s="1805"/>
      <c r="Y18" s="3469"/>
      <c r="Z18" s="1806" t="str">
        <f>Q18</f>
        <v>基础设施水平</v>
      </c>
      <c r="AA18" s="1803">
        <f t="shared" ref="AA18" si="8">D18/F18</f>
        <v>1</v>
      </c>
      <c r="AB18" s="1803">
        <f t="shared" ref="AB18" si="9">D18/H18</f>
        <v>1</v>
      </c>
      <c r="AC18" s="1803">
        <f t="shared" ref="AC18" si="10">D18/J18</f>
        <v>1</v>
      </c>
    </row>
    <row r="19" spans="1:29" ht="15">
      <c r="A19" s="428"/>
      <c r="B19" s="1384"/>
      <c r="C19" s="2602"/>
      <c r="D19" s="450"/>
      <c r="E19" s="2602"/>
      <c r="F19" s="453"/>
      <c r="G19" s="2602"/>
      <c r="H19" s="448"/>
      <c r="I19" s="447"/>
      <c r="J19" s="448"/>
      <c r="K19" s="1383"/>
      <c r="L19" s="1140"/>
      <c r="M19" s="1131"/>
      <c r="N19" s="1131"/>
      <c r="O19" s="1139"/>
      <c r="P19" s="3469"/>
      <c r="Q19" s="1802"/>
      <c r="R19" s="774"/>
      <c r="S19" s="775"/>
      <c r="T19" s="774"/>
      <c r="U19" s="775"/>
      <c r="V19" s="774"/>
      <c r="W19" s="775"/>
      <c r="X19" s="1805"/>
      <c r="Y19" s="3469"/>
      <c r="Z19" s="1806"/>
      <c r="AA19" s="1803">
        <v>1</v>
      </c>
      <c r="AB19" s="1803">
        <v>1</v>
      </c>
      <c r="AC19" s="1803">
        <v>1</v>
      </c>
    </row>
    <row r="20" spans="1:29" ht="57">
      <c r="A20" s="428"/>
      <c r="B20" s="451" t="s">
        <v>2706</v>
      </c>
      <c r="C20" s="260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469"/>
      <c r="Q20" s="1802" t="str">
        <f>B20</f>
        <v>自然及人文环境</v>
      </c>
      <c r="R20" s="774" t="s">
        <v>17</v>
      </c>
      <c r="S20" s="775">
        <f>F20</f>
        <v>100</v>
      </c>
      <c r="T20" s="774" t="s">
        <v>17</v>
      </c>
      <c r="U20" s="775">
        <f>H20</f>
        <v>100</v>
      </c>
      <c r="V20" s="774" t="s">
        <v>17</v>
      </c>
      <c r="W20" s="775">
        <f>J20</f>
        <v>100</v>
      </c>
      <c r="X20" s="1805"/>
      <c r="Y20" s="3469"/>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469"/>
      <c r="Q21" s="1802"/>
      <c r="R21" s="774"/>
      <c r="S21" s="775"/>
      <c r="T21" s="774"/>
      <c r="U21" s="775"/>
      <c r="V21" s="774"/>
      <c r="W21" s="775"/>
      <c r="X21" s="1805"/>
      <c r="Y21" s="3469"/>
      <c r="Z21" s="1806"/>
      <c r="AA21" s="1803">
        <v>1</v>
      </c>
      <c r="AB21" s="1803">
        <v>1</v>
      </c>
      <c r="AC21" s="1803">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469"/>
      <c r="Q22" s="1802" t="str">
        <f>B22</f>
        <v>楼层</v>
      </c>
      <c r="R22" s="774" t="s">
        <v>17</v>
      </c>
      <c r="S22" s="775">
        <f>F22</f>
        <v>100</v>
      </c>
      <c r="T22" s="774" t="s">
        <v>17</v>
      </c>
      <c r="U22" s="775">
        <f>H22</f>
        <v>100</v>
      </c>
      <c r="V22" s="774" t="s">
        <v>17</v>
      </c>
      <c r="W22" s="775">
        <f>J22</f>
        <v>100</v>
      </c>
      <c r="X22" s="1805"/>
      <c r="Y22" s="3469"/>
      <c r="Z22" s="1806" t="str">
        <f>Q22</f>
        <v>楼层</v>
      </c>
      <c r="AA22" s="1803">
        <f t="shared" si="3"/>
        <v>1</v>
      </c>
      <c r="AB22" s="1803">
        <f t="shared" si="4"/>
        <v>1</v>
      </c>
      <c r="AC22" s="1803">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469"/>
      <c r="Q23" s="1802">
        <f>B23</f>
        <v>111</v>
      </c>
      <c r="R23" s="774" t="s">
        <v>17</v>
      </c>
      <c r="S23" s="775">
        <f>F23</f>
        <v>100</v>
      </c>
      <c r="T23" s="774" t="s">
        <v>17</v>
      </c>
      <c r="U23" s="775">
        <f>H23</f>
        <v>100</v>
      </c>
      <c r="V23" s="774" t="s">
        <v>17</v>
      </c>
      <c r="W23" s="775">
        <f>J23</f>
        <v>100</v>
      </c>
      <c r="X23" s="1805"/>
      <c r="Y23" s="3469"/>
      <c r="Z23" s="1806">
        <f>Q23</f>
        <v>111</v>
      </c>
      <c r="AA23" s="1803">
        <f t="shared" si="3"/>
        <v>1</v>
      </c>
      <c r="AB23" s="1803">
        <f t="shared" si="4"/>
        <v>1</v>
      </c>
      <c r="AC23" s="1803">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469"/>
      <c r="Q24" s="1802">
        <f t="shared" ref="Q24:Q34" si="11">B24</f>
        <v>111</v>
      </c>
      <c r="R24" s="774" t="s">
        <v>17</v>
      </c>
      <c r="S24" s="775">
        <f>F24</f>
        <v>100</v>
      </c>
      <c r="T24" s="774" t="s">
        <v>17</v>
      </c>
      <c r="U24" s="775">
        <f>H24</f>
        <v>100</v>
      </c>
      <c r="V24" s="774" t="s">
        <v>17</v>
      </c>
      <c r="W24" s="775">
        <f>J24</f>
        <v>100</v>
      </c>
      <c r="X24" s="1805"/>
      <c r="Y24" s="3469"/>
      <c r="Z24" s="1806">
        <f>Q24</f>
        <v>111</v>
      </c>
      <c r="AA24" s="1803">
        <f t="shared" si="3"/>
        <v>1</v>
      </c>
      <c r="AB24" s="1803">
        <f t="shared" si="4"/>
        <v>1</v>
      </c>
      <c r="AC24" s="1803">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469"/>
      <c r="Q25" s="1787">
        <f t="shared" si="11"/>
        <v>111</v>
      </c>
      <c r="R25" s="770" t="s">
        <v>17</v>
      </c>
      <c r="S25" s="771">
        <f>F25</f>
        <v>100</v>
      </c>
      <c r="T25" s="770" t="s">
        <v>17</v>
      </c>
      <c r="U25" s="771">
        <f>H25</f>
        <v>100</v>
      </c>
      <c r="V25" s="770" t="s">
        <v>17</v>
      </c>
      <c r="W25" s="771">
        <f>J25</f>
        <v>100</v>
      </c>
      <c r="X25" s="772"/>
      <c r="Y25" s="3469"/>
      <c r="Z25" s="55">
        <f>Q25</f>
        <v>111</v>
      </c>
      <c r="AA25" s="1803">
        <f>D25/F25</f>
        <v>1</v>
      </c>
      <c r="AB25" s="1803">
        <f>D25/H25</f>
        <v>1</v>
      </c>
      <c r="AC25" s="1803">
        <f>D25/J25</f>
        <v>1</v>
      </c>
    </row>
    <row r="26" spans="1:29" ht="29.25">
      <c r="A26" s="466" t="s">
        <v>2559</v>
      </c>
      <c r="B26" s="71" t="s">
        <v>2710</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524" t="s">
        <v>2561</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473" t="s">
        <v>2561</v>
      </c>
      <c r="Z26" s="1806" t="str">
        <f t="shared" ref="Z26:Z34" si="15">Q26</f>
        <v>公共部分装修</v>
      </c>
      <c r="AA26" s="1803">
        <f t="shared" si="3"/>
        <v>1</v>
      </c>
      <c r="AB26" s="1803">
        <f t="shared" si="4"/>
        <v>1</v>
      </c>
      <c r="AC26" s="1803">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473"/>
      <c r="Q27" s="776" t="str">
        <f t="shared" si="11"/>
        <v>成新率</v>
      </c>
      <c r="R27" s="777" t="s">
        <v>17</v>
      </c>
      <c r="S27" s="778" t="e">
        <f t="shared" si="12"/>
        <v>#N/A</v>
      </c>
      <c r="T27" s="777" t="s">
        <v>17</v>
      </c>
      <c r="U27" s="778" t="e">
        <f t="shared" si="13"/>
        <v>#N/A</v>
      </c>
      <c r="V27" s="777" t="s">
        <v>17</v>
      </c>
      <c r="W27" s="778" t="e">
        <f t="shared" si="14"/>
        <v>#N/A</v>
      </c>
      <c r="X27" s="779"/>
      <c r="Y27" s="3473"/>
      <c r="Z27" s="780" t="str">
        <f t="shared" si="15"/>
        <v>成新率</v>
      </c>
      <c r="AA27" s="1803" t="e">
        <f t="shared" si="3"/>
        <v>#N/A</v>
      </c>
      <c r="AB27" s="1803" t="e">
        <f t="shared" si="4"/>
        <v>#N/A</v>
      </c>
      <c r="AC27" s="1803"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473"/>
      <c r="Q28" s="1802" t="str">
        <f t="shared" si="11"/>
        <v>物业等级</v>
      </c>
      <c r="R28" s="774" t="s">
        <v>17</v>
      </c>
      <c r="S28" s="775">
        <f t="shared" si="12"/>
        <v>100</v>
      </c>
      <c r="T28" s="774" t="s">
        <v>17</v>
      </c>
      <c r="U28" s="775">
        <f t="shared" si="13"/>
        <v>100</v>
      </c>
      <c r="V28" s="774" t="s">
        <v>17</v>
      </c>
      <c r="W28" s="775">
        <f t="shared" si="14"/>
        <v>100</v>
      </c>
      <c r="X28" s="1805"/>
      <c r="Y28" s="3473"/>
      <c r="Z28" s="1806" t="str">
        <f t="shared" si="15"/>
        <v>物业等级</v>
      </c>
      <c r="AA28" s="1803">
        <f t="shared" si="3"/>
        <v>1</v>
      </c>
      <c r="AB28" s="1803">
        <f t="shared" si="4"/>
        <v>1</v>
      </c>
      <c r="AC28" s="1803">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473"/>
      <c r="Q29" s="1802" t="str">
        <f t="shared" si="11"/>
        <v>有无电梯</v>
      </c>
      <c r="R29" s="774" t="s">
        <v>17</v>
      </c>
      <c r="S29" s="775">
        <f t="shared" si="12"/>
        <v>100</v>
      </c>
      <c r="T29" s="774" t="s">
        <v>17</v>
      </c>
      <c r="U29" s="775">
        <f t="shared" si="13"/>
        <v>100</v>
      </c>
      <c r="V29" s="774" t="s">
        <v>17</v>
      </c>
      <c r="W29" s="775">
        <f t="shared" si="14"/>
        <v>100</v>
      </c>
      <c r="X29" s="1805"/>
      <c r="Y29" s="3473"/>
      <c r="Z29" s="1806" t="str">
        <f t="shared" si="15"/>
        <v>有无电梯</v>
      </c>
      <c r="AA29" s="1803">
        <f t="shared" si="3"/>
        <v>1</v>
      </c>
      <c r="AB29" s="1803">
        <f t="shared" si="4"/>
        <v>1</v>
      </c>
      <c r="AC29" s="1803">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473"/>
      <c r="Q30" s="1802" t="str">
        <f t="shared" si="11"/>
        <v>建筑面积</v>
      </c>
      <c r="R30" s="774" t="s">
        <v>17</v>
      </c>
      <c r="S30" s="775" t="e">
        <f t="shared" si="12"/>
        <v>#N/A</v>
      </c>
      <c r="T30" s="774" t="s">
        <v>17</v>
      </c>
      <c r="U30" s="775" t="e">
        <f t="shared" si="13"/>
        <v>#N/A</v>
      </c>
      <c r="V30" s="774" t="s">
        <v>17</v>
      </c>
      <c r="W30" s="775" t="e">
        <f t="shared" si="14"/>
        <v>#N/A</v>
      </c>
      <c r="X30" s="1805"/>
      <c r="Y30" s="3473"/>
      <c r="Z30" s="1806" t="str">
        <f t="shared" si="15"/>
        <v>建筑面积</v>
      </c>
      <c r="AA30" s="1803" t="e">
        <f t="shared" si="3"/>
        <v>#N/A</v>
      </c>
      <c r="AB30" s="1803" t="e">
        <f t="shared" si="4"/>
        <v>#N/A</v>
      </c>
      <c r="AC30" s="1803"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473"/>
      <c r="Q31" s="1787" t="str">
        <f t="shared" si="11"/>
        <v>是否封闭</v>
      </c>
      <c r="R31" s="770" t="s">
        <v>17</v>
      </c>
      <c r="S31" s="771">
        <f t="shared" si="12"/>
        <v>100</v>
      </c>
      <c r="T31" s="770" t="s">
        <v>17</v>
      </c>
      <c r="U31" s="771">
        <f t="shared" si="13"/>
        <v>100</v>
      </c>
      <c r="V31" s="770" t="s">
        <v>17</v>
      </c>
      <c r="W31" s="771">
        <f t="shared" si="14"/>
        <v>100</v>
      </c>
      <c r="X31" s="772"/>
      <c r="Y31" s="3473"/>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473" t="s">
        <v>2561</v>
      </c>
      <c r="Q32" s="1802">
        <f t="shared" si="11"/>
        <v>111</v>
      </c>
      <c r="R32" s="774" t="s">
        <v>17</v>
      </c>
      <c r="S32" s="775">
        <f t="shared" si="12"/>
        <v>100</v>
      </c>
      <c r="T32" s="774" t="s">
        <v>17</v>
      </c>
      <c r="U32" s="775">
        <f t="shared" si="13"/>
        <v>100</v>
      </c>
      <c r="V32" s="774" t="s">
        <v>17</v>
      </c>
      <c r="W32" s="775">
        <f t="shared" si="14"/>
        <v>100</v>
      </c>
      <c r="X32" s="1805"/>
      <c r="Y32" s="3473" t="s">
        <v>2561</v>
      </c>
      <c r="Z32" s="1806">
        <f t="shared" si="15"/>
        <v>111</v>
      </c>
      <c r="AA32" s="1803">
        <f t="shared" si="3"/>
        <v>1</v>
      </c>
      <c r="AB32" s="1803">
        <f t="shared" si="4"/>
        <v>1</v>
      </c>
      <c r="AC32" s="1803">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473"/>
      <c r="Q33" s="1802">
        <f t="shared" si="11"/>
        <v>111</v>
      </c>
      <c r="R33" s="774" t="s">
        <v>17</v>
      </c>
      <c r="S33" s="775">
        <f t="shared" si="12"/>
        <v>100</v>
      </c>
      <c r="T33" s="774" t="s">
        <v>17</v>
      </c>
      <c r="U33" s="775">
        <f t="shared" si="13"/>
        <v>100</v>
      </c>
      <c r="V33" s="774" t="s">
        <v>17</v>
      </c>
      <c r="W33" s="775">
        <f t="shared" si="14"/>
        <v>100</v>
      </c>
      <c r="X33" s="1805"/>
      <c r="Y33" s="3473"/>
      <c r="Z33" s="1806">
        <f t="shared" si="15"/>
        <v>111</v>
      </c>
      <c r="AA33" s="1803">
        <f t="shared" si="3"/>
        <v>1</v>
      </c>
      <c r="AB33" s="1803">
        <f t="shared" si="4"/>
        <v>1</v>
      </c>
      <c r="AC33" s="1803">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473"/>
      <c r="Q34" s="1802">
        <f t="shared" si="11"/>
        <v>111</v>
      </c>
      <c r="R34" s="774" t="s">
        <v>17</v>
      </c>
      <c r="S34" s="775">
        <f t="shared" si="12"/>
        <v>100</v>
      </c>
      <c r="T34" s="774" t="s">
        <v>17</v>
      </c>
      <c r="U34" s="775">
        <f t="shared" si="13"/>
        <v>100</v>
      </c>
      <c r="V34" s="774" t="s">
        <v>17</v>
      </c>
      <c r="W34" s="775">
        <f t="shared" si="14"/>
        <v>100</v>
      </c>
      <c r="X34" s="1805"/>
      <c r="Y34" s="3473"/>
      <c r="Z34" s="1806">
        <f t="shared" si="15"/>
        <v>111</v>
      </c>
      <c r="AA34" s="1803">
        <f t="shared" si="3"/>
        <v>1</v>
      </c>
      <c r="AB34" s="1803">
        <f t="shared" si="4"/>
        <v>1</v>
      </c>
      <c r="AC34" s="1803">
        <f t="shared" si="5"/>
        <v>1</v>
      </c>
    </row>
    <row r="35" spans="1:29" ht="15">
      <c r="A35" s="479" t="s">
        <v>2573</v>
      </c>
      <c r="B35" s="480"/>
      <c r="C35" s="1407" t="s">
        <v>1</v>
      </c>
      <c r="D35" s="1408"/>
      <c r="E35" s="1409"/>
      <c r="F35" s="1410"/>
      <c r="G35" s="1411"/>
      <c r="H35" s="1412"/>
      <c r="I35" s="1409"/>
      <c r="J35" s="1412"/>
      <c r="K35" s="783"/>
      <c r="L35" s="1143"/>
      <c r="M35" s="1144"/>
      <c r="N35" s="1131"/>
      <c r="O35" s="1144"/>
      <c r="P35" s="3466" t="str">
        <f>A35</f>
        <v>成交单价（元/平方米）</v>
      </c>
      <c r="Q35" s="3466"/>
      <c r="R35" s="3467">
        <f>E35</f>
        <v>0</v>
      </c>
      <c r="S35" s="3467"/>
      <c r="T35" s="3467">
        <f>G35</f>
        <v>0</v>
      </c>
      <c r="U35" s="3467"/>
      <c r="V35" s="3467">
        <f>I35</f>
        <v>0</v>
      </c>
      <c r="W35" s="3467"/>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466" t="str">
        <f>A36</f>
        <v>比较价值（元/平方米）</v>
      </c>
      <c r="Q36" s="3466"/>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463" t="str">
        <f>A37</f>
        <v>估价对象XX用房的比较价值（楼面单价，元/平方米）</v>
      </c>
      <c r="Q37" s="3464"/>
      <c r="R37" s="3465" t="e">
        <f>IF(F1="售价",ROUND(AVERAGE(R36:V36),0),ROUND(AVERAGE(R36:V36),1))</f>
        <v>#DIV/0!</v>
      </c>
      <c r="S37" s="3465"/>
      <c r="T37" s="3465"/>
      <c r="U37" s="3465"/>
      <c r="V37" s="3465"/>
      <c r="W37" s="346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2021-8</v>
      </c>
      <c r="D46" s="1575">
        <f>EDATE(C46,-1)</f>
        <v>44378</v>
      </c>
      <c r="E46" s="1575">
        <f t="shared" ref="E46:O46" si="16">EDATE(D46,-1)</f>
        <v>44348</v>
      </c>
      <c r="F46" s="1575">
        <f t="shared" si="16"/>
        <v>44317</v>
      </c>
      <c r="G46" s="1575">
        <f t="shared" si="16"/>
        <v>44287</v>
      </c>
      <c r="H46" s="1575">
        <f t="shared" si="16"/>
        <v>44256</v>
      </c>
      <c r="I46" s="1575">
        <f t="shared" si="16"/>
        <v>44228</v>
      </c>
      <c r="J46" s="1575">
        <f t="shared" si="16"/>
        <v>44197</v>
      </c>
      <c r="K46" s="1575">
        <f t="shared" si="16"/>
        <v>44166</v>
      </c>
      <c r="L46" s="1575">
        <f t="shared" si="16"/>
        <v>44136</v>
      </c>
      <c r="M46" s="1575">
        <f t="shared" si="16"/>
        <v>44105</v>
      </c>
      <c r="N46" s="1575">
        <f t="shared" si="16"/>
        <v>44075</v>
      </c>
      <c r="O46" s="1575">
        <f t="shared" si="16"/>
        <v>44044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xr:uid="{00000000-0002-0000-2800-000000000000}">
      <formula1>交通便捷度</formula1>
    </dataValidation>
    <dataValidation type="list" allowBlank="1" showInputMessage="1" showErrorMessage="1" sqref="G17 C17 E17 I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10 E10 G10 I10" xr:uid="{00000000-0002-0000-2800-000003000000}">
      <formula1>土地年限区间</formula1>
    </dataValidation>
    <dataValidation type="list" allowBlank="1" showInputMessage="1" showErrorMessage="1" sqref="C8 E8 G8 I8" xr:uid="{00000000-0002-0000-2800-000004000000}">
      <formula1>仓储交易情况</formula1>
    </dataValidation>
    <dataValidation type="list" allowBlank="1" showInputMessage="1" showErrorMessage="1" sqref="E9 G9 I9" xr:uid="{00000000-0002-0000-2800-000005000000}">
      <formula1>仓储用途</formula1>
    </dataValidation>
    <dataValidation type="list" allowBlank="1" showInputMessage="1" showErrorMessage="1" sqref="C21 E21 G21 I21" xr:uid="{00000000-0002-0000-2800-000006000000}">
      <formula1>环境</formula1>
    </dataValidation>
    <dataValidation type="list" allowBlank="1" showInputMessage="1" showErrorMessage="1" sqref="C22 E22 G22 I22" xr:uid="{00000000-0002-0000-2800-000007000000}">
      <formula1>仓储楼层</formula1>
    </dataValidation>
    <dataValidation type="list" allowBlank="1" showInputMessage="1" showErrorMessage="1" sqref="C26 E26 G26 I26" xr:uid="{00000000-0002-0000-2800-000008000000}">
      <formula1>仓储公共部分装修</formula1>
    </dataValidation>
    <dataValidation type="list" allowBlank="1" showInputMessage="1" showErrorMessage="1" sqref="C29 E29 G29 I29" xr:uid="{00000000-0002-0000-2800-000009000000}">
      <formula1>有无电梯</formula1>
    </dataValidation>
    <dataValidation type="list" allowBlank="1" showInputMessage="1" showErrorMessage="1" sqref="C31 E31 G31 I31" xr:uid="{00000000-0002-0000-2800-00000A000000}">
      <formula1>是否封闭</formula1>
    </dataValidation>
    <dataValidation type="list" allowBlank="1" showInputMessage="1" showErrorMessage="1" sqref="B1" xr:uid="{00000000-0002-0000-2800-00000B000000}">
      <formula1>地类判定</formula1>
    </dataValidation>
    <dataValidation type="list" allowBlank="1" showInputMessage="1" showErrorMessage="1" sqref="C28 E28 G28 I28" xr:uid="{00000000-0002-0000-2800-00000C000000}">
      <formula1>仓储物业等级</formula1>
    </dataValidation>
    <dataValidation type="list" allowBlank="1" showInputMessage="1" showErrorMessage="1" sqref="C19 E19 G19 I19" xr:uid="{00000000-0002-0000-2800-00000D000000}">
      <formula1>基础设施水平</formula1>
    </dataValidation>
    <dataValidation type="list" allowBlank="1" showInputMessage="1" showErrorMessage="1" sqref="F1" xr:uid="{00000000-0002-0000-2800-00000E000000}">
      <formula1>"售价,租金"</formula1>
    </dataValidation>
    <dataValidation type="list" allowBlank="1" showInputMessage="1" showErrorMessage="1" sqref="C2" xr:uid="{00000000-0002-0000-2800-00000F000000}">
      <formula1>"需扣减承租人权益,——"</formula1>
    </dataValidation>
    <dataValidation type="list" allowBlank="1" showInputMessage="1" showErrorMessage="1" sqref="F2" xr:uid="{00000000-0002-0000-28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87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481" t="s">
        <v>2642</v>
      </c>
      <c r="D4" s="3482"/>
      <c r="E4" s="3483" t="s">
        <v>2643</v>
      </c>
      <c r="F4" s="3484"/>
      <c r="G4" s="3481" t="s">
        <v>2644</v>
      </c>
      <c r="H4" s="3482"/>
      <c r="I4" s="3481" t="s">
        <v>2645</v>
      </c>
      <c r="J4" s="3482"/>
      <c r="K4" s="610" t="s">
        <v>2646</v>
      </c>
      <c r="L4" s="1130"/>
      <c r="M4" s="1131"/>
      <c r="N4" s="1131"/>
      <c r="O4" s="1131"/>
      <c r="P4" s="3485" t="s">
        <v>2647</v>
      </c>
      <c r="Q4" s="3486"/>
      <c r="R4" s="3491" t="s">
        <v>2643</v>
      </c>
      <c r="S4" s="3492"/>
      <c r="T4" s="3491" t="s">
        <v>2644</v>
      </c>
      <c r="U4" s="3492"/>
      <c r="V4" s="3497" t="s">
        <v>2645</v>
      </c>
      <c r="W4" s="3497"/>
      <c r="X4" s="1805"/>
      <c r="Y4" s="3491" t="s">
        <v>2647</v>
      </c>
      <c r="Z4" s="3492"/>
      <c r="AA4" s="3478" t="s">
        <v>2643</v>
      </c>
      <c r="AB4" s="3479" t="s">
        <v>2644</v>
      </c>
      <c r="AC4" s="3478" t="s">
        <v>2645</v>
      </c>
    </row>
    <row r="5" spans="1:30" ht="15">
      <c r="A5" s="404"/>
      <c r="B5" s="405"/>
      <c r="C5" s="3500" t="s">
        <v>2538</v>
      </c>
      <c r="D5" s="3501"/>
      <c r="E5" s="3507" t="s">
        <v>2539</v>
      </c>
      <c r="F5" s="3508"/>
      <c r="G5" s="3500" t="s">
        <v>2540</v>
      </c>
      <c r="H5" s="3501"/>
      <c r="I5" s="3500" t="s">
        <v>2541</v>
      </c>
      <c r="J5" s="3501"/>
      <c r="K5" s="610"/>
      <c r="L5" s="1130"/>
      <c r="M5" s="1131"/>
      <c r="N5" s="1131"/>
      <c r="O5" s="1131"/>
      <c r="P5" s="3487"/>
      <c r="Q5" s="3488"/>
      <c r="R5" s="3493"/>
      <c r="S5" s="3494"/>
      <c r="T5" s="3493"/>
      <c r="U5" s="3494"/>
      <c r="V5" s="3497"/>
      <c r="W5" s="3497"/>
      <c r="X5" s="1805"/>
      <c r="Y5" s="3493"/>
      <c r="Z5" s="3494"/>
      <c r="AA5" s="3479"/>
      <c r="AB5" s="3479"/>
      <c r="AC5" s="3479"/>
    </row>
    <row r="6" spans="1:30" ht="15.75" thickBot="1">
      <c r="A6" s="406"/>
      <c r="B6" s="407"/>
      <c r="C6" s="3498" t="s">
        <v>2542</v>
      </c>
      <c r="D6" s="3499"/>
      <c r="E6" s="3505" t="s">
        <v>2542</v>
      </c>
      <c r="F6" s="3506"/>
      <c r="G6" s="3498" t="s">
        <v>2542</v>
      </c>
      <c r="H6" s="3499"/>
      <c r="I6" s="3498" t="s">
        <v>2542</v>
      </c>
      <c r="J6" s="3499"/>
      <c r="K6" s="610" t="s">
        <v>2543</v>
      </c>
      <c r="L6" s="1130"/>
      <c r="M6" s="1131"/>
      <c r="N6" s="1131"/>
      <c r="O6" s="1131"/>
      <c r="P6" s="3489"/>
      <c r="Q6" s="3490"/>
      <c r="R6" s="3493"/>
      <c r="S6" s="3494"/>
      <c r="T6" s="3495"/>
      <c r="U6" s="3496"/>
      <c r="V6" s="3497"/>
      <c r="W6" s="3497"/>
      <c r="X6" s="1805"/>
      <c r="Y6" s="3495"/>
      <c r="Z6" s="3496"/>
      <c r="AA6" s="3480"/>
      <c r="AB6" s="3480"/>
      <c r="AC6" s="3480"/>
    </row>
    <row r="7" spans="1:30" s="117" customFormat="1" ht="15.75" thickBot="1">
      <c r="A7" s="408" t="s">
        <v>2544</v>
      </c>
      <c r="B7" s="409"/>
      <c r="C7" s="410">
        <f>'数据-取费表'!B2</f>
        <v>44425</v>
      </c>
      <c r="D7" s="411">
        <v>100</v>
      </c>
      <c r="E7" s="412">
        <v>42309</v>
      </c>
      <c r="F7" s="413">
        <f>SUMIF(70:70,YEAR(E7)&amp;"-"&amp;INT((MONTH(E7)+2)/3),71:71)</f>
        <v>0</v>
      </c>
      <c r="G7" s="2690">
        <v>42309</v>
      </c>
      <c r="H7" s="411">
        <f>SUMIF(70:70,YEAR(G7)&amp;"-"&amp;INT((MONTH(G7)+2)/3),71:71)</f>
        <v>0</v>
      </c>
      <c r="I7" s="2690">
        <v>42036</v>
      </c>
      <c r="J7" s="411">
        <f>SUMIF(70:70,YEAR(I7)&amp;"-"&amp;INT((MONTH(I7)+2)/3),71:71)</f>
        <v>0</v>
      </c>
      <c r="K7" s="611"/>
      <c r="L7" s="1132"/>
      <c r="M7" s="1133"/>
      <c r="N7" s="1133"/>
      <c r="O7" s="1133"/>
      <c r="P7" s="3502" t="s">
        <v>2545</v>
      </c>
      <c r="Q7" s="3504"/>
      <c r="R7" s="770" t="s">
        <v>17</v>
      </c>
      <c r="S7" s="771">
        <f t="shared" ref="S7:S15" si="0">F7</f>
        <v>0</v>
      </c>
      <c r="T7" s="770" t="s">
        <v>17</v>
      </c>
      <c r="U7" s="771">
        <f t="shared" ref="U7:U15" si="1">H7</f>
        <v>0</v>
      </c>
      <c r="V7" s="770" t="s">
        <v>17</v>
      </c>
      <c r="W7" s="771">
        <f t="shared" ref="W7:W15" si="2">J7</f>
        <v>0</v>
      </c>
      <c r="X7" s="772"/>
      <c r="Y7" s="3502" t="s">
        <v>2545</v>
      </c>
      <c r="Z7" s="3503"/>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502" t="s">
        <v>2548</v>
      </c>
      <c r="Q8" s="3503"/>
      <c r="R8" s="770" t="s">
        <v>17</v>
      </c>
      <c r="S8" s="771">
        <f t="shared" si="0"/>
        <v>0</v>
      </c>
      <c r="T8" s="770" t="s">
        <v>17</v>
      </c>
      <c r="U8" s="771">
        <f t="shared" si="1"/>
        <v>0</v>
      </c>
      <c r="V8" s="770" t="s">
        <v>17</v>
      </c>
      <c r="W8" s="771">
        <f t="shared" si="2"/>
        <v>0</v>
      </c>
      <c r="X8" s="772"/>
      <c r="Y8" s="3502" t="s">
        <v>2548</v>
      </c>
      <c r="Z8" s="3503"/>
      <c r="AA8" s="773" t="e">
        <f t="shared" ref="AA8:AA45" si="3">D8/F8</f>
        <v>#DIV/0!</v>
      </c>
      <c r="AB8" s="773" t="e">
        <f t="shared" ref="AB8:AB45" si="4">D8/H8</f>
        <v>#DIV/0!</v>
      </c>
      <c r="AC8" s="773" t="e">
        <f t="shared" ref="AC8:AC45" si="5">D8/J8</f>
        <v>#DIV/0!</v>
      </c>
    </row>
    <row r="9" spans="1:30" s="117" customFormat="1">
      <c r="A9" s="415" t="s">
        <v>2549</v>
      </c>
      <c r="B9" s="71" t="s">
        <v>2550</v>
      </c>
      <c r="C9" s="2693"/>
      <c r="D9" s="135">
        <v>100</v>
      </c>
      <c r="E9" s="2693"/>
      <c r="F9" s="135">
        <f>SUMIF(75:75,E9,76:76)-SUMIF(75:75,C9,76:76)+100</f>
        <v>100</v>
      </c>
      <c r="G9" s="2693"/>
      <c r="H9" s="135">
        <f>SUMIF(75:75,G9,76:76)-SUMIF(75:75,C9,76:76)+100</f>
        <v>100</v>
      </c>
      <c r="I9" s="2693"/>
      <c r="J9" s="135">
        <f>SUMIF(75:75,I9,76:76)-SUMIF(75:75,C9,76:76)+100</f>
        <v>100</v>
      </c>
      <c r="K9" s="611"/>
      <c r="L9" s="1132"/>
      <c r="M9" s="1133"/>
      <c r="N9" s="1133"/>
      <c r="O9" s="1134"/>
      <c r="P9" s="3466" t="s">
        <v>2551</v>
      </c>
      <c r="Q9" s="1787" t="str">
        <f t="shared" ref="Q9:Q15" si="6">B9</f>
        <v>用途</v>
      </c>
      <c r="R9" s="770" t="s">
        <v>17</v>
      </c>
      <c r="S9" s="771">
        <f t="shared" si="0"/>
        <v>100</v>
      </c>
      <c r="T9" s="770" t="s">
        <v>17</v>
      </c>
      <c r="U9" s="771">
        <f t="shared" si="1"/>
        <v>100</v>
      </c>
      <c r="V9" s="770" t="s">
        <v>17</v>
      </c>
      <c r="W9" s="771">
        <f t="shared" si="2"/>
        <v>100</v>
      </c>
      <c r="X9" s="772"/>
      <c r="Y9" s="3259"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466"/>
      <c r="Q10" s="1787" t="str">
        <f t="shared" si="6"/>
        <v>土地使用年限（年）</v>
      </c>
      <c r="R10" s="770" t="s">
        <v>17</v>
      </c>
      <c r="S10" s="771">
        <f t="shared" si="0"/>
        <v>100</v>
      </c>
      <c r="T10" s="770" t="s">
        <v>17</v>
      </c>
      <c r="U10" s="771">
        <f t="shared" si="1"/>
        <v>100</v>
      </c>
      <c r="V10" s="770" t="s">
        <v>17</v>
      </c>
      <c r="W10" s="771">
        <f t="shared" si="2"/>
        <v>100</v>
      </c>
      <c r="X10" s="772"/>
      <c r="Y10" s="3259"/>
      <c r="Z10" s="55" t="str">
        <f t="shared" si="7"/>
        <v>土地使用年限（年）</v>
      </c>
      <c r="AA10" s="773">
        <f t="shared" si="3"/>
        <v>1</v>
      </c>
      <c r="AB10" s="773">
        <f t="shared" si="4"/>
        <v>1</v>
      </c>
      <c r="AC10" s="773">
        <f t="shared" si="5"/>
        <v>1</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466"/>
      <c r="Q11" s="1787" t="str">
        <f t="shared" si="6"/>
        <v>容积率</v>
      </c>
      <c r="R11" s="770" t="s">
        <v>17</v>
      </c>
      <c r="S11" s="771" t="e">
        <f t="shared" si="0"/>
        <v>#N/A</v>
      </c>
      <c r="T11" s="770" t="s">
        <v>17</v>
      </c>
      <c r="U11" s="771" t="e">
        <f t="shared" si="1"/>
        <v>#N/A</v>
      </c>
      <c r="V11" s="770" t="s">
        <v>17</v>
      </c>
      <c r="W11" s="771" t="e">
        <f t="shared" si="2"/>
        <v>#N/A</v>
      </c>
      <c r="X11" s="772"/>
      <c r="Y11" s="3259"/>
      <c r="Z11" s="55" t="str">
        <f t="shared" si="7"/>
        <v>容积率</v>
      </c>
      <c r="AA11" s="773" t="e">
        <f t="shared" si="3"/>
        <v>#N/A</v>
      </c>
      <c r="AB11" s="773" t="e">
        <f t="shared" si="4"/>
        <v>#N/A</v>
      </c>
      <c r="AC11" s="773" t="e">
        <f t="shared" si="5"/>
        <v>#N/A</v>
      </c>
    </row>
    <row r="12" spans="1:30" s="117" customFormat="1" ht="15">
      <c r="A12" s="431"/>
      <c r="B12" s="2594"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466"/>
      <c r="Q12" s="1787" t="str">
        <f t="shared" si="6"/>
        <v>配建</v>
      </c>
      <c r="R12" s="770" t="s">
        <v>17</v>
      </c>
      <c r="S12" s="771">
        <f t="shared" si="0"/>
        <v>100</v>
      </c>
      <c r="T12" s="770" t="s">
        <v>17</v>
      </c>
      <c r="U12" s="771">
        <f t="shared" si="1"/>
        <v>100</v>
      </c>
      <c r="V12" s="770" t="s">
        <v>17</v>
      </c>
      <c r="W12" s="771">
        <f t="shared" si="2"/>
        <v>100</v>
      </c>
      <c r="X12" s="772"/>
      <c r="Y12" s="3259"/>
      <c r="Z12" s="55" t="str">
        <f t="shared" si="7"/>
        <v>配建</v>
      </c>
      <c r="AA12" s="773">
        <f>D12/F12</f>
        <v>1</v>
      </c>
      <c r="AB12" s="773">
        <f>D12/H12</f>
        <v>1</v>
      </c>
      <c r="AC12" s="773">
        <f>D12/J12</f>
        <v>1</v>
      </c>
    </row>
    <row r="13" spans="1:30" ht="15">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466"/>
      <c r="Q13" s="1787">
        <f t="shared" si="6"/>
        <v>111</v>
      </c>
      <c r="R13" s="770" t="s">
        <v>17</v>
      </c>
      <c r="S13" s="771">
        <f t="shared" si="0"/>
        <v>100</v>
      </c>
      <c r="T13" s="770" t="s">
        <v>17</v>
      </c>
      <c r="U13" s="771">
        <f t="shared" si="1"/>
        <v>100</v>
      </c>
      <c r="V13" s="770" t="s">
        <v>17</v>
      </c>
      <c r="W13" s="771">
        <f t="shared" si="2"/>
        <v>100</v>
      </c>
      <c r="X13" s="772"/>
      <c r="Y13" s="3259"/>
      <c r="Z13" s="55">
        <f t="shared" si="7"/>
        <v>111</v>
      </c>
      <c r="AA13" s="773">
        <f>D13/F13</f>
        <v>1</v>
      </c>
      <c r="AB13" s="773">
        <f>D13/H13</f>
        <v>1</v>
      </c>
      <c r="AC13" s="773">
        <f>D13/J13</f>
        <v>1</v>
      </c>
    </row>
    <row r="14" spans="1:30" ht="15.75"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466"/>
      <c r="Q14" s="1787">
        <f t="shared" si="6"/>
        <v>111</v>
      </c>
      <c r="R14" s="770" t="s">
        <v>17</v>
      </c>
      <c r="S14" s="771">
        <f t="shared" si="0"/>
        <v>100</v>
      </c>
      <c r="T14" s="770" t="s">
        <v>17</v>
      </c>
      <c r="U14" s="771">
        <f t="shared" si="1"/>
        <v>100</v>
      </c>
      <c r="V14" s="770" t="s">
        <v>17</v>
      </c>
      <c r="W14" s="771">
        <f t="shared" si="2"/>
        <v>100</v>
      </c>
      <c r="X14" s="772"/>
      <c r="Y14" s="3259"/>
      <c r="Z14" s="55">
        <f t="shared" si="7"/>
        <v>111</v>
      </c>
      <c r="AA14" s="773">
        <f>D14/F14</f>
        <v>1</v>
      </c>
      <c r="AB14" s="773">
        <f>D14/H14</f>
        <v>1</v>
      </c>
      <c r="AC14" s="773">
        <f>D14/J14</f>
        <v>1</v>
      </c>
    </row>
    <row r="15" spans="1:30" ht="99.75">
      <c r="A15" s="440" t="s">
        <v>2555</v>
      </c>
      <c r="B15" s="69" t="s">
        <v>2080</v>
      </c>
      <c r="C15" s="259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468" t="s">
        <v>2556</v>
      </c>
      <c r="Q15" s="1802" t="str">
        <f t="shared" si="6"/>
        <v>居住社区成熟度</v>
      </c>
      <c r="R15" s="774" t="s">
        <v>17</v>
      </c>
      <c r="S15" s="775">
        <f t="shared" si="0"/>
        <v>100</v>
      </c>
      <c r="T15" s="774" t="s">
        <v>17</v>
      </c>
      <c r="U15" s="775">
        <f t="shared" si="1"/>
        <v>100</v>
      </c>
      <c r="V15" s="774" t="s">
        <v>17</v>
      </c>
      <c r="W15" s="775">
        <f t="shared" si="2"/>
        <v>100</v>
      </c>
      <c r="X15" s="1805"/>
      <c r="Y15" s="3468" t="s">
        <v>2556</v>
      </c>
      <c r="Z15" s="1806" t="str">
        <f t="shared" si="7"/>
        <v>居住社区成熟度</v>
      </c>
      <c r="AA15" s="1803">
        <f t="shared" si="3"/>
        <v>1</v>
      </c>
      <c r="AB15" s="1803">
        <f t="shared" si="4"/>
        <v>1</v>
      </c>
      <c r="AC15" s="1803">
        <f t="shared" si="5"/>
        <v>1</v>
      </c>
    </row>
    <row r="16" spans="1:30" ht="15">
      <c r="A16" s="428"/>
      <c r="B16" s="446"/>
      <c r="C16" s="447"/>
      <c r="D16" s="448"/>
      <c r="E16" s="2599"/>
      <c r="F16" s="448"/>
      <c r="G16" s="2599"/>
      <c r="H16" s="450"/>
      <c r="I16" s="2598"/>
      <c r="J16" s="448"/>
      <c r="K16" s="672"/>
      <c r="L16" s="1140"/>
      <c r="M16" s="1131"/>
      <c r="N16" s="1131"/>
      <c r="O16" s="1139"/>
      <c r="P16" s="3469"/>
      <c r="Q16" s="1802"/>
      <c r="R16" s="774"/>
      <c r="S16" s="775"/>
      <c r="T16" s="774"/>
      <c r="U16" s="775"/>
      <c r="V16" s="774"/>
      <c r="W16" s="775"/>
      <c r="X16" s="1805"/>
      <c r="Y16" s="3469"/>
      <c r="Z16" s="1806"/>
      <c r="AA16" s="1803">
        <v>1</v>
      </c>
      <c r="AB16" s="1803">
        <v>1</v>
      </c>
      <c r="AC16" s="1803">
        <v>1</v>
      </c>
    </row>
    <row r="17" spans="1:29" ht="71.25">
      <c r="A17" s="428"/>
      <c r="B17" s="451" t="s">
        <v>2649</v>
      </c>
      <c r="C17" s="265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469"/>
      <c r="Q17" s="1802" t="str">
        <f>B17</f>
        <v>商业繁华度</v>
      </c>
      <c r="R17" s="774" t="s">
        <v>17</v>
      </c>
      <c r="S17" s="775">
        <f>F17</f>
        <v>100</v>
      </c>
      <c r="T17" s="774" t="s">
        <v>17</v>
      </c>
      <c r="U17" s="775">
        <f>H17</f>
        <v>100</v>
      </c>
      <c r="V17" s="774" t="s">
        <v>17</v>
      </c>
      <c r="W17" s="775">
        <f>J17</f>
        <v>100</v>
      </c>
      <c r="X17" s="1805"/>
      <c r="Y17" s="3469"/>
      <c r="Z17" s="1806" t="str">
        <f>Q17</f>
        <v>商业繁华度</v>
      </c>
      <c r="AA17" s="1803">
        <f t="shared" si="3"/>
        <v>1</v>
      </c>
      <c r="AB17" s="1803">
        <f t="shared" si="4"/>
        <v>1</v>
      </c>
      <c r="AC17" s="1803">
        <f t="shared" si="5"/>
        <v>1</v>
      </c>
    </row>
    <row r="18" spans="1:29" ht="15">
      <c r="A18" s="428"/>
      <c r="B18" s="456"/>
      <c r="C18" s="2602"/>
      <c r="D18" s="450"/>
      <c r="E18" s="2604"/>
      <c r="F18" s="450"/>
      <c r="G18" s="2604"/>
      <c r="H18" s="448"/>
      <c r="I18" s="2603"/>
      <c r="J18" s="448"/>
      <c r="K18" s="672"/>
      <c r="L18" s="1140"/>
      <c r="M18" s="1131"/>
      <c r="N18" s="1131"/>
      <c r="O18" s="1139"/>
      <c r="P18" s="3469"/>
      <c r="Q18" s="1802"/>
      <c r="R18" s="774"/>
      <c r="S18" s="775"/>
      <c r="T18" s="774"/>
      <c r="U18" s="775"/>
      <c r="V18" s="774"/>
      <c r="W18" s="775"/>
      <c r="X18" s="1805"/>
      <c r="Y18" s="3469"/>
      <c r="Z18" s="1806"/>
      <c r="AA18" s="1803">
        <v>1</v>
      </c>
      <c r="AB18" s="1803">
        <v>1</v>
      </c>
      <c r="AC18" s="1803">
        <v>1</v>
      </c>
    </row>
    <row r="19" spans="1:29" ht="71.25">
      <c r="A19" s="428"/>
      <c r="B19" s="451" t="s">
        <v>2683</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469"/>
      <c r="Q19" s="1802" t="str">
        <f>B19</f>
        <v>办公集聚程度</v>
      </c>
      <c r="R19" s="774" t="s">
        <v>17</v>
      </c>
      <c r="S19" s="775">
        <f>F19</f>
        <v>100</v>
      </c>
      <c r="T19" s="774" t="s">
        <v>17</v>
      </c>
      <c r="U19" s="775">
        <f>H19</f>
        <v>100</v>
      </c>
      <c r="V19" s="774" t="s">
        <v>17</v>
      </c>
      <c r="W19" s="775">
        <f>J19</f>
        <v>100</v>
      </c>
      <c r="X19" s="1805"/>
      <c r="Y19" s="3469"/>
      <c r="Z19" s="1806" t="str">
        <f>Q19</f>
        <v>办公集聚程度</v>
      </c>
      <c r="AA19" s="1803">
        <f t="shared" si="3"/>
        <v>1</v>
      </c>
      <c r="AB19" s="1803">
        <f t="shared" si="4"/>
        <v>1</v>
      </c>
      <c r="AC19" s="1803">
        <f t="shared" si="5"/>
        <v>1</v>
      </c>
    </row>
    <row r="20" spans="1:29" ht="15">
      <c r="A20" s="428"/>
      <c r="B20" s="456"/>
      <c r="C20" s="447"/>
      <c r="D20" s="448"/>
      <c r="E20" s="2599"/>
      <c r="F20" s="448"/>
      <c r="G20" s="2599"/>
      <c r="H20" s="448"/>
      <c r="I20" s="2598"/>
      <c r="J20" s="448"/>
      <c r="K20" s="672"/>
      <c r="L20" s="1140"/>
      <c r="M20" s="1131"/>
      <c r="N20" s="1131"/>
      <c r="O20" s="1139"/>
      <c r="P20" s="3469"/>
      <c r="Q20" s="1802"/>
      <c r="R20" s="774"/>
      <c r="S20" s="775"/>
      <c r="T20" s="774"/>
      <c r="U20" s="775"/>
      <c r="V20" s="774"/>
      <c r="W20" s="775"/>
      <c r="X20" s="1805"/>
      <c r="Y20" s="3469"/>
      <c r="Z20" s="1806"/>
      <c r="AA20" s="1803">
        <v>1</v>
      </c>
      <c r="AB20" s="1803">
        <v>1</v>
      </c>
      <c r="AC20" s="1803">
        <v>1</v>
      </c>
    </row>
    <row r="21" spans="1:29" ht="85.5">
      <c r="A21" s="428"/>
      <c r="B21" s="451" t="s">
        <v>2705</v>
      </c>
      <c r="C21" s="260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469"/>
      <c r="Q21" s="1802" t="str">
        <f>B21</f>
        <v>交通便捷度</v>
      </c>
      <c r="R21" s="774" t="s">
        <v>17</v>
      </c>
      <c r="S21" s="775">
        <f>F21</f>
        <v>100</v>
      </c>
      <c r="T21" s="774" t="s">
        <v>17</v>
      </c>
      <c r="U21" s="775">
        <f>H21</f>
        <v>100</v>
      </c>
      <c r="V21" s="774" t="s">
        <v>17</v>
      </c>
      <c r="W21" s="775">
        <f>J21</f>
        <v>100</v>
      </c>
      <c r="X21" s="1805"/>
      <c r="Y21" s="3469"/>
      <c r="Z21" s="1806" t="str">
        <f>Q21</f>
        <v>交通便捷度</v>
      </c>
      <c r="AA21" s="1803">
        <f t="shared" si="3"/>
        <v>1</v>
      </c>
      <c r="AB21" s="1803">
        <f t="shared" si="4"/>
        <v>1</v>
      </c>
      <c r="AC21" s="1803">
        <f t="shared" si="5"/>
        <v>1</v>
      </c>
    </row>
    <row r="22" spans="1:29" ht="15">
      <c r="A22" s="428"/>
      <c r="B22" s="1384"/>
      <c r="C22" s="447"/>
      <c r="D22" s="450"/>
      <c r="E22" s="2599"/>
      <c r="F22" s="448"/>
      <c r="G22" s="2599"/>
      <c r="H22" s="448"/>
      <c r="I22" s="2598"/>
      <c r="J22" s="448"/>
      <c r="K22" s="672"/>
      <c r="L22" s="1140"/>
      <c r="M22" s="1131"/>
      <c r="N22" s="1131"/>
      <c r="O22" s="1139"/>
      <c r="P22" s="3469"/>
      <c r="Q22" s="1802"/>
      <c r="R22" s="774"/>
      <c r="S22" s="775"/>
      <c r="T22" s="774"/>
      <c r="U22" s="775"/>
      <c r="V22" s="774"/>
      <c r="W22" s="775"/>
      <c r="X22" s="1805"/>
      <c r="Y22" s="3469"/>
      <c r="Z22" s="1806"/>
      <c r="AA22" s="1803">
        <v>1</v>
      </c>
      <c r="AB22" s="1803">
        <v>1</v>
      </c>
      <c r="AC22" s="1803">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469"/>
      <c r="Q23" s="1802" t="str">
        <f t="shared" ref="Q23:Q37" si="8">B23</f>
        <v>区域土地利用方向</v>
      </c>
      <c r="R23" s="774" t="s">
        <v>17</v>
      </c>
      <c r="S23" s="775">
        <f>F23</f>
        <v>100</v>
      </c>
      <c r="T23" s="774" t="s">
        <v>17</v>
      </c>
      <c r="U23" s="775">
        <f>H23</f>
        <v>100</v>
      </c>
      <c r="V23" s="774" t="s">
        <v>17</v>
      </c>
      <c r="W23" s="775">
        <f>J23</f>
        <v>100</v>
      </c>
      <c r="X23" s="1805"/>
      <c r="Y23" s="3469"/>
      <c r="Z23" s="1806" t="str">
        <f>Q23</f>
        <v>区域土地利用方向</v>
      </c>
      <c r="AA23" s="1803">
        <f t="shared" si="3"/>
        <v>1</v>
      </c>
      <c r="AB23" s="1803">
        <f t="shared" si="4"/>
        <v>1</v>
      </c>
      <c r="AC23" s="1803">
        <f t="shared" si="5"/>
        <v>1</v>
      </c>
    </row>
    <row r="24" spans="1:29" ht="15">
      <c r="A24" s="404"/>
      <c r="B24" s="456"/>
      <c r="C24" s="616"/>
      <c r="D24" s="448"/>
      <c r="E24" s="2599"/>
      <c r="F24" s="448"/>
      <c r="G24" s="2598"/>
      <c r="H24" s="448"/>
      <c r="I24" s="2598"/>
      <c r="J24" s="448"/>
      <c r="K24" s="812"/>
      <c r="L24" s="1140"/>
      <c r="M24" s="1131"/>
      <c r="N24" s="1131"/>
      <c r="O24" s="1139"/>
      <c r="P24" s="3469"/>
      <c r="Q24" s="1802"/>
      <c r="R24" s="774"/>
      <c r="S24" s="775"/>
      <c r="T24" s="774"/>
      <c r="U24" s="775"/>
      <c r="V24" s="774"/>
      <c r="W24" s="775"/>
      <c r="X24" s="1805"/>
      <c r="Y24" s="3469"/>
      <c r="Z24" s="1806"/>
      <c r="AA24" s="1803"/>
      <c r="AB24" s="1803"/>
      <c r="AC24" s="1803"/>
    </row>
    <row r="25" spans="1:29" ht="57">
      <c r="A25" s="404"/>
      <c r="B25" s="1384" t="s">
        <v>2745</v>
      </c>
      <c r="C25" s="265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469"/>
      <c r="Q25" s="1802" t="str">
        <f t="shared" si="8"/>
        <v>自然及人文环境状况</v>
      </c>
      <c r="R25" s="774" t="s">
        <v>17</v>
      </c>
      <c r="S25" s="775">
        <f>F25</f>
        <v>100</v>
      </c>
      <c r="T25" s="774" t="s">
        <v>17</v>
      </c>
      <c r="U25" s="775">
        <f>H25</f>
        <v>100</v>
      </c>
      <c r="V25" s="774" t="s">
        <v>17</v>
      </c>
      <c r="W25" s="775">
        <f>J25</f>
        <v>100</v>
      </c>
      <c r="X25" s="1805"/>
      <c r="Y25" s="3469"/>
      <c r="Z25" s="1806" t="str">
        <f>Q25</f>
        <v>自然及人文环境状况</v>
      </c>
      <c r="AA25" s="1803">
        <f t="shared" si="3"/>
        <v>1</v>
      </c>
      <c r="AB25" s="1803">
        <f t="shared" si="4"/>
        <v>1</v>
      </c>
      <c r="AC25" s="1803">
        <f t="shared" si="5"/>
        <v>1</v>
      </c>
    </row>
    <row r="26" spans="1:29" ht="15">
      <c r="A26" s="404"/>
      <c r="B26" s="456"/>
      <c r="C26" s="447"/>
      <c r="D26" s="448"/>
      <c r="E26" s="2605"/>
      <c r="F26" s="448"/>
      <c r="G26" s="2605"/>
      <c r="H26" s="448"/>
      <c r="I26" s="447"/>
      <c r="J26" s="448"/>
      <c r="K26" s="672"/>
      <c r="L26" s="1140"/>
      <c r="M26" s="1131"/>
      <c r="N26" s="1131"/>
      <c r="O26" s="1139"/>
      <c r="P26" s="3469"/>
      <c r="Q26" s="1802"/>
      <c r="R26" s="774"/>
      <c r="S26" s="775"/>
      <c r="T26" s="774"/>
      <c r="U26" s="775"/>
      <c r="V26" s="774"/>
      <c r="W26" s="775"/>
      <c r="X26" s="1805"/>
      <c r="Y26" s="3469"/>
      <c r="Z26" s="1806"/>
      <c r="AA26" s="1803">
        <v>1</v>
      </c>
      <c r="AB26" s="1803">
        <v>1</v>
      </c>
      <c r="AC26" s="1803">
        <v>1</v>
      </c>
    </row>
    <row r="27" spans="1:29" s="117" customFormat="1" ht="42.75">
      <c r="A27" s="649"/>
      <c r="B27" s="1384" t="s">
        <v>2650</v>
      </c>
      <c r="C27" s="260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469"/>
      <c r="Q27" s="1787" t="str">
        <f t="shared" si="8"/>
        <v>公共配套设施</v>
      </c>
      <c r="R27" s="770" t="s">
        <v>17</v>
      </c>
      <c r="S27" s="771">
        <f>F27</f>
        <v>100</v>
      </c>
      <c r="T27" s="770" t="s">
        <v>17</v>
      </c>
      <c r="U27" s="771">
        <f>H27</f>
        <v>100</v>
      </c>
      <c r="V27" s="770" t="s">
        <v>17</v>
      </c>
      <c r="W27" s="771">
        <f>J27</f>
        <v>100</v>
      </c>
      <c r="X27" s="772"/>
      <c r="Y27" s="3469"/>
      <c r="Z27" s="55" t="str">
        <f>Q27</f>
        <v>公共配套设施</v>
      </c>
      <c r="AA27" s="1803">
        <f>D27/F27</f>
        <v>1</v>
      </c>
      <c r="AB27" s="1803">
        <f>D27/H27</f>
        <v>1</v>
      </c>
      <c r="AC27" s="1803">
        <f>D27/J27</f>
        <v>1</v>
      </c>
    </row>
    <row r="28" spans="1:29" s="117" customFormat="1" ht="15">
      <c r="A28" s="649"/>
      <c r="B28" s="456"/>
      <c r="C28" s="2694"/>
      <c r="D28" s="448"/>
      <c r="E28" s="2605"/>
      <c r="F28" s="448"/>
      <c r="G28" s="2605"/>
      <c r="H28" s="448"/>
      <c r="I28" s="447"/>
      <c r="J28" s="448"/>
      <c r="K28" s="672"/>
      <c r="L28" s="1132"/>
      <c r="M28" s="1133"/>
      <c r="N28" s="1133"/>
      <c r="O28" s="1134"/>
      <c r="P28" s="3469"/>
      <c r="Q28" s="1787"/>
      <c r="R28" s="770"/>
      <c r="S28" s="771"/>
      <c r="T28" s="770"/>
      <c r="U28" s="771"/>
      <c r="V28" s="770"/>
      <c r="W28" s="771"/>
      <c r="X28" s="772"/>
      <c r="Y28" s="3469"/>
      <c r="Z28" s="55"/>
      <c r="AA28" s="1803">
        <v>1</v>
      </c>
      <c r="AB28" s="1803">
        <v>1</v>
      </c>
      <c r="AC28" s="1803">
        <v>1</v>
      </c>
    </row>
    <row r="29" spans="1:29" s="117" customFormat="1" ht="28.5">
      <c r="A29" s="649"/>
      <c r="B29" s="1384" t="s">
        <v>2651</v>
      </c>
      <c r="C29" s="260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469"/>
      <c r="Q29" s="1787" t="str">
        <f t="shared" ref="Q29" si="9">B29</f>
        <v>基础设施水平</v>
      </c>
      <c r="R29" s="770" t="s">
        <v>17</v>
      </c>
      <c r="S29" s="771">
        <f>F29</f>
        <v>100</v>
      </c>
      <c r="T29" s="770" t="s">
        <v>17</v>
      </c>
      <c r="U29" s="771">
        <f>H29</f>
        <v>100</v>
      </c>
      <c r="V29" s="770" t="s">
        <v>17</v>
      </c>
      <c r="W29" s="771">
        <f>J29</f>
        <v>100</v>
      </c>
      <c r="X29" s="772"/>
      <c r="Y29" s="3469"/>
      <c r="Z29" s="55" t="str">
        <f>Q29</f>
        <v>基础设施水平</v>
      </c>
      <c r="AA29" s="1803">
        <f>D29/F29</f>
        <v>1</v>
      </c>
      <c r="AB29" s="1803">
        <f>D29/H29</f>
        <v>1</v>
      </c>
      <c r="AC29" s="1803">
        <f>D29/J29</f>
        <v>1</v>
      </c>
    </row>
    <row r="30" spans="1:29" s="117" customFormat="1" ht="15">
      <c r="A30" s="649"/>
      <c r="B30" s="456"/>
      <c r="C30" s="2694"/>
      <c r="D30" s="448"/>
      <c r="E30" s="2695"/>
      <c r="F30" s="448"/>
      <c r="G30" s="2695"/>
      <c r="H30" s="448"/>
      <c r="I30" s="2695"/>
      <c r="J30" s="448"/>
      <c r="K30" s="672"/>
      <c r="L30" s="1132"/>
      <c r="M30" s="1133"/>
      <c r="N30" s="1133"/>
      <c r="O30" s="1134"/>
      <c r="P30" s="3469"/>
      <c r="Q30" s="1787"/>
      <c r="R30" s="770"/>
      <c r="S30" s="771"/>
      <c r="T30" s="770"/>
      <c r="U30" s="771"/>
      <c r="V30" s="770"/>
      <c r="W30" s="771"/>
      <c r="X30" s="772"/>
      <c r="Y30" s="3469"/>
      <c r="Z30" s="55"/>
      <c r="AA30" s="1803">
        <v>1</v>
      </c>
      <c r="AB30" s="1803">
        <v>1</v>
      </c>
      <c r="AC30" s="1803">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469"/>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469"/>
      <c r="Z31" s="1806" t="str">
        <f t="shared" ref="Z31:Z45" si="13">Q31</f>
        <v>临街状况</v>
      </c>
      <c r="AA31" s="1803">
        <f t="shared" si="3"/>
        <v>1</v>
      </c>
      <c r="AB31" s="1803">
        <f t="shared" si="4"/>
        <v>1</v>
      </c>
      <c r="AC31" s="1803">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469"/>
      <c r="Q32" s="1802" t="str">
        <f t="shared" si="8"/>
        <v>毗邻道路的类型与等级</v>
      </c>
      <c r="R32" s="774" t="s">
        <v>17</v>
      </c>
      <c r="S32" s="775">
        <f t="shared" si="10"/>
        <v>100</v>
      </c>
      <c r="T32" s="774" t="s">
        <v>17</v>
      </c>
      <c r="U32" s="775">
        <f t="shared" si="11"/>
        <v>100</v>
      </c>
      <c r="V32" s="774" t="s">
        <v>17</v>
      </c>
      <c r="W32" s="775">
        <f t="shared" si="12"/>
        <v>100</v>
      </c>
      <c r="X32" s="1805"/>
      <c r="Y32" s="3469"/>
      <c r="Z32" s="1806" t="str">
        <f t="shared" si="13"/>
        <v>毗邻道路的类型与等级</v>
      </c>
      <c r="AA32" s="1803">
        <f t="shared" si="3"/>
        <v>1</v>
      </c>
      <c r="AB32" s="1803">
        <f t="shared" si="4"/>
        <v>1</v>
      </c>
      <c r="AC32" s="1803">
        <f t="shared" si="5"/>
        <v>1</v>
      </c>
    </row>
    <row r="33" spans="1:29" ht="15">
      <c r="A33" s="428"/>
      <c r="B33" s="456"/>
      <c r="C33" s="447"/>
      <c r="D33" s="448"/>
      <c r="E33" s="2605"/>
      <c r="F33" s="448"/>
      <c r="G33" s="2605"/>
      <c r="H33" s="448"/>
      <c r="I33" s="447"/>
      <c r="J33" s="448"/>
      <c r="K33" s="613"/>
      <c r="L33" s="1140"/>
      <c r="M33" s="1131"/>
      <c r="N33" s="1131"/>
      <c r="O33" s="1139"/>
      <c r="P33" s="3469"/>
      <c r="Q33" s="1802"/>
      <c r="R33" s="774"/>
      <c r="S33" s="775"/>
      <c r="T33" s="774"/>
      <c r="U33" s="775"/>
      <c r="V33" s="774"/>
      <c r="W33" s="775"/>
      <c r="X33" s="1805"/>
      <c r="Y33" s="3469"/>
      <c r="Z33" s="1806"/>
      <c r="AA33" s="1803">
        <v>1</v>
      </c>
      <c r="AB33" s="1803">
        <v>1</v>
      </c>
      <c r="AC33" s="1803">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469"/>
      <c r="Q34" s="1802" t="str">
        <f t="shared" si="8"/>
        <v>土地级别</v>
      </c>
      <c r="R34" s="774" t="s">
        <v>17</v>
      </c>
      <c r="S34" s="775">
        <f t="shared" si="10"/>
        <v>100</v>
      </c>
      <c r="T34" s="774" t="s">
        <v>17</v>
      </c>
      <c r="U34" s="775">
        <f t="shared" si="11"/>
        <v>100</v>
      </c>
      <c r="V34" s="774" t="s">
        <v>17</v>
      </c>
      <c r="W34" s="775">
        <f t="shared" si="12"/>
        <v>100</v>
      </c>
      <c r="X34" s="1805"/>
      <c r="Y34" s="3469"/>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469"/>
      <c r="Q35" s="1802">
        <f t="shared" si="8"/>
        <v>111</v>
      </c>
      <c r="R35" s="774" t="s">
        <v>17</v>
      </c>
      <c r="S35" s="775">
        <f t="shared" si="10"/>
        <v>100</v>
      </c>
      <c r="T35" s="774" t="s">
        <v>17</v>
      </c>
      <c r="U35" s="775">
        <f t="shared" si="11"/>
        <v>100</v>
      </c>
      <c r="V35" s="774" t="s">
        <v>17</v>
      </c>
      <c r="W35" s="775">
        <f t="shared" si="12"/>
        <v>100</v>
      </c>
      <c r="X35" s="1805"/>
      <c r="Y35" s="3469"/>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524" t="s">
        <v>2561</v>
      </c>
      <c r="Q36" s="1802">
        <f t="shared" si="8"/>
        <v>111</v>
      </c>
      <c r="R36" s="774" t="s">
        <v>17</v>
      </c>
      <c r="S36" s="775">
        <f t="shared" si="10"/>
        <v>100</v>
      </c>
      <c r="T36" s="774" t="s">
        <v>17</v>
      </c>
      <c r="U36" s="775">
        <f t="shared" si="11"/>
        <v>100</v>
      </c>
      <c r="V36" s="774" t="s">
        <v>17</v>
      </c>
      <c r="W36" s="775">
        <f t="shared" si="12"/>
        <v>100</v>
      </c>
      <c r="X36" s="1805"/>
      <c r="Y36" s="3473" t="s">
        <v>2561</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473"/>
      <c r="Q37" s="1802">
        <f t="shared" si="8"/>
        <v>111</v>
      </c>
      <c r="R37" s="777" t="s">
        <v>17</v>
      </c>
      <c r="S37" s="778">
        <f t="shared" si="10"/>
        <v>100</v>
      </c>
      <c r="T37" s="777" t="s">
        <v>17</v>
      </c>
      <c r="U37" s="778">
        <f t="shared" si="11"/>
        <v>100</v>
      </c>
      <c r="V37" s="777" t="s">
        <v>17</v>
      </c>
      <c r="W37" s="778">
        <f t="shared" si="12"/>
        <v>100</v>
      </c>
      <c r="X37" s="779"/>
      <c r="Y37" s="3473"/>
      <c r="Z37" s="780">
        <f t="shared" si="13"/>
        <v>111</v>
      </c>
      <c r="AA37" s="1803">
        <f t="shared" si="3"/>
        <v>1</v>
      </c>
      <c r="AB37" s="1803">
        <f t="shared" si="4"/>
        <v>1</v>
      </c>
      <c r="AC37" s="1803">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473"/>
      <c r="Q38" s="1802" t="str">
        <f>B38</f>
        <v>宗地面积</v>
      </c>
      <c r="R38" s="774" t="s">
        <v>17</v>
      </c>
      <c r="S38" s="775" t="e">
        <f t="shared" si="10"/>
        <v>#N/A</v>
      </c>
      <c r="T38" s="774" t="s">
        <v>17</v>
      </c>
      <c r="U38" s="775" t="e">
        <f t="shared" si="11"/>
        <v>#N/A</v>
      </c>
      <c r="V38" s="774" t="s">
        <v>17</v>
      </c>
      <c r="W38" s="775" t="e">
        <f t="shared" si="12"/>
        <v>#N/A</v>
      </c>
      <c r="X38" s="1805"/>
      <c r="Y38" s="3473"/>
      <c r="Z38" s="1806" t="str">
        <f t="shared" si="13"/>
        <v>宗地面积</v>
      </c>
      <c r="AA38" s="1803" t="e">
        <f t="shared" si="3"/>
        <v>#N/A</v>
      </c>
      <c r="AB38" s="1803" t="e">
        <f t="shared" si="4"/>
        <v>#N/A</v>
      </c>
      <c r="AC38" s="1803" t="e">
        <f t="shared" si="5"/>
        <v>#N/A</v>
      </c>
    </row>
    <row r="39" spans="1:29" ht="15">
      <c r="A39" s="472"/>
      <c r="B39" s="422" t="s">
        <v>2748</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40"/>
      <c r="M39" s="1131"/>
      <c r="N39" s="1131"/>
      <c r="O39" s="1139"/>
      <c r="P39" s="3473"/>
      <c r="Q39" s="1802" t="str">
        <f t="shared" ref="Q39:Q45" si="14">B39</f>
        <v>宗地形状</v>
      </c>
      <c r="R39" s="774" t="s">
        <v>17</v>
      </c>
      <c r="S39" s="775">
        <f t="shared" si="10"/>
        <v>100</v>
      </c>
      <c r="T39" s="774" t="s">
        <v>17</v>
      </c>
      <c r="U39" s="775">
        <f t="shared" si="11"/>
        <v>100</v>
      </c>
      <c r="V39" s="774" t="s">
        <v>17</v>
      </c>
      <c r="W39" s="775">
        <f t="shared" si="12"/>
        <v>100</v>
      </c>
      <c r="X39" s="1805"/>
      <c r="Y39" s="3473"/>
      <c r="Z39" s="1806" t="str">
        <f t="shared" si="13"/>
        <v>宗地形状</v>
      </c>
      <c r="AA39" s="1803">
        <f t="shared" si="3"/>
        <v>1</v>
      </c>
      <c r="AB39" s="1803">
        <f t="shared" si="4"/>
        <v>1</v>
      </c>
      <c r="AC39" s="1803">
        <f t="shared" si="5"/>
        <v>1</v>
      </c>
    </row>
    <row r="40" spans="1:29" ht="15">
      <c r="A40" s="472"/>
      <c r="B40" s="422" t="s">
        <v>2749</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40"/>
      <c r="M40" s="1131"/>
      <c r="N40" s="1131"/>
      <c r="O40" s="1139"/>
      <c r="P40" s="3473"/>
      <c r="Q40" s="1802" t="str">
        <f t="shared" si="14"/>
        <v>临街宽度及深度</v>
      </c>
      <c r="R40" s="774" t="s">
        <v>17</v>
      </c>
      <c r="S40" s="775">
        <f t="shared" si="10"/>
        <v>100</v>
      </c>
      <c r="T40" s="774" t="s">
        <v>17</v>
      </c>
      <c r="U40" s="775">
        <f t="shared" si="11"/>
        <v>100</v>
      </c>
      <c r="V40" s="774" t="s">
        <v>17</v>
      </c>
      <c r="W40" s="775">
        <f t="shared" si="12"/>
        <v>100</v>
      </c>
      <c r="X40" s="1805"/>
      <c r="Y40" s="3473"/>
      <c r="Z40" s="1806" t="str">
        <f t="shared" si="13"/>
        <v>临街宽度及深度</v>
      </c>
      <c r="AA40" s="1803">
        <f t="shared" si="3"/>
        <v>1</v>
      </c>
      <c r="AB40" s="1803">
        <f t="shared" si="4"/>
        <v>1</v>
      </c>
      <c r="AC40" s="1803">
        <f t="shared" si="5"/>
        <v>1</v>
      </c>
    </row>
    <row r="41" spans="1:29" s="117" customFormat="1" ht="15">
      <c r="A41" s="473"/>
      <c r="B41" s="422" t="s">
        <v>2750</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32"/>
      <c r="M41" s="1133"/>
      <c r="N41" s="1133"/>
      <c r="O41" s="1134"/>
      <c r="P41" s="3473"/>
      <c r="Q41" s="1802" t="str">
        <f t="shared" si="14"/>
        <v>宗地开发程度</v>
      </c>
      <c r="R41" s="770" t="s">
        <v>17</v>
      </c>
      <c r="S41" s="771">
        <f t="shared" si="10"/>
        <v>100</v>
      </c>
      <c r="T41" s="770" t="s">
        <v>17</v>
      </c>
      <c r="U41" s="771">
        <f t="shared" si="11"/>
        <v>100</v>
      </c>
      <c r="V41" s="770" t="s">
        <v>17</v>
      </c>
      <c r="W41" s="771">
        <f t="shared" si="12"/>
        <v>100</v>
      </c>
      <c r="X41" s="772"/>
      <c r="Y41" s="3473"/>
      <c r="Z41" s="55" t="str">
        <f t="shared" si="13"/>
        <v>宗地开发程度</v>
      </c>
      <c r="AA41" s="773">
        <f t="shared" si="3"/>
        <v>1</v>
      </c>
      <c r="AB41" s="773">
        <f t="shared" si="4"/>
        <v>1</v>
      </c>
      <c r="AC41" s="773">
        <f t="shared" si="5"/>
        <v>1</v>
      </c>
    </row>
    <row r="42" spans="1:29" ht="15">
      <c r="A42" s="472"/>
      <c r="B42" s="422" t="s">
        <v>2751</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40"/>
      <c r="M42" s="1131"/>
      <c r="N42" s="1131"/>
      <c r="O42" s="1139"/>
      <c r="P42" s="3473" t="s">
        <v>2561</v>
      </c>
      <c r="Q42" s="1802" t="str">
        <f t="shared" si="14"/>
        <v>工程地质条件</v>
      </c>
      <c r="R42" s="774" t="s">
        <v>17</v>
      </c>
      <c r="S42" s="775">
        <f t="shared" si="10"/>
        <v>100</v>
      </c>
      <c r="T42" s="774" t="s">
        <v>17</v>
      </c>
      <c r="U42" s="775">
        <f t="shared" si="11"/>
        <v>100</v>
      </c>
      <c r="V42" s="774" t="s">
        <v>17</v>
      </c>
      <c r="W42" s="775">
        <f t="shared" si="12"/>
        <v>100</v>
      </c>
      <c r="X42" s="1805"/>
      <c r="Y42" s="3473" t="s">
        <v>2561</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473"/>
      <c r="Q43" s="1802">
        <f t="shared" si="14"/>
        <v>111</v>
      </c>
      <c r="R43" s="774" t="s">
        <v>17</v>
      </c>
      <c r="S43" s="775">
        <f t="shared" si="10"/>
        <v>100</v>
      </c>
      <c r="T43" s="774" t="s">
        <v>17</v>
      </c>
      <c r="U43" s="775">
        <f t="shared" si="11"/>
        <v>100</v>
      </c>
      <c r="V43" s="774" t="s">
        <v>17</v>
      </c>
      <c r="W43" s="775">
        <f t="shared" si="12"/>
        <v>100</v>
      </c>
      <c r="X43" s="1805"/>
      <c r="Y43" s="3473"/>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473"/>
      <c r="Q44" s="1802">
        <f t="shared" si="14"/>
        <v>111</v>
      </c>
      <c r="R44" s="774" t="s">
        <v>17</v>
      </c>
      <c r="S44" s="775">
        <f t="shared" si="10"/>
        <v>100</v>
      </c>
      <c r="T44" s="774" t="s">
        <v>17</v>
      </c>
      <c r="U44" s="775">
        <f t="shared" si="11"/>
        <v>100</v>
      </c>
      <c r="V44" s="774" t="s">
        <v>17</v>
      </c>
      <c r="W44" s="775">
        <f t="shared" si="12"/>
        <v>100</v>
      </c>
      <c r="X44" s="1805"/>
      <c r="Y44" s="3473"/>
      <c r="Z44" s="1806">
        <f t="shared" si="13"/>
        <v>111</v>
      </c>
      <c r="AA44" s="1803">
        <f t="shared" si="3"/>
        <v>1</v>
      </c>
      <c r="AB44" s="1803">
        <f t="shared" si="4"/>
        <v>1</v>
      </c>
      <c r="AC44" s="1803">
        <f t="shared" si="5"/>
        <v>1</v>
      </c>
    </row>
    <row r="45" spans="1:29" s="471" customFormat="1" ht="15.75"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473"/>
      <c r="Q45" s="1802">
        <f t="shared" si="14"/>
        <v>111</v>
      </c>
      <c r="R45" s="777" t="s">
        <v>17</v>
      </c>
      <c r="S45" s="778">
        <f t="shared" si="10"/>
        <v>100</v>
      </c>
      <c r="T45" s="777" t="s">
        <v>17</v>
      </c>
      <c r="U45" s="778">
        <f t="shared" si="11"/>
        <v>100</v>
      </c>
      <c r="V45" s="777" t="s">
        <v>17</v>
      </c>
      <c r="W45" s="778">
        <f t="shared" si="12"/>
        <v>100</v>
      </c>
      <c r="X45" s="779"/>
      <c r="Y45" s="3473"/>
      <c r="Z45" s="780">
        <f t="shared" si="13"/>
        <v>111</v>
      </c>
      <c r="AA45" s="1803">
        <f t="shared" si="3"/>
        <v>1</v>
      </c>
      <c r="AB45" s="1803">
        <f t="shared" si="4"/>
        <v>1</v>
      </c>
      <c r="AC45" s="1803">
        <f t="shared" si="5"/>
        <v>1</v>
      </c>
    </row>
    <row r="46" spans="1:29" ht="15">
      <c r="A46" s="479" t="s">
        <v>2716</v>
      </c>
      <c r="B46" s="2698" t="s">
        <v>2752</v>
      </c>
      <c r="C46" s="682" t="s">
        <v>1</v>
      </c>
      <c r="D46" s="481"/>
      <c r="E46" s="482"/>
      <c r="F46" s="483"/>
      <c r="G46" s="484"/>
      <c r="H46" s="485"/>
      <c r="I46" s="482"/>
      <c r="J46" s="485"/>
      <c r="K46" s="783"/>
      <c r="L46" s="1143"/>
      <c r="M46" s="1144"/>
      <c r="N46" s="1131"/>
      <c r="O46" s="1144"/>
      <c r="P46" s="3466" t="str">
        <f>A46</f>
        <v>成交单价</v>
      </c>
      <c r="Q46" s="3466"/>
      <c r="R46" s="3497">
        <f>E46</f>
        <v>0</v>
      </c>
      <c r="S46" s="3497"/>
      <c r="T46" s="3497">
        <f>G46</f>
        <v>0</v>
      </c>
      <c r="U46" s="3497"/>
      <c r="V46" s="3497">
        <f>I46</f>
        <v>0</v>
      </c>
      <c r="W46" s="3497"/>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466" t="str">
        <f>A47</f>
        <v>比较价值（元/平方米）</v>
      </c>
      <c r="Q47" s="3466"/>
      <c r="R47" s="3525" t="e">
        <f>ROUND(PRODUCT(R46,AA7:AA45),0)</f>
        <v>#DIV/0!</v>
      </c>
      <c r="S47" s="3525"/>
      <c r="T47" s="3525" t="e">
        <f>ROUND(PRODUCT(T46,AB7:AB45),0)</f>
        <v>#DIV/0!</v>
      </c>
      <c r="U47" s="3525"/>
      <c r="V47" s="3525" t="e">
        <f>ROUND(PRODUCT(V46,AC7:AC45),0)</f>
        <v>#DIV/0!</v>
      </c>
      <c r="W47" s="3525"/>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463" t="str">
        <f>A48</f>
        <v>估价对象XX用房的比较价值（楼面单价，元/平方米）</v>
      </c>
      <c r="Q48" s="3464"/>
      <c r="R48" s="3526" t="e">
        <f>ROUND(AVERAGE(R47:V47),0)</f>
        <v>#DIV/0!</v>
      </c>
      <c r="S48" s="3526"/>
      <c r="T48" s="3526"/>
      <c r="U48" s="3526"/>
      <c r="V48" s="3526"/>
      <c r="W48" s="352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699" t="s">
        <v>2756</v>
      </c>
      <c r="D55" s="2700" t="s">
        <v>2757</v>
      </c>
      <c r="E55" s="686" t="s">
        <v>2758</v>
      </c>
      <c r="F55" s="1107" t="s">
        <v>2759</v>
      </c>
      <c r="G55" s="3481" t="s">
        <v>2760</v>
      </c>
      <c r="H55" s="3527"/>
      <c r="I55" s="144" t="s">
        <v>2761</v>
      </c>
      <c r="J55" s="2701">
        <f>项目基本情况!F35</f>
        <v>0</v>
      </c>
      <c r="K55" s="2702" t="s">
        <v>2762</v>
      </c>
      <c r="L55" s="1106"/>
      <c r="M55" s="1144"/>
      <c r="N55" s="1144"/>
      <c r="O55" s="1144"/>
    </row>
    <row r="56" spans="1:15" s="692" customFormat="1">
      <c r="A56" s="688" t="s">
        <v>2763</v>
      </c>
      <c r="B56" s="689" t="e">
        <f>C48</f>
        <v>#DIV/0!</v>
      </c>
      <c r="C56" s="690">
        <v>1</v>
      </c>
      <c r="D56" s="1163">
        <v>1</v>
      </c>
      <c r="E56" s="690">
        <f>'数据-汇总表'!E8+'数据-汇总表'!E9</f>
        <v>9952.6299999999992</v>
      </c>
      <c r="F56" s="1103" t="e">
        <f t="shared" ref="F56:F65" si="15">ROUND(B56*E56/10000,0)</f>
        <v>#DIV/0!</v>
      </c>
      <c r="G56" s="3477"/>
      <c r="H56" s="3466"/>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528"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528"/>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528"/>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528"/>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03"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393.1</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0.2</v>
      </c>
      <c r="D63" s="1164">
        <v>0.25</v>
      </c>
      <c r="E63" s="261">
        <f>'数据-汇总表'!E13</f>
        <v>0</v>
      </c>
      <c r="F63" s="1103" t="e">
        <f t="shared" si="15"/>
        <v>#DIV/0!</v>
      </c>
      <c r="G63" s="1109" t="s">
        <v>2774</v>
      </c>
      <c r="H63" s="1104" t="str">
        <f>IF(G63="商业",项目基本情况!B37,IF(G63="办公",项目基本情况!C37,IF(G63="住宅",项目基本情况!D37,项目基本情况!E37)))</f>
        <v>六级</v>
      </c>
      <c r="I63" s="1108">
        <f>SUMIF(修正!A45:A56,H63,修正!H45:H56)</f>
        <v>0.2</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03"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704"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1025</v>
      </c>
      <c r="E66" s="696">
        <f>IF(B46="楼面地价",SUM(E56:E65),'数据-汇总表'!D3)</f>
        <v>10345.73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2021-8-1</v>
      </c>
      <c r="D68" s="761">
        <f>EDATE(C68,-3)</f>
        <v>44317</v>
      </c>
      <c r="E68" s="761">
        <f>EDATE(D68,-3)</f>
        <v>44228</v>
      </c>
      <c r="F68" s="761">
        <f t="shared" ref="F68:O68" si="18">EDATE(E68,-3)</f>
        <v>44136</v>
      </c>
      <c r="G68" s="761">
        <f t="shared" si="18"/>
        <v>44044</v>
      </c>
      <c r="H68" s="761">
        <f t="shared" si="18"/>
        <v>43952</v>
      </c>
      <c r="I68" s="761">
        <f t="shared" si="18"/>
        <v>43862</v>
      </c>
      <c r="J68" s="761">
        <f t="shared" si="18"/>
        <v>43770</v>
      </c>
      <c r="K68" s="761">
        <f t="shared" si="18"/>
        <v>43678</v>
      </c>
      <c r="L68" s="761">
        <f t="shared" si="18"/>
        <v>43586</v>
      </c>
      <c r="M68" s="761">
        <f t="shared" si="18"/>
        <v>43497</v>
      </c>
      <c r="N68" s="761">
        <f t="shared" si="18"/>
        <v>43405</v>
      </c>
      <c r="O68" s="761">
        <f t="shared" si="18"/>
        <v>43313</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05" t="s">
        <v>2778</v>
      </c>
      <c r="B70" s="1359"/>
      <c r="C70" s="1572" t="str">
        <f>YEAR(C68)&amp;"-"&amp;ROUNDUP(MONTH(C68)/3,0)</f>
        <v>2021-3</v>
      </c>
      <c r="D70" s="1572" t="str">
        <f>YEAR(D68)&amp;"-"&amp;ROUNDUP(MONTH(D68)/3,0)</f>
        <v>2021-2</v>
      </c>
      <c r="E70" s="1572" t="str">
        <f t="shared" ref="E70:O70" si="19">YEAR(E68)&amp;"-"&amp;ROUNDUP(MONTH(E68)/3,0)</f>
        <v>2021-1</v>
      </c>
      <c r="F70" s="1572" t="str">
        <f t="shared" si="19"/>
        <v>2020-4</v>
      </c>
      <c r="G70" s="1572" t="str">
        <f t="shared" si="19"/>
        <v>2020-3</v>
      </c>
      <c r="H70" s="1572" t="str">
        <f t="shared" si="19"/>
        <v>2020-2</v>
      </c>
      <c r="I70" s="1572" t="str">
        <f t="shared" si="19"/>
        <v>2020-1</v>
      </c>
      <c r="J70" s="1572" t="str">
        <f t="shared" si="19"/>
        <v>2019-4</v>
      </c>
      <c r="K70" s="1572" t="str">
        <f t="shared" si="19"/>
        <v>2019-3</v>
      </c>
      <c r="L70" s="1572" t="str">
        <f t="shared" si="19"/>
        <v>2019-2</v>
      </c>
      <c r="M70" s="1572" t="str">
        <f t="shared" si="19"/>
        <v>2019-1</v>
      </c>
      <c r="N70" s="1572" t="str">
        <f t="shared" si="19"/>
        <v>2018-4</v>
      </c>
      <c r="O70" s="1572" t="str">
        <f t="shared" si="19"/>
        <v>2018-3</v>
      </c>
      <c r="P70" s="507"/>
    </row>
    <row r="71" spans="1:17" s="117" customFormat="1" ht="30" customHeight="1">
      <c r="A71" s="2706" t="s">
        <v>2779</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xr:uid="{00000000-0002-0000-2900-000000000000}">
      <formula1>住宅朝向</formula1>
    </dataValidation>
    <dataValidation type="list" allowBlank="1" showInputMessage="1" showErrorMessage="1" sqref="E28 C28 G28 I28" xr:uid="{00000000-0002-0000-2900-000001000000}">
      <formula1>公共配套设施</formula1>
    </dataValidation>
    <dataValidation type="list" allowBlank="1" showInputMessage="1" showErrorMessage="1" sqref="E22 C22 G22 I22" xr:uid="{00000000-0002-0000-2900-000002000000}">
      <formula1>交通便捷度</formula1>
    </dataValidation>
    <dataValidation type="list" allowBlank="1" showInputMessage="1" showErrorMessage="1" sqref="E16 G16 I16 C16" xr:uid="{00000000-0002-0000-2900-000003000000}">
      <formula1>居住社区成熟度</formula1>
    </dataValidation>
    <dataValidation type="list" allowBlank="1" showInputMessage="1" showErrorMessage="1" sqref="C26 E26 G26 I26" xr:uid="{00000000-0002-0000-2900-000004000000}">
      <formula1>环境</formula1>
    </dataValidation>
    <dataValidation type="list" allowBlank="1" showInputMessage="1" showErrorMessage="1" sqref="B46" xr:uid="{00000000-0002-0000-2900-000005000000}">
      <formula1>单价内涵</formula1>
    </dataValidation>
    <dataValidation type="list" allowBlank="1" showInputMessage="1" showErrorMessage="1" sqref="C8 E8 G8 I8" xr:uid="{00000000-0002-0000-2900-000006000000}">
      <formula1>套综交易情况</formula1>
    </dataValidation>
    <dataValidation type="list" allowBlank="1" showInputMessage="1" showErrorMessage="1" sqref="C9 E9 G9 I9" xr:uid="{00000000-0002-0000-2900-000007000000}">
      <formula1>套综用途</formula1>
    </dataValidation>
    <dataValidation type="list" allowBlank="1" showInputMessage="1" showErrorMessage="1" sqref="E18 C18 G18 I18" xr:uid="{00000000-0002-0000-2900-000008000000}">
      <formula1>商业繁华度</formula1>
    </dataValidation>
    <dataValidation type="list" allowBlank="1" showInputMessage="1" showErrorMessage="1" sqref="E20 C20 G20 I20" xr:uid="{00000000-0002-0000-2900-000009000000}">
      <formula1>办公集聚程度</formula1>
    </dataValidation>
    <dataValidation type="list" allowBlank="1" showInputMessage="1" showErrorMessage="1" sqref="C33 E33 G33 I33" xr:uid="{00000000-0002-0000-2900-00000A000000}">
      <formula1>套综道路等级</formula1>
    </dataValidation>
    <dataValidation type="list" allowBlank="1" showInputMessage="1" showErrorMessage="1" sqref="C34 E34 G34 I34" xr:uid="{00000000-0002-0000-2900-00000B000000}">
      <formula1>套综土地级别</formula1>
    </dataValidation>
    <dataValidation type="list" allowBlank="1" showInputMessage="1" showErrorMessage="1" sqref="C39 E39 G39 I39" xr:uid="{00000000-0002-0000-2900-00000C000000}">
      <formula1>套综宗地形状</formula1>
    </dataValidation>
    <dataValidation type="list" allowBlank="1" showInputMessage="1" showErrorMessage="1" sqref="C40 E40 G40 I40" xr:uid="{00000000-0002-0000-2900-00000D000000}">
      <formula1>套综临街宽度及深度</formula1>
    </dataValidation>
    <dataValidation type="list" allowBlank="1" showInputMessage="1" showErrorMessage="1" sqref="C41 E41 G41 I41" xr:uid="{00000000-0002-0000-2900-00000E000000}">
      <formula1>套综宗地内开发程度</formula1>
    </dataValidation>
    <dataValidation type="list" allowBlank="1" showInputMessage="1" showErrorMessage="1" sqref="C42 E42 G42 I42" xr:uid="{00000000-0002-0000-2900-00000F000000}">
      <formula1>套综工程地质条件</formula1>
    </dataValidation>
    <dataValidation type="list" allowBlank="1" showInputMessage="1" showErrorMessage="1" sqref="C31 E31 G31 I31" xr:uid="{00000000-0002-0000-2900-000010000000}">
      <formula1>临街状况</formula1>
    </dataValidation>
    <dataValidation type="list" allowBlank="1" showInputMessage="1" showErrorMessage="1" sqref="E24 G24 I24 C24" xr:uid="{00000000-0002-0000-2900-000011000000}">
      <formula1>区域土地利用方向</formula1>
    </dataValidation>
    <dataValidation type="list" allowBlank="1" showInputMessage="1" showErrorMessage="1" sqref="C55" xr:uid="{00000000-0002-0000-2900-000012000000}">
      <formula1>"北京市系数,其他省市系数"</formula1>
    </dataValidation>
    <dataValidation type="list" allowBlank="1" showInputMessage="1" showErrorMessage="1" sqref="G62" xr:uid="{00000000-0002-0000-2900-000013000000}">
      <formula1>"商业,办公,住宅,工业"</formula1>
    </dataValidation>
    <dataValidation type="list" allowBlank="1" showInputMessage="1" showErrorMessage="1" sqref="G63" xr:uid="{00000000-0002-0000-2900-000014000000}">
      <formula1>"住宅,工业"</formula1>
    </dataValidation>
    <dataValidation type="list" allowBlank="1" showInputMessage="1" showErrorMessage="1" sqref="D57:D65" xr:uid="{00000000-0002-0000-2900-000015000000}">
      <formula1>"25%,1"</formula1>
    </dataValidation>
    <dataValidation type="list" allowBlank="1" showInputMessage="1" showErrorMessage="1" sqref="C30 E30 G30 I30" xr:uid="{00000000-0002-0000-2900-000016000000}">
      <formula1>基础设施水平</formula1>
    </dataValidation>
    <dataValidation type="list" allowBlank="1" showInputMessage="1" showErrorMessage="1" sqref="A71" xr:uid="{00000000-0002-0000-29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481" t="s">
        <v>2642</v>
      </c>
      <c r="D4" s="3482"/>
      <c r="E4" s="3483" t="s">
        <v>2643</v>
      </c>
      <c r="F4" s="3484"/>
      <c r="G4" s="3481" t="s">
        <v>2644</v>
      </c>
      <c r="H4" s="3482"/>
      <c r="I4" s="3481" t="s">
        <v>2645</v>
      </c>
      <c r="J4" s="3482"/>
      <c r="K4" s="610" t="s">
        <v>2646</v>
      </c>
      <c r="L4" s="1130"/>
      <c r="M4" s="1131"/>
      <c r="N4" s="1131"/>
      <c r="O4" s="1131"/>
      <c r="P4" s="3485" t="s">
        <v>2647</v>
      </c>
      <c r="Q4" s="3486"/>
      <c r="R4" s="3491" t="s">
        <v>2643</v>
      </c>
      <c r="S4" s="3492"/>
      <c r="T4" s="3491" t="s">
        <v>2644</v>
      </c>
      <c r="U4" s="3492"/>
      <c r="V4" s="3497" t="s">
        <v>2645</v>
      </c>
      <c r="W4" s="3497"/>
      <c r="X4" s="1805"/>
      <c r="Y4" s="3491" t="s">
        <v>2647</v>
      </c>
      <c r="Z4" s="3492"/>
      <c r="AA4" s="3478" t="s">
        <v>2643</v>
      </c>
      <c r="AB4" s="3479" t="s">
        <v>2644</v>
      </c>
      <c r="AC4" s="3478" t="s">
        <v>2645</v>
      </c>
    </row>
    <row r="5" spans="1:29" ht="15">
      <c r="A5" s="404"/>
      <c r="B5" s="405"/>
      <c r="C5" s="3500" t="s">
        <v>2538</v>
      </c>
      <c r="D5" s="3501"/>
      <c r="E5" s="3507" t="s">
        <v>2539</v>
      </c>
      <c r="F5" s="3508"/>
      <c r="G5" s="3500" t="s">
        <v>2540</v>
      </c>
      <c r="H5" s="3501"/>
      <c r="I5" s="3500" t="s">
        <v>2541</v>
      </c>
      <c r="J5" s="3501"/>
      <c r="K5" s="610"/>
      <c r="L5" s="1130"/>
      <c r="M5" s="1131"/>
      <c r="N5" s="1131"/>
      <c r="O5" s="1131"/>
      <c r="P5" s="3487"/>
      <c r="Q5" s="3488"/>
      <c r="R5" s="3493"/>
      <c r="S5" s="3494"/>
      <c r="T5" s="3493"/>
      <c r="U5" s="3494"/>
      <c r="V5" s="3497"/>
      <c r="W5" s="3497"/>
      <c r="X5" s="1805"/>
      <c r="Y5" s="3493"/>
      <c r="Z5" s="3494"/>
      <c r="AA5" s="3479"/>
      <c r="AB5" s="3479"/>
      <c r="AC5" s="3479"/>
    </row>
    <row r="6" spans="1:29" ht="15.75" thickBot="1">
      <c r="A6" s="406"/>
      <c r="B6" s="407"/>
      <c r="C6" s="3529" t="s">
        <v>2793</v>
      </c>
      <c r="D6" s="3530"/>
      <c r="E6" s="3531" t="s">
        <v>2793</v>
      </c>
      <c r="F6" s="3532"/>
      <c r="G6" s="3529" t="s">
        <v>2793</v>
      </c>
      <c r="H6" s="3530"/>
      <c r="I6" s="3529" t="s">
        <v>2793</v>
      </c>
      <c r="J6" s="3530"/>
      <c r="K6" s="610" t="s">
        <v>2543</v>
      </c>
      <c r="L6" s="1130"/>
      <c r="M6" s="1131"/>
      <c r="N6" s="1131"/>
      <c r="O6" s="1131"/>
      <c r="P6" s="3489"/>
      <c r="Q6" s="3490"/>
      <c r="R6" s="3493"/>
      <c r="S6" s="3494"/>
      <c r="T6" s="3495"/>
      <c r="U6" s="3496"/>
      <c r="V6" s="3497"/>
      <c r="W6" s="3497"/>
      <c r="X6" s="1805"/>
      <c r="Y6" s="3495"/>
      <c r="Z6" s="3496"/>
      <c r="AA6" s="3480"/>
      <c r="AB6" s="3480"/>
      <c r="AC6" s="3480"/>
    </row>
    <row r="7" spans="1:29" s="117" customFormat="1" ht="15.75" thickBot="1">
      <c r="A7" s="408" t="s">
        <v>2544</v>
      </c>
      <c r="B7" s="409"/>
      <c r="C7" s="410">
        <f>'数据-取费表'!B2</f>
        <v>44425</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502" t="s">
        <v>2545</v>
      </c>
      <c r="Q7" s="3504"/>
      <c r="R7" s="770" t="s">
        <v>17</v>
      </c>
      <c r="S7" s="771">
        <f t="shared" ref="S7:S15" si="0">F7</f>
        <v>0</v>
      </c>
      <c r="T7" s="770" t="s">
        <v>17</v>
      </c>
      <c r="U7" s="771">
        <f t="shared" ref="U7:U15" si="1">H7</f>
        <v>0</v>
      </c>
      <c r="V7" s="770" t="s">
        <v>17</v>
      </c>
      <c r="W7" s="771">
        <f t="shared" ref="W7:W15" si="2">J7</f>
        <v>0</v>
      </c>
      <c r="X7" s="772"/>
      <c r="Y7" s="3502" t="s">
        <v>2545</v>
      </c>
      <c r="Z7" s="3503"/>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502" t="s">
        <v>2548</v>
      </c>
      <c r="Q8" s="3503"/>
      <c r="R8" s="770" t="s">
        <v>17</v>
      </c>
      <c r="S8" s="771">
        <f t="shared" si="0"/>
        <v>0</v>
      </c>
      <c r="T8" s="770" t="s">
        <v>17</v>
      </c>
      <c r="U8" s="771">
        <f t="shared" si="1"/>
        <v>0</v>
      </c>
      <c r="V8" s="770" t="s">
        <v>17</v>
      </c>
      <c r="W8" s="771">
        <f t="shared" si="2"/>
        <v>0</v>
      </c>
      <c r="X8" s="772"/>
      <c r="Y8" s="3502" t="s">
        <v>2548</v>
      </c>
      <c r="Z8" s="3503"/>
      <c r="AA8" s="773" t="e">
        <f t="shared" ref="AA8:AA40" si="3">D8/F8</f>
        <v>#DIV/0!</v>
      </c>
      <c r="AB8" s="773" t="e">
        <f t="shared" ref="AB8:AB40" si="4">D8/H8</f>
        <v>#DIV/0!</v>
      </c>
      <c r="AC8" s="773" t="e">
        <f t="shared" ref="AC8:AC40" si="5">D8/J8</f>
        <v>#DIV/0!</v>
      </c>
    </row>
    <row r="9" spans="1:29" s="117" customFormat="1">
      <c r="A9" s="415" t="s">
        <v>2549</v>
      </c>
      <c r="B9" s="71" t="s">
        <v>2550</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466" t="s">
        <v>2551</v>
      </c>
      <c r="Q9" s="1787" t="str">
        <f t="shared" ref="Q9:Q15" si="6">B9</f>
        <v>用途</v>
      </c>
      <c r="R9" s="770" t="s">
        <v>17</v>
      </c>
      <c r="S9" s="771">
        <f t="shared" si="0"/>
        <v>100</v>
      </c>
      <c r="T9" s="770" t="s">
        <v>17</v>
      </c>
      <c r="U9" s="771">
        <f t="shared" si="1"/>
        <v>100</v>
      </c>
      <c r="V9" s="770" t="s">
        <v>17</v>
      </c>
      <c r="W9" s="771">
        <f t="shared" si="2"/>
        <v>100</v>
      </c>
      <c r="X9" s="772"/>
      <c r="Y9" s="3259"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466"/>
      <c r="Q10" s="1787" t="str">
        <f t="shared" si="6"/>
        <v>土地使用年限（年）</v>
      </c>
      <c r="R10" s="770" t="s">
        <v>17</v>
      </c>
      <c r="S10" s="771">
        <f t="shared" si="0"/>
        <v>100</v>
      </c>
      <c r="T10" s="770" t="s">
        <v>17</v>
      </c>
      <c r="U10" s="771">
        <f t="shared" si="1"/>
        <v>100</v>
      </c>
      <c r="V10" s="770" t="s">
        <v>17</v>
      </c>
      <c r="W10" s="771">
        <f t="shared" si="2"/>
        <v>100</v>
      </c>
      <c r="X10" s="772"/>
      <c r="Y10" s="3259"/>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466"/>
      <c r="Q11" s="1787" t="str">
        <f t="shared" si="6"/>
        <v>容积率</v>
      </c>
      <c r="R11" s="770" t="s">
        <v>17</v>
      </c>
      <c r="S11" s="771" t="e">
        <f t="shared" si="0"/>
        <v>#N/A</v>
      </c>
      <c r="T11" s="770" t="s">
        <v>17</v>
      </c>
      <c r="U11" s="771" t="e">
        <f t="shared" si="1"/>
        <v>#N/A</v>
      </c>
      <c r="V11" s="770" t="s">
        <v>17</v>
      </c>
      <c r="W11" s="771" t="e">
        <f t="shared" si="2"/>
        <v>#N/A</v>
      </c>
      <c r="X11" s="772"/>
      <c r="Y11" s="3259"/>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466"/>
      <c r="Q12" s="1787">
        <f t="shared" si="6"/>
        <v>111</v>
      </c>
      <c r="R12" s="770" t="s">
        <v>17</v>
      </c>
      <c r="S12" s="771">
        <f t="shared" si="0"/>
        <v>100</v>
      </c>
      <c r="T12" s="770" t="s">
        <v>17</v>
      </c>
      <c r="U12" s="771">
        <f t="shared" si="1"/>
        <v>100</v>
      </c>
      <c r="V12" s="770" t="s">
        <v>17</v>
      </c>
      <c r="W12" s="771">
        <f t="shared" si="2"/>
        <v>100</v>
      </c>
      <c r="X12" s="772"/>
      <c r="Y12" s="3259"/>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466"/>
      <c r="Q13" s="1787">
        <f t="shared" si="6"/>
        <v>111</v>
      </c>
      <c r="R13" s="770" t="s">
        <v>17</v>
      </c>
      <c r="S13" s="771">
        <f t="shared" si="0"/>
        <v>100</v>
      </c>
      <c r="T13" s="770" t="s">
        <v>17</v>
      </c>
      <c r="U13" s="771">
        <f t="shared" si="1"/>
        <v>100</v>
      </c>
      <c r="V13" s="770" t="s">
        <v>17</v>
      </c>
      <c r="W13" s="771">
        <f t="shared" si="2"/>
        <v>100</v>
      </c>
      <c r="X13" s="772"/>
      <c r="Y13" s="3259"/>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466"/>
      <c r="Q14" s="1787">
        <f t="shared" si="6"/>
        <v>111</v>
      </c>
      <c r="R14" s="770" t="s">
        <v>17</v>
      </c>
      <c r="S14" s="771">
        <f t="shared" si="0"/>
        <v>100</v>
      </c>
      <c r="T14" s="770" t="s">
        <v>17</v>
      </c>
      <c r="U14" s="771">
        <f t="shared" si="1"/>
        <v>100</v>
      </c>
      <c r="V14" s="770" t="s">
        <v>17</v>
      </c>
      <c r="W14" s="771">
        <f t="shared" si="2"/>
        <v>100</v>
      </c>
      <c r="X14" s="772"/>
      <c r="Y14" s="3259"/>
      <c r="Z14" s="55">
        <f t="shared" si="7"/>
        <v>111</v>
      </c>
      <c r="AA14" s="773">
        <f t="shared" si="3"/>
        <v>1</v>
      </c>
      <c r="AB14" s="773">
        <f t="shared" si="4"/>
        <v>1</v>
      </c>
      <c r="AC14" s="773">
        <f t="shared" si="5"/>
        <v>1</v>
      </c>
    </row>
    <row r="15" spans="1:29" ht="57">
      <c r="A15" s="440" t="s">
        <v>2555</v>
      </c>
      <c r="B15" s="629" t="s">
        <v>2794</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468" t="s">
        <v>2556</v>
      </c>
      <c r="Q15" s="1802" t="str">
        <f t="shared" si="6"/>
        <v>产业集聚程度</v>
      </c>
      <c r="R15" s="774" t="s">
        <v>17</v>
      </c>
      <c r="S15" s="775">
        <f t="shared" si="0"/>
        <v>100</v>
      </c>
      <c r="T15" s="774" t="s">
        <v>17</v>
      </c>
      <c r="U15" s="775">
        <f t="shared" si="1"/>
        <v>100</v>
      </c>
      <c r="V15" s="774" t="s">
        <v>17</v>
      </c>
      <c r="W15" s="775">
        <f t="shared" si="2"/>
        <v>100</v>
      </c>
      <c r="X15" s="1805"/>
      <c r="Y15" s="3468" t="s">
        <v>2556</v>
      </c>
      <c r="Z15" s="1806" t="str">
        <f t="shared" si="7"/>
        <v>产业集聚程度</v>
      </c>
      <c r="AA15" s="1803">
        <f t="shared" si="3"/>
        <v>1</v>
      </c>
      <c r="AB15" s="1803">
        <f t="shared" si="4"/>
        <v>1</v>
      </c>
      <c r="AC15" s="1803">
        <f t="shared" si="5"/>
        <v>1</v>
      </c>
    </row>
    <row r="16" spans="1:29" ht="15">
      <c r="A16" s="428"/>
      <c r="B16" s="630"/>
      <c r="C16" s="447"/>
      <c r="D16" s="448"/>
      <c r="E16" s="2605"/>
      <c r="F16" s="448"/>
      <c r="G16" s="2605"/>
      <c r="H16" s="450"/>
      <c r="I16" s="2605"/>
      <c r="J16" s="448"/>
      <c r="K16" s="672"/>
      <c r="L16" s="1140"/>
      <c r="M16" s="1131"/>
      <c r="N16" s="1131"/>
      <c r="O16" s="1139"/>
      <c r="P16" s="3469"/>
      <c r="Q16" s="1802"/>
      <c r="R16" s="774"/>
      <c r="S16" s="775"/>
      <c r="T16" s="774"/>
      <c r="U16" s="775"/>
      <c r="V16" s="774"/>
      <c r="W16" s="775"/>
      <c r="X16" s="1805"/>
      <c r="Y16" s="3469"/>
      <c r="Z16" s="1806"/>
      <c r="AA16" s="1803">
        <v>1</v>
      </c>
      <c r="AB16" s="1803">
        <v>1</v>
      </c>
      <c r="AC16" s="1803">
        <v>1</v>
      </c>
    </row>
    <row r="17" spans="1:29" ht="85.5">
      <c r="A17" s="428"/>
      <c r="B17" s="631" t="s">
        <v>2705</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469"/>
      <c r="Q17" s="1802" t="str">
        <f>B17</f>
        <v>交通便捷度</v>
      </c>
      <c r="R17" s="774" t="s">
        <v>17</v>
      </c>
      <c r="S17" s="775">
        <f>F17</f>
        <v>100</v>
      </c>
      <c r="T17" s="774" t="s">
        <v>17</v>
      </c>
      <c r="U17" s="775">
        <f>H17</f>
        <v>100</v>
      </c>
      <c r="V17" s="774" t="s">
        <v>17</v>
      </c>
      <c r="W17" s="775">
        <f>J17</f>
        <v>100</v>
      </c>
      <c r="X17" s="1805"/>
      <c r="Y17" s="3469"/>
      <c r="Z17" s="1806" t="str">
        <f>Q17</f>
        <v>交通便捷度</v>
      </c>
      <c r="AA17" s="1803">
        <f t="shared" si="3"/>
        <v>1</v>
      </c>
      <c r="AB17" s="1803">
        <f t="shared" si="4"/>
        <v>1</v>
      </c>
      <c r="AC17" s="1803">
        <f t="shared" si="5"/>
        <v>1</v>
      </c>
    </row>
    <row r="18" spans="1:29" ht="15">
      <c r="A18" s="428"/>
      <c r="B18" s="632"/>
      <c r="C18" s="447"/>
      <c r="D18" s="448"/>
      <c r="E18" s="2599"/>
      <c r="F18" s="448"/>
      <c r="G18" s="2599"/>
      <c r="H18" s="448"/>
      <c r="I18" s="2598"/>
      <c r="J18" s="448"/>
      <c r="K18" s="672"/>
      <c r="L18" s="1140"/>
      <c r="M18" s="1131"/>
      <c r="N18" s="1131"/>
      <c r="O18" s="1139"/>
      <c r="P18" s="3469"/>
      <c r="Q18" s="1802"/>
      <c r="R18" s="774"/>
      <c r="S18" s="775"/>
      <c r="T18" s="774"/>
      <c r="U18" s="775"/>
      <c r="V18" s="774"/>
      <c r="W18" s="775"/>
      <c r="X18" s="1805"/>
      <c r="Y18" s="3469"/>
      <c r="Z18" s="1806"/>
      <c r="AA18" s="1803">
        <v>1</v>
      </c>
      <c r="AB18" s="1803">
        <v>1</v>
      </c>
      <c r="AC18" s="1803">
        <v>1</v>
      </c>
    </row>
    <row r="19" spans="1:29" ht="15">
      <c r="A19" s="428"/>
      <c r="B19" s="631" t="s">
        <v>2744</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469"/>
      <c r="Q19" s="1802" t="str">
        <f t="shared" ref="Q19:Q33" si="8">B19</f>
        <v>区域土地利用方向</v>
      </c>
      <c r="R19" s="774" t="s">
        <v>17</v>
      </c>
      <c r="S19" s="775">
        <f>F19</f>
        <v>100</v>
      </c>
      <c r="T19" s="774" t="s">
        <v>17</v>
      </c>
      <c r="U19" s="775">
        <f>H19</f>
        <v>100</v>
      </c>
      <c r="V19" s="774" t="s">
        <v>17</v>
      </c>
      <c r="W19" s="775">
        <f>J19</f>
        <v>100</v>
      </c>
      <c r="X19" s="1805"/>
      <c r="Y19" s="3469"/>
      <c r="Z19" s="1806" t="str">
        <f>Q19</f>
        <v>区域土地利用方向</v>
      </c>
      <c r="AA19" s="1803">
        <f t="shared" si="3"/>
        <v>1</v>
      </c>
      <c r="AB19" s="1803">
        <f t="shared" si="4"/>
        <v>1</v>
      </c>
      <c r="AC19" s="1803">
        <f t="shared" si="5"/>
        <v>1</v>
      </c>
    </row>
    <row r="20" spans="1:29" ht="15">
      <c r="A20" s="404"/>
      <c r="B20" s="632"/>
      <c r="C20" s="447"/>
      <c r="D20" s="448"/>
      <c r="E20" s="2599"/>
      <c r="F20" s="448"/>
      <c r="G20" s="2599"/>
      <c r="H20" s="448"/>
      <c r="I20" s="2599"/>
      <c r="J20" s="448"/>
      <c r="K20" s="812"/>
      <c r="L20" s="1140"/>
      <c r="M20" s="1131"/>
      <c r="N20" s="1131"/>
      <c r="O20" s="1139"/>
      <c r="P20" s="3469"/>
      <c r="Q20" s="1802"/>
      <c r="R20" s="774"/>
      <c r="S20" s="775"/>
      <c r="T20" s="774"/>
      <c r="U20" s="775"/>
      <c r="V20" s="774"/>
      <c r="W20" s="775"/>
      <c r="X20" s="1805"/>
      <c r="Y20" s="3469"/>
      <c r="Z20" s="1806"/>
      <c r="AA20" s="1803"/>
      <c r="AB20" s="1803"/>
      <c r="AC20" s="1803"/>
    </row>
    <row r="21" spans="1:29" ht="71.25">
      <c r="A21" s="404"/>
      <c r="B21" s="631" t="s">
        <v>2795</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469"/>
      <c r="Q21" s="1802" t="str">
        <f t="shared" si="8"/>
        <v>环境状况</v>
      </c>
      <c r="R21" s="774" t="s">
        <v>17</v>
      </c>
      <c r="S21" s="775">
        <f>F21</f>
        <v>100</v>
      </c>
      <c r="T21" s="774" t="s">
        <v>17</v>
      </c>
      <c r="U21" s="775">
        <f>H21</f>
        <v>100</v>
      </c>
      <c r="V21" s="774" t="s">
        <v>17</v>
      </c>
      <c r="W21" s="775">
        <f>J21</f>
        <v>100</v>
      </c>
      <c r="X21" s="1805"/>
      <c r="Y21" s="3469"/>
      <c r="Z21" s="1806" t="str">
        <f>Q21</f>
        <v>环境状况</v>
      </c>
      <c r="AA21" s="1803">
        <f t="shared" si="3"/>
        <v>1</v>
      </c>
      <c r="AB21" s="1803">
        <f t="shared" si="4"/>
        <v>1</v>
      </c>
      <c r="AC21" s="1803">
        <f t="shared" si="5"/>
        <v>1</v>
      </c>
    </row>
    <row r="22" spans="1:29" ht="15">
      <c r="A22" s="404"/>
      <c r="B22" s="632"/>
      <c r="C22" s="447"/>
      <c r="D22" s="448"/>
      <c r="E22" s="2605"/>
      <c r="F22" s="448"/>
      <c r="G22" s="2605"/>
      <c r="H22" s="448"/>
      <c r="I22" s="447"/>
      <c r="J22" s="448"/>
      <c r="K22" s="672"/>
      <c r="L22" s="1140"/>
      <c r="M22" s="1131"/>
      <c r="N22" s="1131"/>
      <c r="O22" s="1139"/>
      <c r="P22" s="3469"/>
      <c r="Q22" s="1802"/>
      <c r="R22" s="774"/>
      <c r="S22" s="775"/>
      <c r="T22" s="774"/>
      <c r="U22" s="775"/>
      <c r="V22" s="774"/>
      <c r="W22" s="775"/>
      <c r="X22" s="1805"/>
      <c r="Y22" s="3469"/>
      <c r="Z22" s="1806"/>
      <c r="AA22" s="1803">
        <v>1</v>
      </c>
      <c r="AB22" s="1803">
        <v>1</v>
      </c>
      <c r="AC22" s="1803">
        <v>1</v>
      </c>
    </row>
    <row r="23" spans="1:29" s="117" customFormat="1" ht="42.75">
      <c r="A23" s="649"/>
      <c r="B23" s="633" t="s">
        <v>2650</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469"/>
      <c r="Q23" s="1787" t="str">
        <f t="shared" si="8"/>
        <v>公共配套设施</v>
      </c>
      <c r="R23" s="770" t="s">
        <v>17</v>
      </c>
      <c r="S23" s="771">
        <f>F23</f>
        <v>100</v>
      </c>
      <c r="T23" s="770" t="s">
        <v>17</v>
      </c>
      <c r="U23" s="771">
        <f>H23</f>
        <v>100</v>
      </c>
      <c r="V23" s="770" t="s">
        <v>17</v>
      </c>
      <c r="W23" s="771">
        <f>J23</f>
        <v>100</v>
      </c>
      <c r="X23" s="772"/>
      <c r="Y23" s="3469"/>
      <c r="Z23" s="55" t="str">
        <f>Q23</f>
        <v>公共配套设施</v>
      </c>
      <c r="AA23" s="1803">
        <f>D23/F23</f>
        <v>1</v>
      </c>
      <c r="AB23" s="1803">
        <f>D23/H23</f>
        <v>1</v>
      </c>
      <c r="AC23" s="1803">
        <f>D23/J23</f>
        <v>1</v>
      </c>
    </row>
    <row r="24" spans="1:29" s="117" customFormat="1" ht="15">
      <c r="A24" s="649"/>
      <c r="B24" s="632"/>
      <c r="C24" s="2694"/>
      <c r="D24" s="448"/>
      <c r="E24" s="2605"/>
      <c r="F24" s="448"/>
      <c r="G24" s="2605"/>
      <c r="H24" s="448"/>
      <c r="I24" s="447"/>
      <c r="J24" s="448"/>
      <c r="K24" s="672"/>
      <c r="L24" s="1132"/>
      <c r="M24" s="1133"/>
      <c r="N24" s="1133"/>
      <c r="O24" s="1134"/>
      <c r="P24" s="3469"/>
      <c r="Q24" s="1787"/>
      <c r="R24" s="770"/>
      <c r="S24" s="771"/>
      <c r="T24" s="770"/>
      <c r="U24" s="771"/>
      <c r="V24" s="770"/>
      <c r="W24" s="771"/>
      <c r="X24" s="772"/>
      <c r="Y24" s="3469"/>
      <c r="Z24" s="55"/>
      <c r="AA24" s="773">
        <v>1</v>
      </c>
      <c r="AB24" s="773">
        <v>1</v>
      </c>
      <c r="AC24" s="773">
        <v>1</v>
      </c>
    </row>
    <row r="25" spans="1:29" s="117" customFormat="1" ht="28.5">
      <c r="A25" s="649"/>
      <c r="B25" s="633" t="s">
        <v>2651</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469"/>
      <c r="Q25" s="1787" t="str">
        <f t="shared" ref="Q25" si="9">B25</f>
        <v>基础设施水平</v>
      </c>
      <c r="R25" s="770" t="s">
        <v>17</v>
      </c>
      <c r="S25" s="771">
        <f>F25</f>
        <v>100</v>
      </c>
      <c r="T25" s="770" t="s">
        <v>17</v>
      </c>
      <c r="U25" s="771">
        <f>H25</f>
        <v>100</v>
      </c>
      <c r="V25" s="770" t="s">
        <v>17</v>
      </c>
      <c r="W25" s="771">
        <f>J25</f>
        <v>100</v>
      </c>
      <c r="X25" s="772"/>
      <c r="Y25" s="3469"/>
      <c r="Z25" s="55" t="str">
        <f>Q25</f>
        <v>基础设施水平</v>
      </c>
      <c r="AA25" s="1803">
        <f>D25/F25</f>
        <v>1</v>
      </c>
      <c r="AB25" s="1803">
        <f>D25/H25</f>
        <v>1</v>
      </c>
      <c r="AC25" s="1803">
        <f>D25/J25</f>
        <v>1</v>
      </c>
    </row>
    <row r="26" spans="1:29" s="117" customFormat="1" ht="15">
      <c r="A26" s="649"/>
      <c r="B26" s="632"/>
      <c r="C26" s="2694"/>
      <c r="D26" s="448"/>
      <c r="E26" s="2695"/>
      <c r="F26" s="448"/>
      <c r="G26" s="2695"/>
      <c r="H26" s="448"/>
      <c r="I26" s="2695"/>
      <c r="J26" s="448"/>
      <c r="K26" s="672"/>
      <c r="L26" s="1132"/>
      <c r="M26" s="1133"/>
      <c r="N26" s="1133"/>
      <c r="O26" s="1134"/>
      <c r="P26" s="3469"/>
      <c r="Q26" s="1787"/>
      <c r="R26" s="770"/>
      <c r="S26" s="771"/>
      <c r="T26" s="770"/>
      <c r="U26" s="771"/>
      <c r="V26" s="770"/>
      <c r="W26" s="771"/>
      <c r="X26" s="772"/>
      <c r="Y26" s="3469"/>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469"/>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469"/>
      <c r="Z27" s="1806" t="str">
        <f t="shared" ref="Z27:Z40" si="13">Q27</f>
        <v>临街状况</v>
      </c>
      <c r="AA27" s="1803">
        <f t="shared" si="3"/>
        <v>1</v>
      </c>
      <c r="AB27" s="1803">
        <f t="shared" si="4"/>
        <v>1</v>
      </c>
      <c r="AC27" s="1803">
        <f t="shared" si="5"/>
        <v>1</v>
      </c>
    </row>
    <row r="28" spans="1:29" ht="27">
      <c r="A28" s="428"/>
      <c r="B28" s="633" t="s">
        <v>2687</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469"/>
      <c r="Q28" s="1802" t="str">
        <f t="shared" si="8"/>
        <v>毗邻道路的类型与等级</v>
      </c>
      <c r="R28" s="774" t="s">
        <v>17</v>
      </c>
      <c r="S28" s="775">
        <f t="shared" si="10"/>
        <v>100</v>
      </c>
      <c r="T28" s="774" t="s">
        <v>17</v>
      </c>
      <c r="U28" s="775">
        <f t="shared" si="11"/>
        <v>100</v>
      </c>
      <c r="V28" s="774" t="s">
        <v>17</v>
      </c>
      <c r="W28" s="775">
        <f t="shared" si="12"/>
        <v>100</v>
      </c>
      <c r="X28" s="1805"/>
      <c r="Y28" s="3469"/>
      <c r="Z28" s="1806" t="str">
        <f t="shared" si="13"/>
        <v>毗邻道路的类型与等级</v>
      </c>
      <c r="AA28" s="1803">
        <f t="shared" si="3"/>
        <v>1</v>
      </c>
      <c r="AB28" s="1803">
        <f t="shared" si="4"/>
        <v>1</v>
      </c>
      <c r="AC28" s="1803">
        <f t="shared" si="5"/>
        <v>1</v>
      </c>
    </row>
    <row r="29" spans="1:29" ht="15">
      <c r="A29" s="428"/>
      <c r="B29" s="632"/>
      <c r="C29" s="447"/>
      <c r="D29" s="448"/>
      <c r="E29" s="2605"/>
      <c r="F29" s="448"/>
      <c r="G29" s="2605"/>
      <c r="H29" s="448"/>
      <c r="I29" s="2605"/>
      <c r="J29" s="448"/>
      <c r="K29" s="613"/>
      <c r="L29" s="1140"/>
      <c r="M29" s="1131"/>
      <c r="N29" s="1131"/>
      <c r="O29" s="1139"/>
      <c r="P29" s="3469"/>
      <c r="Q29" s="1802"/>
      <c r="R29" s="774"/>
      <c r="S29" s="775"/>
      <c r="T29" s="774"/>
      <c r="U29" s="775"/>
      <c r="V29" s="774"/>
      <c r="W29" s="775"/>
      <c r="X29" s="1805"/>
      <c r="Y29" s="3469"/>
      <c r="Z29" s="1806"/>
      <c r="AA29" s="1803">
        <v>1</v>
      </c>
      <c r="AB29" s="1803">
        <v>1</v>
      </c>
      <c r="AC29" s="1803">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469"/>
      <c r="Q30" s="1802" t="str">
        <f t="shared" si="8"/>
        <v>土地级别</v>
      </c>
      <c r="R30" s="774" t="s">
        <v>17</v>
      </c>
      <c r="S30" s="775">
        <f t="shared" si="10"/>
        <v>100</v>
      </c>
      <c r="T30" s="774" t="s">
        <v>17</v>
      </c>
      <c r="U30" s="775">
        <f t="shared" si="11"/>
        <v>100</v>
      </c>
      <c r="V30" s="774" t="s">
        <v>17</v>
      </c>
      <c r="W30" s="775">
        <f t="shared" si="12"/>
        <v>100</v>
      </c>
      <c r="X30" s="1805"/>
      <c r="Y30" s="3469"/>
      <c r="Z30" s="1806" t="str">
        <f t="shared" si="13"/>
        <v>土地级别</v>
      </c>
      <c r="AA30" s="1803">
        <f t="shared" si="3"/>
        <v>1</v>
      </c>
      <c r="AB30" s="1803">
        <f t="shared" si="4"/>
        <v>1</v>
      </c>
      <c r="AC30" s="1803">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469"/>
      <c r="Q31" s="1802">
        <f t="shared" si="8"/>
        <v>111</v>
      </c>
      <c r="R31" s="774" t="s">
        <v>17</v>
      </c>
      <c r="S31" s="775">
        <f t="shared" si="10"/>
        <v>100</v>
      </c>
      <c r="T31" s="774" t="s">
        <v>17</v>
      </c>
      <c r="U31" s="775">
        <f t="shared" si="11"/>
        <v>100</v>
      </c>
      <c r="V31" s="774" t="s">
        <v>17</v>
      </c>
      <c r="W31" s="775">
        <f t="shared" si="12"/>
        <v>100</v>
      </c>
      <c r="X31" s="1805"/>
      <c r="Y31" s="3469"/>
      <c r="Z31" s="1806">
        <f t="shared" si="13"/>
        <v>111</v>
      </c>
      <c r="AA31" s="1803">
        <f t="shared" si="3"/>
        <v>1</v>
      </c>
      <c r="AB31" s="1803">
        <f t="shared" si="4"/>
        <v>1</v>
      </c>
      <c r="AC31" s="1803">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524" t="s">
        <v>2561</v>
      </c>
      <c r="Q32" s="1802">
        <f t="shared" si="8"/>
        <v>111</v>
      </c>
      <c r="R32" s="774" t="s">
        <v>17</v>
      </c>
      <c r="S32" s="775">
        <f t="shared" si="10"/>
        <v>100</v>
      </c>
      <c r="T32" s="774" t="s">
        <v>17</v>
      </c>
      <c r="U32" s="775">
        <f t="shared" si="11"/>
        <v>100</v>
      </c>
      <c r="V32" s="774" t="s">
        <v>17</v>
      </c>
      <c r="W32" s="775">
        <f t="shared" si="12"/>
        <v>100</v>
      </c>
      <c r="X32" s="1805"/>
      <c r="Y32" s="3473" t="s">
        <v>2561</v>
      </c>
      <c r="Z32" s="1806">
        <f t="shared" si="13"/>
        <v>111</v>
      </c>
      <c r="AA32" s="1803">
        <f t="shared" si="3"/>
        <v>1</v>
      </c>
      <c r="AB32" s="1803">
        <f t="shared" si="4"/>
        <v>1</v>
      </c>
      <c r="AC32" s="1803">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473"/>
      <c r="Q33" s="1802">
        <f t="shared" si="8"/>
        <v>111</v>
      </c>
      <c r="R33" s="777" t="s">
        <v>17</v>
      </c>
      <c r="S33" s="778">
        <f t="shared" si="10"/>
        <v>100</v>
      </c>
      <c r="T33" s="777" t="s">
        <v>17</v>
      </c>
      <c r="U33" s="778">
        <f t="shared" si="11"/>
        <v>100</v>
      </c>
      <c r="V33" s="777" t="s">
        <v>17</v>
      </c>
      <c r="W33" s="778">
        <f t="shared" si="12"/>
        <v>100</v>
      </c>
      <c r="X33" s="779"/>
      <c r="Y33" s="3473"/>
      <c r="Z33" s="780">
        <f t="shared" si="13"/>
        <v>111</v>
      </c>
      <c r="AA33" s="1803">
        <f t="shared" si="3"/>
        <v>1</v>
      </c>
      <c r="AB33" s="1803">
        <f t="shared" si="4"/>
        <v>1</v>
      </c>
      <c r="AC33" s="1803">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473"/>
      <c r="Q34" s="1802" t="str">
        <f>B34</f>
        <v>宗地面积</v>
      </c>
      <c r="R34" s="774" t="s">
        <v>17</v>
      </c>
      <c r="S34" s="775" t="e">
        <f t="shared" si="10"/>
        <v>#N/A</v>
      </c>
      <c r="T34" s="774" t="s">
        <v>17</v>
      </c>
      <c r="U34" s="775" t="e">
        <f t="shared" si="11"/>
        <v>#N/A</v>
      </c>
      <c r="V34" s="774" t="s">
        <v>17</v>
      </c>
      <c r="W34" s="775" t="e">
        <f t="shared" si="12"/>
        <v>#N/A</v>
      </c>
      <c r="X34" s="1805"/>
      <c r="Y34" s="3473"/>
      <c r="Z34" s="1806" t="str">
        <f t="shared" si="13"/>
        <v>宗地面积</v>
      </c>
      <c r="AA34" s="1803" t="e">
        <f t="shared" si="3"/>
        <v>#N/A</v>
      </c>
      <c r="AB34" s="1803" t="e">
        <f t="shared" si="4"/>
        <v>#N/A</v>
      </c>
      <c r="AC34" s="1803" t="e">
        <f t="shared" si="5"/>
        <v>#N/A</v>
      </c>
    </row>
    <row r="35" spans="1:29" ht="15">
      <c r="A35" s="472"/>
      <c r="B35" s="422" t="s">
        <v>2748</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473"/>
      <c r="Q35" s="1802" t="str">
        <f t="shared" ref="Q35:Q40" si="14">B35</f>
        <v>宗地形状</v>
      </c>
      <c r="R35" s="774" t="s">
        <v>17</v>
      </c>
      <c r="S35" s="775">
        <f t="shared" si="10"/>
        <v>100</v>
      </c>
      <c r="T35" s="774" t="s">
        <v>17</v>
      </c>
      <c r="U35" s="775">
        <f t="shared" si="11"/>
        <v>100</v>
      </c>
      <c r="V35" s="774" t="s">
        <v>17</v>
      </c>
      <c r="W35" s="775">
        <f t="shared" si="12"/>
        <v>100</v>
      </c>
      <c r="X35" s="1805"/>
      <c r="Y35" s="3473"/>
      <c r="Z35" s="1806" t="str">
        <f t="shared" si="13"/>
        <v>宗地形状</v>
      </c>
      <c r="AA35" s="1803">
        <f t="shared" si="3"/>
        <v>1</v>
      </c>
      <c r="AB35" s="1803">
        <f t="shared" si="4"/>
        <v>1</v>
      </c>
      <c r="AC35" s="1803">
        <f t="shared" si="5"/>
        <v>1</v>
      </c>
    </row>
    <row r="36" spans="1:29" s="117" customFormat="1" ht="15">
      <c r="A36" s="473"/>
      <c r="B36" s="422" t="s">
        <v>2750</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473"/>
      <c r="Q36" s="1802" t="str">
        <f t="shared" si="14"/>
        <v>宗地开发程度</v>
      </c>
      <c r="R36" s="770" t="s">
        <v>17</v>
      </c>
      <c r="S36" s="771">
        <f t="shared" si="10"/>
        <v>100</v>
      </c>
      <c r="T36" s="770" t="s">
        <v>17</v>
      </c>
      <c r="U36" s="771">
        <f t="shared" si="11"/>
        <v>100</v>
      </c>
      <c r="V36" s="770" t="s">
        <v>17</v>
      </c>
      <c r="W36" s="771">
        <f t="shared" si="12"/>
        <v>100</v>
      </c>
      <c r="X36" s="772"/>
      <c r="Y36" s="3473"/>
      <c r="Z36" s="55" t="str">
        <f t="shared" si="13"/>
        <v>宗地开发程度</v>
      </c>
      <c r="AA36" s="773">
        <f t="shared" si="3"/>
        <v>1</v>
      </c>
      <c r="AB36" s="773">
        <f t="shared" si="4"/>
        <v>1</v>
      </c>
      <c r="AC36" s="773">
        <f t="shared" si="5"/>
        <v>1</v>
      </c>
    </row>
    <row r="37" spans="1:29" ht="15">
      <c r="A37" s="472"/>
      <c r="B37" s="422" t="s">
        <v>2751</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473" t="s">
        <v>2561</v>
      </c>
      <c r="Q37" s="1802" t="str">
        <f t="shared" si="14"/>
        <v>工程地质条件</v>
      </c>
      <c r="R37" s="774" t="s">
        <v>17</v>
      </c>
      <c r="S37" s="775">
        <f t="shared" si="10"/>
        <v>100</v>
      </c>
      <c r="T37" s="774" t="s">
        <v>17</v>
      </c>
      <c r="U37" s="775">
        <f t="shared" si="11"/>
        <v>100</v>
      </c>
      <c r="V37" s="774" t="s">
        <v>17</v>
      </c>
      <c r="W37" s="775">
        <f t="shared" si="12"/>
        <v>100</v>
      </c>
      <c r="X37" s="1805"/>
      <c r="Y37" s="3473" t="s">
        <v>2561</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473"/>
      <c r="Q38" s="1802">
        <f t="shared" si="14"/>
        <v>111</v>
      </c>
      <c r="R38" s="774" t="s">
        <v>17</v>
      </c>
      <c r="S38" s="775">
        <f t="shared" si="10"/>
        <v>100</v>
      </c>
      <c r="T38" s="774" t="s">
        <v>17</v>
      </c>
      <c r="U38" s="775">
        <f t="shared" si="11"/>
        <v>100</v>
      </c>
      <c r="V38" s="774" t="s">
        <v>17</v>
      </c>
      <c r="W38" s="775">
        <f t="shared" si="12"/>
        <v>100</v>
      </c>
      <c r="X38" s="1805"/>
      <c r="Y38" s="3473"/>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473"/>
      <c r="Q39" s="1802">
        <f t="shared" si="14"/>
        <v>111</v>
      </c>
      <c r="R39" s="774" t="s">
        <v>17</v>
      </c>
      <c r="S39" s="775">
        <f t="shared" si="10"/>
        <v>100</v>
      </c>
      <c r="T39" s="774" t="s">
        <v>17</v>
      </c>
      <c r="U39" s="775">
        <f t="shared" si="11"/>
        <v>100</v>
      </c>
      <c r="V39" s="774" t="s">
        <v>17</v>
      </c>
      <c r="W39" s="775">
        <f t="shared" si="12"/>
        <v>100</v>
      </c>
      <c r="X39" s="1805"/>
      <c r="Y39" s="3473"/>
      <c r="Z39" s="1806">
        <f t="shared" si="13"/>
        <v>111</v>
      </c>
      <c r="AA39" s="1803">
        <f t="shared" si="3"/>
        <v>1</v>
      </c>
      <c r="AB39" s="1803">
        <f t="shared" si="4"/>
        <v>1</v>
      </c>
      <c r="AC39" s="1803">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473"/>
      <c r="Q40" s="1802">
        <f t="shared" si="14"/>
        <v>111</v>
      </c>
      <c r="R40" s="777" t="s">
        <v>17</v>
      </c>
      <c r="S40" s="778">
        <f t="shared" si="10"/>
        <v>100</v>
      </c>
      <c r="T40" s="777" t="s">
        <v>17</v>
      </c>
      <c r="U40" s="778">
        <f t="shared" si="11"/>
        <v>100</v>
      </c>
      <c r="V40" s="777" t="s">
        <v>17</v>
      </c>
      <c r="W40" s="778">
        <f t="shared" si="12"/>
        <v>100</v>
      </c>
      <c r="X40" s="779"/>
      <c r="Y40" s="3473"/>
      <c r="Z40" s="780">
        <f t="shared" si="13"/>
        <v>111</v>
      </c>
      <c r="AA40" s="1803">
        <f t="shared" si="3"/>
        <v>1</v>
      </c>
      <c r="AB40" s="1803">
        <f t="shared" si="4"/>
        <v>1</v>
      </c>
      <c r="AC40" s="1803">
        <f t="shared" si="5"/>
        <v>1</v>
      </c>
    </row>
    <row r="41" spans="1:29" ht="15">
      <c r="A41" s="479" t="s">
        <v>2716</v>
      </c>
      <c r="B41" s="2698" t="s">
        <v>2796</v>
      </c>
      <c r="C41" s="682" t="s">
        <v>1</v>
      </c>
      <c r="D41" s="481"/>
      <c r="E41" s="482"/>
      <c r="F41" s="483"/>
      <c r="G41" s="484"/>
      <c r="H41" s="485"/>
      <c r="I41" s="482"/>
      <c r="J41" s="485"/>
      <c r="K41" s="783"/>
      <c r="L41" s="1143"/>
      <c r="M41" s="1131"/>
      <c r="N41" s="1131"/>
      <c r="O41" s="1144"/>
      <c r="P41" s="3466" t="str">
        <f>A41</f>
        <v>成交单价</v>
      </c>
      <c r="Q41" s="3466"/>
      <c r="R41" s="3497">
        <f>E41</f>
        <v>0</v>
      </c>
      <c r="S41" s="3497"/>
      <c r="T41" s="3497">
        <f>G41</f>
        <v>0</v>
      </c>
      <c r="U41" s="3497"/>
      <c r="V41" s="3497">
        <f>I41</f>
        <v>0</v>
      </c>
      <c r="W41" s="3497"/>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466" t="str">
        <f>A42</f>
        <v>比较价值（元/平方米）</v>
      </c>
      <c r="Q42" s="3466"/>
      <c r="R42" s="3525" t="e">
        <f>ROUND(PRODUCT(R41,AA7:AA40),0)</f>
        <v>#DIV/0!</v>
      </c>
      <c r="S42" s="3525"/>
      <c r="T42" s="3525" t="e">
        <f>ROUND(PRODUCT(T41,AB7:AB40),0)</f>
        <v>#DIV/0!</v>
      </c>
      <c r="U42" s="3525"/>
      <c r="V42" s="3525" t="e">
        <f>ROUND(PRODUCT(V41,AC7:AC40),0)</f>
        <v>#DIV/0!</v>
      </c>
      <c r="W42" s="3525"/>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463" t="str">
        <f>A43</f>
        <v>估价对象XX用房的比较价值（楼面单价，元/平方米）</v>
      </c>
      <c r="Q43" s="3464"/>
      <c r="R43" s="3526" t="e">
        <f>ROUND(AVERAGE(R42:V42),0)</f>
        <v>#DIV/0!</v>
      </c>
      <c r="S43" s="3526"/>
      <c r="T43" s="3526"/>
      <c r="U43" s="3526"/>
      <c r="V43" s="3526"/>
      <c r="W43" s="352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699" t="s">
        <v>2756</v>
      </c>
      <c r="D50" s="2700" t="s">
        <v>2757</v>
      </c>
      <c r="E50" s="686" t="s">
        <v>2758</v>
      </c>
      <c r="F50" s="687" t="s">
        <v>2759</v>
      </c>
      <c r="G50" s="3481" t="s">
        <v>2760</v>
      </c>
      <c r="H50" s="3527"/>
      <c r="I50" s="1806" t="s">
        <v>2797</v>
      </c>
      <c r="J50" s="1806">
        <f>项目基本情况!F35</f>
        <v>0</v>
      </c>
      <c r="K50" s="2702" t="s">
        <v>2762</v>
      </c>
      <c r="L50" s="1106"/>
      <c r="M50" s="1144"/>
      <c r="N50" s="1144"/>
      <c r="O50" s="1144"/>
    </row>
    <row r="51" spans="1:17" s="692" customFormat="1">
      <c r="A51" s="688" t="s">
        <v>2763</v>
      </c>
      <c r="B51" s="689" t="e">
        <f>C43</f>
        <v>#DIV/0!</v>
      </c>
      <c r="C51" s="690">
        <v>1</v>
      </c>
      <c r="D51" s="1163">
        <v>1</v>
      </c>
      <c r="E51" s="690">
        <f>'数据-汇总表'!E8+'数据-汇总表'!E9</f>
        <v>9952.6299999999992</v>
      </c>
      <c r="F51" s="691" t="e">
        <f t="shared" ref="F51:F60" si="15">ROUND(B51*E51/10000,0)</f>
        <v>#DIV/0!</v>
      </c>
      <c r="G51" s="3477"/>
      <c r="H51" s="3466"/>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528"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528"/>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528"/>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528"/>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3"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393.1</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0.2</v>
      </c>
      <c r="D58" s="1164">
        <v>0.25</v>
      </c>
      <c r="E58" s="261">
        <f>'数据-汇总表'!E13</f>
        <v>0</v>
      </c>
      <c r="F58" s="691" t="e">
        <f t="shared" si="15"/>
        <v>#DIV/0!</v>
      </c>
      <c r="G58" s="1109" t="s">
        <v>2774</v>
      </c>
      <c r="H58" s="1104" t="str">
        <f>IF(G58="商业",项目基本情况!B37,IF(G58="办公",项目基本情况!C37,IF(G58="住宅",项目基本情况!D37,项目基本情况!E37)))</f>
        <v>六级</v>
      </c>
      <c r="I58" s="942">
        <f>SUMIF(修正!A45:A56,H58,修正!H45:H56)</f>
        <v>0.2</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03"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04"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2021-8-1</v>
      </c>
      <c r="D63" s="761">
        <f>EDATE(C63,-3)</f>
        <v>44317</v>
      </c>
      <c r="E63" s="761">
        <f>EDATE(D63,-3)</f>
        <v>44228</v>
      </c>
      <c r="F63" s="761">
        <f t="shared" ref="F63:O63" si="18">EDATE(E63,-3)</f>
        <v>44136</v>
      </c>
      <c r="G63" s="761">
        <f t="shared" si="18"/>
        <v>44044</v>
      </c>
      <c r="H63" s="761">
        <f t="shared" si="18"/>
        <v>43952</v>
      </c>
      <c r="I63" s="761">
        <f t="shared" si="18"/>
        <v>43862</v>
      </c>
      <c r="J63" s="761">
        <f t="shared" si="18"/>
        <v>43770</v>
      </c>
      <c r="K63" s="761">
        <f t="shared" si="18"/>
        <v>43678</v>
      </c>
      <c r="L63" s="761">
        <f t="shared" si="18"/>
        <v>43586</v>
      </c>
      <c r="M63" s="761">
        <f t="shared" si="18"/>
        <v>43497</v>
      </c>
      <c r="N63" s="761">
        <f t="shared" si="18"/>
        <v>43405</v>
      </c>
      <c r="O63" s="761">
        <f t="shared" si="18"/>
        <v>43313</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05" t="s">
        <v>2778</v>
      </c>
      <c r="B65" s="1359"/>
      <c r="C65" s="1572" t="str">
        <f>YEAR(C63)&amp;"-"&amp;ROUNDUP(MONTH(C63)/3,0)</f>
        <v>2021-3</v>
      </c>
      <c r="D65" s="1572" t="str">
        <f t="shared" ref="D65:O65" si="19">YEAR(D63)&amp;"-"&amp;ROUNDUP(MONTH(D63)/3,0)</f>
        <v>2021-2</v>
      </c>
      <c r="E65" s="1572" t="str">
        <f t="shared" si="19"/>
        <v>2021-1</v>
      </c>
      <c r="F65" s="1572" t="str">
        <f t="shared" si="19"/>
        <v>2020-4</v>
      </c>
      <c r="G65" s="1572" t="str">
        <f t="shared" si="19"/>
        <v>2020-3</v>
      </c>
      <c r="H65" s="1572" t="str">
        <f t="shared" si="19"/>
        <v>2020-2</v>
      </c>
      <c r="I65" s="1572" t="str">
        <f t="shared" si="19"/>
        <v>2020-1</v>
      </c>
      <c r="J65" s="1572" t="str">
        <f t="shared" si="19"/>
        <v>2019-4</v>
      </c>
      <c r="K65" s="1572" t="str">
        <f t="shared" si="19"/>
        <v>2019-3</v>
      </c>
      <c r="L65" s="1572" t="str">
        <f t="shared" si="19"/>
        <v>2019-2</v>
      </c>
      <c r="M65" s="1572" t="str">
        <f t="shared" si="19"/>
        <v>2019-1</v>
      </c>
      <c r="N65" s="1572" t="str">
        <f t="shared" si="19"/>
        <v>2018-4</v>
      </c>
      <c r="O65" s="1572" t="str">
        <f t="shared" si="19"/>
        <v>2018-3</v>
      </c>
      <c r="P65" s="507"/>
    </row>
    <row r="66" spans="1:17" s="117" customFormat="1" ht="30.75" customHeight="1">
      <c r="A66" s="2710" t="s">
        <v>2798</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A00-000000000000}">
      <formula1>单价内涵</formula1>
    </dataValidation>
    <dataValidation type="list" allowBlank="1" showInputMessage="1" showErrorMessage="1" sqref="C22 E22 G22 I22" xr:uid="{00000000-0002-0000-2A00-000001000000}">
      <formula1>环境</formula1>
    </dataValidation>
    <dataValidation type="list" allowBlank="1" showInputMessage="1" showErrorMessage="1" sqref="E18 C18 G18 I18" xr:uid="{00000000-0002-0000-2A00-000002000000}">
      <formula1>交通便捷度</formula1>
    </dataValidation>
    <dataValidation type="list" allowBlank="1" showInputMessage="1" showErrorMessage="1" sqref="E24 C24 G24 I24" xr:uid="{00000000-0002-0000-2A00-000003000000}">
      <formula1>公共配套设施</formula1>
    </dataValidation>
    <dataValidation type="list" allowBlank="1" showInputMessage="1" showErrorMessage="1" sqref="C8 E8 G8 I8" xr:uid="{00000000-0002-0000-2A00-000004000000}">
      <formula1>套工交易情况</formula1>
    </dataValidation>
    <dataValidation type="list" allowBlank="1" showInputMessage="1" showErrorMessage="1" sqref="C9 E9 G9 I9" xr:uid="{00000000-0002-0000-2A00-000005000000}">
      <formula1>套工用途</formula1>
    </dataValidation>
    <dataValidation type="list" allowBlank="1" showInputMessage="1" showErrorMessage="1" sqref="I30 E30 G30" xr:uid="{00000000-0002-0000-2A00-000006000000}">
      <formula1>套工土地级别</formula1>
    </dataValidation>
    <dataValidation type="list" allowBlank="1" showInputMessage="1" showErrorMessage="1" sqref="C27 E27 G27 I27" xr:uid="{00000000-0002-0000-2A00-000007000000}">
      <formula1>临街状况</formula1>
    </dataValidation>
    <dataValidation type="list" allowBlank="1" showInputMessage="1" showErrorMessage="1" sqref="E20 G20 I20 C20" xr:uid="{00000000-0002-0000-2A00-000008000000}">
      <formula1>区域土地利用方向</formula1>
    </dataValidation>
    <dataValidation type="list" allowBlank="1" showInputMessage="1" showErrorMessage="1" sqref="C50" xr:uid="{00000000-0002-0000-2A00-000009000000}">
      <formula1>"北京市系数,其他省市系数"</formula1>
    </dataValidation>
    <dataValidation type="list" allowBlank="1" showInputMessage="1" showErrorMessage="1" sqref="C16 E16 G16 I16" xr:uid="{00000000-0002-0000-2A00-00000A000000}">
      <formula1>产业集聚程度</formula1>
    </dataValidation>
    <dataValidation type="list" allowBlank="1" showInputMessage="1" showErrorMessage="1" sqref="C29 E29 G29 I29" xr:uid="{00000000-0002-0000-2A00-00000B000000}">
      <formula1>套工道路等级</formula1>
    </dataValidation>
    <dataValidation type="list" allowBlank="1" showInputMessage="1" showErrorMessage="1" sqref="C35 E35 G35 I35" xr:uid="{00000000-0002-0000-2A00-00000C000000}">
      <formula1>套工宗地形状</formula1>
    </dataValidation>
    <dataValidation type="list" allowBlank="1" showInputMessage="1" showErrorMessage="1" sqref="C36 E36 G36 I36" xr:uid="{00000000-0002-0000-2A00-00000D000000}">
      <formula1>套工宗地开发程度</formula1>
    </dataValidation>
    <dataValidation type="list" allowBlank="1" showInputMessage="1" showErrorMessage="1" sqref="C37 E37 G37 I37" xr:uid="{00000000-0002-0000-2A00-00000E000000}">
      <formula1>套工地质条件</formula1>
    </dataValidation>
    <dataValidation type="list" allowBlank="1" showInputMessage="1" showErrorMessage="1" sqref="G58" xr:uid="{00000000-0002-0000-2A00-00000F000000}">
      <formula1>"住宅,工业"</formula1>
    </dataValidation>
    <dataValidation type="list" allowBlank="1" showInputMessage="1" showErrorMessage="1" sqref="G57" xr:uid="{00000000-0002-0000-2A00-000010000000}">
      <formula1>"商业,办公,住宅,工业"</formula1>
    </dataValidation>
    <dataValidation type="list" allowBlank="1" showInputMessage="1" showErrorMessage="1" sqref="D52:D60" xr:uid="{00000000-0002-0000-2A00-000011000000}">
      <formula1>"25%,1"</formula1>
    </dataValidation>
    <dataValidation type="list" allowBlank="1" showInputMessage="1" showErrorMessage="1" sqref="C26 E26 G26 I26" xr:uid="{00000000-0002-0000-2A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18"/>
  <sheetViews>
    <sheetView topLeftCell="A13" zoomScale="80" zoomScaleNormal="80" zoomScaleSheetLayoutView="96" workbookViewId="0">
      <selection activeCell="C38" sqref="C38"/>
    </sheetView>
  </sheetViews>
  <sheetFormatPr defaultColWidth="12" defaultRowHeight="12.75"/>
  <cols>
    <col min="1" max="1" width="9.875" style="2782" customWidth="1"/>
    <col min="2" max="2" width="19.125" style="2888" customWidth="1"/>
    <col min="3" max="4" width="12" style="2714"/>
    <col min="5" max="5" width="14.625" style="2714" customWidth="1"/>
    <col min="6" max="8" width="12" style="2714"/>
    <col min="9" max="9" width="12.125" style="2714" bestFit="1" customWidth="1"/>
    <col min="10" max="10" width="12" style="2714"/>
    <col min="11" max="11" width="8.125" style="2777" customWidth="1"/>
    <col min="12" max="12" width="12" style="2714"/>
    <col min="13" max="13" width="8.5" style="2714" customWidth="1"/>
    <col min="14" max="14" width="9.8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2800</v>
      </c>
      <c r="B1" s="241"/>
      <c r="C1" s="245" t="s">
        <v>2801</v>
      </c>
      <c r="D1" s="388">
        <f>SUM(D29:D30,D33:D39)</f>
        <v>26168.29</v>
      </c>
      <c r="E1" s="2711"/>
      <c r="F1" s="2711"/>
      <c r="G1" s="2711"/>
      <c r="H1" s="2711"/>
      <c r="I1" s="2711"/>
      <c r="J1" s="2711"/>
      <c r="K1" s="1370"/>
      <c r="L1" s="2712" t="s">
        <v>2802</v>
      </c>
      <c r="M1" s="1080">
        <f>SUMPRODUCT((区片价!B5:B9=I2)*(区片价!C3:F3=E2)*(区片价!C5:F9))</f>
        <v>0</v>
      </c>
      <c r="N1" s="1083">
        <f>SUMPRODUCT((因素修正幅度!B5:B9=I2)*(因素修正幅度!C3:F3=E2)*(因素修正幅度!C5:F9))</f>
        <v>0</v>
      </c>
      <c r="O1" s="2713"/>
      <c r="P1" s="2713"/>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f ca="1">C26</f>
        <v>24306</v>
      </c>
      <c r="C2" s="2715" t="s">
        <v>2809</v>
      </c>
      <c r="D2" s="2716" t="s">
        <v>2810</v>
      </c>
      <c r="E2" s="2717" t="s">
        <v>3113</v>
      </c>
      <c r="F2" s="2716" t="s">
        <v>2811</v>
      </c>
      <c r="G2" s="2718" t="str">
        <f>IF(E2="商业",项目基本情况!B37,IF(E2="办公",项目基本情况!C37,IF(E2="住宅",项目基本情况!D37,项目基本情况!E37)))</f>
        <v>六级</v>
      </c>
      <c r="H2" s="2716" t="s">
        <v>2812</v>
      </c>
      <c r="I2" s="2718" t="str">
        <f>IF(E2="商业",项目基本情况!B38,IF(E2="办公",项目基本情况!C38,IF(E2="住宅",项目基本情况!D38,项目基本情况!E38)))</f>
        <v>Ⅵ-21</v>
      </c>
      <c r="J2" s="2719"/>
      <c r="K2" s="1370"/>
      <c r="L2" s="2720" t="s">
        <v>2813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34577</v>
      </c>
      <c r="U2" s="1603"/>
      <c r="V2" s="1602">
        <f ca="1">ROUND(T2*U2/10000,0)</f>
        <v>0</v>
      </c>
      <c r="W2" s="1606"/>
      <c r="X2" s="1606"/>
      <c r="Y2" s="1606"/>
      <c r="Z2" s="1606"/>
      <c r="AA2" s="1606"/>
      <c r="AB2" s="1606"/>
      <c r="AC2" s="1607"/>
      <c r="AD2" s="1608"/>
      <c r="AE2" s="1608"/>
      <c r="AF2" s="1608"/>
      <c r="AG2" s="1608"/>
      <c r="AH2" s="1608"/>
      <c r="AI2" s="1608"/>
      <c r="AJ2" s="1609"/>
    </row>
    <row r="3" spans="1:36" ht="25.5">
      <c r="A3" s="247" t="s">
        <v>2814</v>
      </c>
      <c r="B3" s="248">
        <f ca="1">ROUND(B2*10000/D1,0)</f>
        <v>9288</v>
      </c>
      <c r="C3" s="2715" t="s">
        <v>2815</v>
      </c>
      <c r="D3" s="2716" t="s">
        <v>2816</v>
      </c>
      <c r="E3" s="2721" t="s">
        <v>3133</v>
      </c>
      <c r="F3" s="2722" t="s">
        <v>3134</v>
      </c>
      <c r="G3" s="916">
        <f>IF(F3="宗地容积率",'数据-汇总表'!I4,IF(F3="估价对象容积率",'数据-汇总表'!I6,'数据-汇总表'!I7))</f>
        <v>2.8</v>
      </c>
      <c r="H3" s="198" t="s">
        <v>2817</v>
      </c>
      <c r="I3" s="944"/>
      <c r="J3" s="2719" t="s">
        <v>2818</v>
      </c>
      <c r="K3" s="1370"/>
      <c r="L3" s="2720" t="s">
        <v>2819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24820</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536"/>
      <c r="B4" s="3537"/>
      <c r="C4" s="3537"/>
      <c r="D4" s="3538"/>
      <c r="E4" s="3538"/>
      <c r="F4" s="3538"/>
      <c r="G4" s="3538"/>
      <c r="H4" s="3538"/>
      <c r="I4" s="3538"/>
      <c r="J4" s="3539"/>
      <c r="K4" s="1370"/>
      <c r="L4" s="2720" t="s">
        <v>2820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20024</v>
      </c>
      <c r="U4" s="1603"/>
      <c r="V4" s="1602">
        <f t="shared" ca="1" si="1"/>
        <v>0</v>
      </c>
      <c r="W4" s="1606"/>
      <c r="X4" s="1606"/>
      <c r="Y4" s="1606"/>
      <c r="Z4" s="1606"/>
      <c r="AA4" s="1606"/>
      <c r="AB4" s="1606"/>
      <c r="AC4" s="1607"/>
      <c r="AD4" s="1608"/>
      <c r="AE4" s="1608"/>
      <c r="AF4" s="1608"/>
      <c r="AG4" s="1608"/>
      <c r="AH4" s="1608"/>
      <c r="AI4" s="1608"/>
      <c r="AJ4" s="1609"/>
    </row>
    <row r="5" spans="1:36" s="2732" customFormat="1" ht="15.75" thickBot="1">
      <c r="A5" s="2723" t="s">
        <v>807</v>
      </c>
      <c r="B5" s="2724" t="s">
        <v>2821</v>
      </c>
      <c r="C5" s="917">
        <f>ROUND(IF(E2="商业",C6*C7+C16,(IF(E2="住宅",C6*C12+C16,C6+C16))),0)</f>
        <v>9950</v>
      </c>
      <c r="D5" s="1779">
        <f>ROUND(C6+C16,0)</f>
        <v>9950</v>
      </c>
      <c r="E5" s="1779"/>
      <c r="F5" s="2725"/>
      <c r="G5" s="2726"/>
      <c r="H5" s="2726"/>
      <c r="I5" s="2726"/>
      <c r="J5" s="2727"/>
      <c r="K5" s="2728"/>
      <c r="L5" s="2720" t="s">
        <v>2822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16066</v>
      </c>
      <c r="U5" s="1603"/>
      <c r="V5" s="1602">
        <f t="shared" ca="1" si="1"/>
        <v>0</v>
      </c>
      <c r="W5" s="1606"/>
      <c r="X5" s="1606"/>
      <c r="Y5" s="1606"/>
      <c r="Z5" s="1606"/>
      <c r="AA5" s="1606"/>
      <c r="AB5" s="1606"/>
      <c r="AC5" s="2729"/>
      <c r="AD5" s="2730"/>
      <c r="AE5" s="2730"/>
      <c r="AF5" s="2730"/>
      <c r="AG5" s="2730"/>
      <c r="AH5" s="2730"/>
      <c r="AI5" s="2730"/>
      <c r="AJ5" s="2731"/>
    </row>
    <row r="6" spans="1:36" ht="15.75" thickBot="1">
      <c r="A6" s="2733" t="s">
        <v>2823</v>
      </c>
      <c r="B6" s="2734" t="s">
        <v>2824</v>
      </c>
      <c r="C6" s="918">
        <f>SUMIF(L1:L12,G2,M1:M12)</f>
        <v>9950</v>
      </c>
      <c r="D6" s="2735" t="s">
        <v>2825</v>
      </c>
      <c r="E6" s="2736"/>
      <c r="F6" s="2736"/>
      <c r="G6" s="2737"/>
      <c r="H6" s="2737"/>
      <c r="I6" s="2737"/>
      <c r="J6" s="2738"/>
      <c r="K6" s="1834"/>
      <c r="L6" s="2720" t="s">
        <v>2826</v>
      </c>
      <c r="M6" s="1081">
        <f>SUMPRODUCT((区片价!B110:B157=I2)*(区片价!C3:F3=E2)*(区片价!C110:F157))</f>
        <v>9950</v>
      </c>
      <c r="N6" s="1083">
        <f>SUMPRODUCT((因素修正幅度!B110:B157=I2)*(因素修正幅度!C3:F3=E2)*(因素修正幅度!C110:F157))</f>
        <v>0.122</v>
      </c>
      <c r="O6" s="1370"/>
      <c r="P6" s="1370"/>
      <c r="Q6" s="1370"/>
      <c r="R6" s="1602">
        <v>5</v>
      </c>
      <c r="S6" s="1602">
        <f>ROUND(IF(G3&gt;1,IF(R6&lt;7,SUMPRODUCT((B93:B98=R6)*(C92:N92=G2)*(C93:N98)),SUMIF(C92:N92,G2,C100:N100)),IF(R6&lt;7,SUMPRODUCT((B102:B107=R6)*(C92:N92=G2)*(C102:N107)),SUMIF(C92:N92,G2,C109:N109))),4)</f>
        <v>0.73709999999999998</v>
      </c>
      <c r="T6" s="1602">
        <f t="shared" ca="1" si="0"/>
        <v>13681</v>
      </c>
      <c r="U6" s="1603"/>
      <c r="V6" s="1602">
        <f t="shared" ca="1" si="1"/>
        <v>0</v>
      </c>
      <c r="W6" s="1606"/>
      <c r="X6" s="1606"/>
      <c r="Y6" s="1606"/>
      <c r="Z6" s="1606"/>
      <c r="AA6" s="1606"/>
      <c r="AB6" s="1606"/>
      <c r="AC6" s="2729"/>
      <c r="AD6" s="2730"/>
      <c r="AE6" s="2730"/>
      <c r="AF6" s="2730"/>
      <c r="AG6" s="2730"/>
      <c r="AH6" s="2730"/>
      <c r="AI6" s="2730"/>
      <c r="AJ6" s="2731"/>
    </row>
    <row r="7" spans="1:36" ht="24">
      <c r="A7" s="3540" t="str">
        <f>IF(E2="商业",IF(C8="不临58条商业街","",2),"")</f>
        <v/>
      </c>
      <c r="B7" s="2739" t="s">
        <v>2827</v>
      </c>
      <c r="C7" s="919" t="e">
        <f>IF(C8="不临58条商业街",1,ROUND(1+(1.6*E8+1.2*E9+0.8*E10+0.4*E11)*C9,4))</f>
        <v>#DIV/0!</v>
      </c>
      <c r="D7" s="2740" t="s">
        <v>2828</v>
      </c>
      <c r="E7" s="945"/>
      <c r="F7" s="2741"/>
      <c r="G7" s="2742"/>
      <c r="H7" s="2742"/>
      <c r="I7" s="2742"/>
      <c r="J7" s="2743"/>
      <c r="K7" s="1834"/>
      <c r="L7" s="2720" t="s">
        <v>2829</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12031</v>
      </c>
      <c r="U7" s="1603"/>
      <c r="V7" s="1602">
        <f t="shared" ca="1" si="1"/>
        <v>0</v>
      </c>
      <c r="W7" s="1808" t="s">
        <v>2830</v>
      </c>
      <c r="X7" s="1604" t="str">
        <f>G2</f>
        <v>六级</v>
      </c>
      <c r="Y7" s="1604" t="s">
        <v>2831</v>
      </c>
      <c r="Z7" s="1605">
        <f>G3</f>
        <v>2.8</v>
      </c>
      <c r="AA7" s="1606"/>
      <c r="AB7" s="1606"/>
      <c r="AC7" s="1607"/>
      <c r="AD7" s="1608"/>
      <c r="AE7" s="1608"/>
      <c r="AF7" s="1608"/>
      <c r="AG7" s="1608"/>
      <c r="AH7" s="1608"/>
      <c r="AI7" s="1608"/>
      <c r="AJ7" s="1609"/>
    </row>
    <row r="8" spans="1:36" ht="15">
      <c r="A8" s="3541"/>
      <c r="B8" s="198" t="s">
        <v>2832</v>
      </c>
      <c r="C8" s="2744"/>
      <c r="D8" s="920" t="s">
        <v>139</v>
      </c>
      <c r="E8" s="921" t="e">
        <f>ROUND(C11/E7,4)</f>
        <v>#DIV/0!</v>
      </c>
      <c r="F8" s="2745" t="s">
        <v>2833</v>
      </c>
      <c r="G8" s="2746"/>
      <c r="H8" s="2746"/>
      <c r="I8" s="2746"/>
      <c r="J8" s="2747"/>
      <c r="K8" s="1370"/>
      <c r="L8" s="2720" t="s">
        <v>2834</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533" t="s">
        <v>2835</v>
      </c>
      <c r="X8" s="3534"/>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541"/>
      <c r="B9" s="198" t="s">
        <v>2848</v>
      </c>
      <c r="C9" s="922">
        <f>SUMIF(修正!C59:C119,C8,修正!E59:E119)</f>
        <v>0</v>
      </c>
      <c r="D9" s="200" t="s">
        <v>140</v>
      </c>
      <c r="E9" s="200" t="e">
        <f>ROUND(C11/E7,4)</f>
        <v>#DIV/0!</v>
      </c>
      <c r="F9" s="2745" t="s">
        <v>2849</v>
      </c>
      <c r="G9" s="2746"/>
      <c r="H9" s="2746"/>
      <c r="I9" s="2746"/>
      <c r="J9" s="2747"/>
      <c r="K9" s="1370"/>
      <c r="L9" s="2720"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535" t="s">
        <v>2851</v>
      </c>
      <c r="X9" s="1611" t="s">
        <v>2852</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541"/>
      <c r="B10" s="198" t="s">
        <v>2853</v>
      </c>
      <c r="C10" s="200">
        <f>SUMIF(修正!C59:C119,C8,修正!F59:F119)</f>
        <v>0</v>
      </c>
      <c r="D10" s="200" t="s">
        <v>141</v>
      </c>
      <c r="E10" s="200" t="e">
        <f>ROUND(C11/E7,4)</f>
        <v>#DIV/0!</v>
      </c>
      <c r="F10" s="2745" t="s">
        <v>2854</v>
      </c>
      <c r="G10" s="2746"/>
      <c r="H10" s="2746"/>
      <c r="I10" s="2746"/>
      <c r="J10" s="2747"/>
      <c r="K10" s="1370"/>
      <c r="L10" s="2720" t="s">
        <v>2855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53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541"/>
      <c r="B11" s="2748" t="s">
        <v>2856</v>
      </c>
      <c r="C11" s="923">
        <f>C10/4</f>
        <v>0</v>
      </c>
      <c r="D11" s="923" t="s">
        <v>142</v>
      </c>
      <c r="E11" s="923" t="e">
        <f>ROUND(C11/E7,4)</f>
        <v>#DIV/0!</v>
      </c>
      <c r="F11" s="2749" t="s">
        <v>2857</v>
      </c>
      <c r="G11" s="2750"/>
      <c r="H11" s="2750"/>
      <c r="I11" s="2750"/>
      <c r="J11" s="2751"/>
      <c r="K11" s="1370"/>
      <c r="L11" s="2720"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535" t="s">
        <v>2859</v>
      </c>
      <c r="X11" s="1614" t="s">
        <v>2860</v>
      </c>
      <c r="Y11" s="1615">
        <f>$G$3</f>
        <v>2.8</v>
      </c>
      <c r="Z11" s="1615">
        <f t="shared" ref="Z11:AJ11" si="3">$G$3</f>
        <v>2.8</v>
      </c>
      <c r="AA11" s="1615">
        <f t="shared" si="3"/>
        <v>2.8</v>
      </c>
      <c r="AB11" s="1615">
        <f t="shared" si="3"/>
        <v>2.8</v>
      </c>
      <c r="AC11" s="1615">
        <f t="shared" si="3"/>
        <v>2.8</v>
      </c>
      <c r="AD11" s="1615">
        <f t="shared" si="3"/>
        <v>2.8</v>
      </c>
      <c r="AE11" s="1615">
        <f t="shared" si="3"/>
        <v>2.8</v>
      </c>
      <c r="AF11" s="1615">
        <f t="shared" si="3"/>
        <v>2.8</v>
      </c>
      <c r="AG11" s="1615">
        <f t="shared" si="3"/>
        <v>2.8</v>
      </c>
      <c r="AH11" s="1615">
        <f t="shared" si="3"/>
        <v>2.8</v>
      </c>
      <c r="AI11" s="1615">
        <f t="shared" si="3"/>
        <v>2.8</v>
      </c>
      <c r="AJ11" s="1615">
        <f t="shared" si="3"/>
        <v>2.8</v>
      </c>
    </row>
    <row r="12" spans="1:36" ht="25.5" thickBot="1">
      <c r="A12" s="3540" t="s">
        <v>2861</v>
      </c>
      <c r="B12" s="2752" t="s">
        <v>2862</v>
      </c>
      <c r="C12" s="919">
        <f>ROUND(C15*D15*E15*F15*G15*H15*I15*J15,4)</f>
        <v>1</v>
      </c>
      <c r="D12" s="2753" t="s">
        <v>2863</v>
      </c>
      <c r="E12" s="2754"/>
      <c r="F12" s="2754"/>
      <c r="G12" s="2755"/>
      <c r="H12" s="2755"/>
      <c r="I12" s="2755"/>
      <c r="J12" s="2756"/>
      <c r="K12" s="1370"/>
      <c r="L12" s="2757"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535"/>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542"/>
      <c r="B13" s="2758" t="s">
        <v>2866</v>
      </c>
      <c r="C13" s="2759" t="s">
        <v>2867</v>
      </c>
      <c r="D13" s="1800" t="s">
        <v>2868</v>
      </c>
      <c r="E13" s="1800" t="s">
        <v>2869</v>
      </c>
      <c r="F13" s="30" t="s">
        <v>2870</v>
      </c>
      <c r="G13" s="2760" t="s">
        <v>2871</v>
      </c>
      <c r="H13" s="2760" t="s">
        <v>2871</v>
      </c>
      <c r="I13" s="2760" t="s">
        <v>2871</v>
      </c>
      <c r="J13" s="2761" t="s">
        <v>2871</v>
      </c>
      <c r="K13" s="1370"/>
      <c r="L13" s="1370"/>
      <c r="M13" s="1370"/>
      <c r="N13" s="1370"/>
      <c r="O13" s="1370"/>
      <c r="P13" s="1370"/>
      <c r="Q13" s="1370"/>
      <c r="R13" s="1602">
        <v>12</v>
      </c>
      <c r="S13" s="1603"/>
      <c r="T13" s="1602">
        <f t="shared" ca="1" si="0"/>
        <v>0</v>
      </c>
      <c r="U13" s="1603"/>
      <c r="V13" s="1602">
        <f t="shared" ca="1" si="1"/>
        <v>0</v>
      </c>
      <c r="W13" s="3535"/>
      <c r="X13" s="1616"/>
      <c r="Y13" s="1613">
        <f>(-0.163*(Y12^2)-0.59*Y12+7617)*(10^(-4))/Y11</f>
        <v>0.27203571428571433</v>
      </c>
      <c r="Z13" s="1613">
        <f t="shared" ref="Z13:AJ13" si="5">(-0.163*(Z12^2)-0.59*Z12+7617)*(10^(-4))/Z11</f>
        <v>0.27203571428571433</v>
      </c>
      <c r="AA13" s="1613">
        <f t="shared" si="5"/>
        <v>0.27203571428571433</v>
      </c>
      <c r="AB13" s="1613">
        <f t="shared" si="5"/>
        <v>0.27203571428571433</v>
      </c>
      <c r="AC13" s="1613">
        <f t="shared" si="5"/>
        <v>0.27203571428571433</v>
      </c>
      <c r="AD13" s="1613">
        <f t="shared" si="5"/>
        <v>0.27203571428571433</v>
      </c>
      <c r="AE13" s="1613">
        <f t="shared" si="5"/>
        <v>0.27203571428571433</v>
      </c>
      <c r="AF13" s="1613">
        <f t="shared" si="5"/>
        <v>0.27203571428571433</v>
      </c>
      <c r="AG13" s="1613">
        <f t="shared" si="5"/>
        <v>0.27203571428571433</v>
      </c>
      <c r="AH13" s="1613">
        <f t="shared" si="5"/>
        <v>0.27203571428571433</v>
      </c>
      <c r="AI13" s="1613">
        <f t="shared" si="5"/>
        <v>0.27203571428571433</v>
      </c>
      <c r="AJ13" s="1613">
        <f t="shared" si="5"/>
        <v>0.27203571428571433</v>
      </c>
    </row>
    <row r="14" spans="1:36" ht="15">
      <c r="A14" s="3542"/>
      <c r="B14" s="2762"/>
      <c r="C14" s="2763"/>
      <c r="D14" s="2764"/>
      <c r="E14" s="2764"/>
      <c r="F14" s="2765"/>
      <c r="G14" s="2766" t="s">
        <v>2872</v>
      </c>
      <c r="H14" s="2767"/>
      <c r="I14" s="2768"/>
      <c r="J14" s="276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543"/>
      <c r="B15" s="2770" t="s">
        <v>2873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540" t="s">
        <v>2878</v>
      </c>
      <c r="B16" s="2739" t="s">
        <v>2879</v>
      </c>
      <c r="C16" s="2926">
        <f>ROUND(IF(F17="与级别开发程度一致",0,(G17-E17)/C17),0)</f>
        <v>0</v>
      </c>
      <c r="D16" s="3554" t="s">
        <v>2883</v>
      </c>
      <c r="E16" s="3555"/>
      <c r="F16" s="3554" t="s">
        <v>2880</v>
      </c>
      <c r="G16" s="3555"/>
      <c r="H16" s="2773"/>
      <c r="I16" s="2773"/>
      <c r="J16" s="2930"/>
      <c r="K16" s="2773"/>
      <c r="L16" s="2773"/>
      <c r="M16" s="2773"/>
      <c r="N16" s="2773"/>
      <c r="O16" s="2774"/>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544"/>
      <c r="B17" s="2937" t="s">
        <v>2882</v>
      </c>
      <c r="C17" s="2938">
        <f>SUMPRODUCT((修正!A2:A5=E2)*(修正!B1:M1=G2)*(修正!B2:M5))</f>
        <v>2.5</v>
      </c>
      <c r="D17" s="229" t="str">
        <f>IF(OR(G2="八级",G2="九级",G2="十级",G2="十一级",G2="十二级"),"五通一平","七通一平")</f>
        <v>七通一平</v>
      </c>
      <c r="E17" s="2927">
        <f>SUMPRODUCT((修正!B1:M1=G2)*(修正!B15:M15))</f>
        <v>300</v>
      </c>
      <c r="F17" s="2928" t="s">
        <v>3135</v>
      </c>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1" t="s">
        <v>808</v>
      </c>
      <c r="B18" s="2932" t="s">
        <v>2885</v>
      </c>
      <c r="C18" s="2933">
        <f>SUMIF(修正!C18:C39,E3,修正!E18:E39)</f>
        <v>1</v>
      </c>
      <c r="D18" s="2934"/>
      <c r="E18" s="2935"/>
      <c r="F18" s="2935"/>
      <c r="G18" s="2935"/>
      <c r="H18" s="2935"/>
      <c r="I18" s="2935"/>
      <c r="J18" s="2936"/>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9.25" thickBot="1">
      <c r="A19" s="2778" t="s">
        <v>809</v>
      </c>
      <c r="B19" s="2779" t="s">
        <v>2886</v>
      </c>
      <c r="C19" s="3208">
        <v>1.7712000000000001</v>
      </c>
      <c r="D19" s="2783" t="s">
        <v>2887</v>
      </c>
      <c r="E19" s="925">
        <v>41640</v>
      </c>
      <c r="F19" s="2783" t="s">
        <v>2888</v>
      </c>
      <c r="G19" s="926">
        <f>'数据-取费表'!B2</f>
        <v>44425</v>
      </c>
      <c r="H19" s="2784" t="s">
        <v>3136</v>
      </c>
      <c r="I19" s="927" t="str">
        <f>IF(H19="季度增幅（自定义）",SUMIF(N21:N24,E2,O21:O24),"")</f>
        <v/>
      </c>
      <c r="J19" s="2781"/>
      <c r="K19" s="1377"/>
      <c r="L19" s="2785" t="s">
        <v>2889</v>
      </c>
      <c r="M19" s="1734">
        <f>ROUND(SUMIF(地价!B2:F2,E2,地价!B31:F31),0)</f>
        <v>423</v>
      </c>
      <c r="N19" s="2786" t="s">
        <v>2890</v>
      </c>
      <c r="O19" s="928">
        <f>ROUNDDOWN(DATEDIF(E19,G19,"M")/3,0)</f>
        <v>30</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810</v>
      </c>
      <c r="B20" s="2791" t="s">
        <v>2891</v>
      </c>
      <c r="C20" s="929">
        <f ca="1">ROUND(POWER(1+G20,J20-I20)*(POWER(1+G20,I20)-1)/(POWER(1+G20,J20)-1),4)</f>
        <v>1</v>
      </c>
      <c r="D20" s="2792" t="s">
        <v>2892</v>
      </c>
      <c r="E20" s="1760">
        <f ca="1">存贷款利率!D4/100</f>
        <v>4.3499999999999997E-2</v>
      </c>
      <c r="F20" s="2792" t="s">
        <v>2884</v>
      </c>
      <c r="G20" s="934">
        <f ca="1">SUMIF(M26:P26,E2,M28:P28)</f>
        <v>0.05</v>
      </c>
      <c r="H20" s="2792" t="s">
        <v>2893</v>
      </c>
      <c r="I20" s="935">
        <f>SUMIF('数据-取费表'!C6:C15,E2,'数据-取费表'!F6:F15)/COUNTIF('数据-取费表'!C6:C15,E2)</f>
        <v>70</v>
      </c>
      <c r="J20" s="936">
        <f>IF(E2="住宅",70,IF(E2="商业",40,50))</f>
        <v>70</v>
      </c>
      <c r="K20" s="1377"/>
      <c r="L20" s="2793" t="s">
        <v>2894</v>
      </c>
      <c r="M20" s="1735">
        <f>ROUND(SUMPRODUCT((地价!A4:A31=YEAR(G19)&amp;"-"&amp;ROUNDUP(MONTH(G19)/3,0))*(地价!B2:F2=E2)*(地价!B4:F31)),0)</f>
        <v>0</v>
      </c>
      <c r="N20" s="2794" t="s">
        <v>2895</v>
      </c>
      <c r="O20" s="2795" t="s">
        <v>2896</v>
      </c>
      <c r="P20" s="2796" t="s">
        <v>2897</v>
      </c>
      <c r="R20" s="1376"/>
      <c r="S20" s="1376"/>
      <c r="T20" s="1371"/>
      <c r="U20" s="1371"/>
      <c r="V20" s="1371"/>
      <c r="W20" s="1370"/>
      <c r="X20" s="1370"/>
      <c r="Y20" s="1370"/>
      <c r="Z20" s="1377"/>
      <c r="AA20" s="1378"/>
      <c r="AB20" s="1378"/>
      <c r="AC20" s="1378"/>
      <c r="AD20" s="1378"/>
      <c r="AE20" s="1378"/>
      <c r="AF20" s="1378"/>
    </row>
    <row r="21" spans="1:37" s="2732" customFormat="1" ht="15">
      <c r="A21" s="2797" t="s">
        <v>811</v>
      </c>
      <c r="B21" s="2798" t="s">
        <v>3137</v>
      </c>
      <c r="C21" s="937">
        <f>IF(B21="容积率修正",IF(G3&lt;=10,D22,J22),C23)</f>
        <v>0.97060000000000002</v>
      </c>
      <c r="D21" s="2799"/>
      <c r="E21" s="2799"/>
      <c r="F21" s="2799"/>
      <c r="G21" s="2799"/>
      <c r="H21" s="2799"/>
      <c r="I21" s="2799"/>
      <c r="J21" s="2800"/>
      <c r="K21" s="1377"/>
      <c r="N21" s="2801" t="s">
        <v>2898</v>
      </c>
      <c r="O21" s="1561"/>
      <c r="P21" s="1562">
        <f>SUMPRODUCT((地价!A3:A31=YEAR(G19)&amp;"-"&amp;ROUNDUP(MONTH(G19)/3,0))*(地价!AD2:AH2=N21)*(地价!AD3:AH31))</f>
        <v>0</v>
      </c>
      <c r="R21" s="1376"/>
      <c r="S21" s="1376"/>
      <c r="T21" s="1371"/>
      <c r="U21" s="1371"/>
      <c r="V21" s="1371"/>
      <c r="W21" s="1370"/>
      <c r="X21" s="1370"/>
      <c r="Y21" s="1370"/>
      <c r="Z21" s="1377"/>
      <c r="AA21" s="1378"/>
      <c r="AB21" s="1378"/>
      <c r="AC21" s="1378"/>
      <c r="AD21" s="1378"/>
      <c r="AE21" s="1378"/>
      <c r="AF21" s="1378"/>
    </row>
    <row r="22" spans="1:37" s="2732" customFormat="1" ht="14.25">
      <c r="A22" s="2658" t="s">
        <v>2899</v>
      </c>
      <c r="B22" s="2802" t="s">
        <v>2900</v>
      </c>
      <c r="C22" s="1802" t="s">
        <v>2901</v>
      </c>
      <c r="D22" s="1802">
        <f>IF(E22=G22,F22,IF(G3&lt;=10,ROUND(F22+(H22-F22)*(G3-E22)/(G22-E22),4),"——"))</f>
        <v>0.97060000000000002</v>
      </c>
      <c r="E22" s="916">
        <f>ROUNDDOWN(G3,1)</f>
        <v>2.8</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0.97060000000000002</v>
      </c>
      <c r="G22" s="916">
        <f>ROUNDUP(G3,1)</f>
        <v>2.8</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0.97060000000000002</v>
      </c>
      <c r="I22" s="1802" t="s">
        <v>155</v>
      </c>
      <c r="J22" s="938" t="str">
        <f>IF(G3&gt;10,D113,"——")</f>
        <v>——</v>
      </c>
      <c r="K22" s="1377"/>
      <c r="N22" s="2801" t="s">
        <v>2902</v>
      </c>
      <c r="O22" s="1561"/>
      <c r="P22" s="1562">
        <f>SUMPRODUCT((地价!A3:A31=YEAR(G19)&amp;"-"&amp;ROUNDUP(MONTH(G19)/3,0))*(地价!AD2:AH2=N22)*(地价!AD3:AH31))</f>
        <v>0</v>
      </c>
      <c r="R22" s="1376"/>
      <c r="S22" s="1376"/>
      <c r="T22" s="1371"/>
      <c r="U22" s="1371"/>
      <c r="V22" s="1371"/>
      <c r="W22" s="1370"/>
      <c r="X22" s="1370"/>
      <c r="Y22" s="1370"/>
      <c r="Z22" s="1377"/>
      <c r="AA22" s="1378"/>
      <c r="AB22" s="1378"/>
      <c r="AC22" s="1378"/>
      <c r="AD22" s="1378"/>
      <c r="AE22" s="1378"/>
      <c r="AF22" s="1378"/>
    </row>
    <row r="23" spans="1:37" ht="27.75" thickBot="1">
      <c r="A23" s="2658" t="s">
        <v>2903</v>
      </c>
      <c r="B23" s="2803" t="s">
        <v>2904</v>
      </c>
      <c r="C23" s="1013">
        <f>ROUND(IF(G3&gt;1,IF(I3&lt;7,SUMPRODUCT((B93:B98=I3)*(C92:N92=G2)*(C93:N98)),SUMIF(C92:N92,G2,C100:N100)),IF(I3&lt;7,SUMPRODUCT((B102:B107=I3)*(C92:N92=G2)*(C102:N107)),SUMIF(C92:N92,G2,C109:N109))),4)</f>
        <v>0</v>
      </c>
      <c r="D23" s="2767"/>
      <c r="E23" s="2767"/>
      <c r="F23" s="2804"/>
      <c r="G23" s="2805"/>
      <c r="H23" s="2806"/>
      <c r="I23" s="2807"/>
      <c r="J23" s="2808"/>
      <c r="K23" s="1370"/>
      <c r="N23" s="2801" t="s">
        <v>2905</v>
      </c>
      <c r="O23" s="1561"/>
      <c r="P23" s="1562">
        <f>SUMPRODUCT((地价!A3:A31=YEAR(G19)&amp;"-"&amp;ROUNDUP(MONTH(G19)/3,0))*(地价!AD2:AH2=N23)*(地价!AD3:AH31))</f>
        <v>0</v>
      </c>
      <c r="R23" s="1376"/>
      <c r="S23" s="1376"/>
      <c r="T23" s="1371"/>
      <c r="U23" s="1371"/>
      <c r="V23" s="1371"/>
      <c r="W23" s="1370"/>
      <c r="X23" s="1370"/>
      <c r="Y23" s="1370"/>
      <c r="Z23" s="1377"/>
      <c r="AA23" s="1378"/>
      <c r="AB23" s="1378"/>
      <c r="AC23" s="1378"/>
      <c r="AD23" s="1378"/>
      <c r="AK23" s="2782"/>
    </row>
    <row r="24" spans="1:37" s="2732" customFormat="1" ht="15.75" thickBot="1">
      <c r="A24" s="2790" t="s">
        <v>812</v>
      </c>
      <c r="B24" s="2779" t="s">
        <v>2906</v>
      </c>
      <c r="C24" s="924">
        <f>SUMIF(A45:A88,E2,B45:B88)</f>
        <v>1.0531999999999999</v>
      </c>
      <c r="D24" s="2780"/>
      <c r="E24" s="2809"/>
      <c r="F24" s="2809"/>
      <c r="G24" s="2809"/>
      <c r="H24" s="2809"/>
      <c r="I24" s="2809"/>
      <c r="J24" s="2810"/>
      <c r="K24" s="1377"/>
      <c r="N24" s="2811" t="s">
        <v>2907</v>
      </c>
      <c r="O24" s="1563"/>
      <c r="P24" s="1564">
        <f>SUMPRODUCT((地价!A3:A31=YEAR(G19)&amp;"-"&amp;ROUNDUP(MONTH(G19)/3,0))*(地价!AD2:AH2=N24)*(地价!AD3:AH31))</f>
        <v>0</v>
      </c>
      <c r="R24" s="1376"/>
      <c r="S24" s="1376"/>
      <c r="T24" s="1371"/>
      <c r="U24" s="1371"/>
      <c r="V24" s="1371"/>
      <c r="W24" s="1370"/>
      <c r="X24" s="1370"/>
      <c r="Y24" s="1370"/>
      <c r="Z24" s="1377"/>
      <c r="AA24" s="1378"/>
      <c r="AB24" s="1378"/>
      <c r="AC24" s="1378"/>
      <c r="AD24" s="1378"/>
      <c r="AE24" s="1378"/>
      <c r="AF24" s="1378"/>
    </row>
    <row r="25" spans="1:37" ht="15.75" thickBot="1">
      <c r="A25" s="2790" t="s">
        <v>813</v>
      </c>
      <c r="B25" s="2812" t="s">
        <v>2908</v>
      </c>
      <c r="C25" s="930"/>
      <c r="D25" s="2742"/>
      <c r="E25" s="2742"/>
      <c r="F25" s="2813"/>
      <c r="G25" s="2742"/>
      <c r="H25" s="2742"/>
      <c r="I25" s="2742"/>
      <c r="J25" s="2743"/>
      <c r="K25" s="1370"/>
      <c r="N25" s="2814" t="s">
        <v>2909</v>
      </c>
      <c r="O25" s="1565"/>
      <c r="P25" s="1564">
        <f>SUMPRODUCT((地价!A3:A31=YEAR(G19)&amp;"-"&amp;ROUNDUP(MONTH(G19)/3,0))*(地价!AD2:AH2=N25)*(地价!AD3:AH31))</f>
        <v>0</v>
      </c>
      <c r="R25" s="1376"/>
      <c r="S25" s="1376"/>
      <c r="T25" s="1371"/>
      <c r="U25" s="1371"/>
      <c r="V25" s="1371"/>
      <c r="W25" s="1370"/>
      <c r="X25" s="1370"/>
      <c r="Y25" s="1370"/>
      <c r="Z25" s="1377"/>
      <c r="AA25" s="1378"/>
      <c r="AB25" s="1378"/>
      <c r="AC25" s="1378"/>
      <c r="AD25" s="1378"/>
    </row>
    <row r="26" spans="1:37" ht="15">
      <c r="A26" s="2815"/>
      <c r="B26" s="2802" t="s">
        <v>2910</v>
      </c>
      <c r="C26" s="206">
        <f ca="1">E29+SUM(E33:E39)</f>
        <v>24306</v>
      </c>
      <c r="D26" s="2816"/>
      <c r="E26" s="2767"/>
      <c r="F26" s="2817"/>
      <c r="G26" s="2767"/>
      <c r="H26" s="2767"/>
      <c r="I26" s="2767"/>
      <c r="J26" s="2818"/>
      <c r="K26" s="1370"/>
      <c r="L26" s="2771" t="s">
        <v>2810</v>
      </c>
      <c r="M26" s="920" t="s">
        <v>2874</v>
      </c>
      <c r="N26" s="920" t="s">
        <v>2875</v>
      </c>
      <c r="O26" s="920" t="s">
        <v>2876</v>
      </c>
      <c r="P26" s="2772" t="s">
        <v>2877</v>
      </c>
      <c r="R26" s="1376"/>
      <c r="S26" s="1376"/>
      <c r="T26" s="1371"/>
      <c r="U26" s="1371"/>
      <c r="V26" s="1371"/>
      <c r="W26" s="1370"/>
      <c r="X26" s="1370"/>
      <c r="Y26" s="1370"/>
      <c r="Z26" s="1377"/>
      <c r="AA26" s="1378"/>
      <c r="AB26" s="1378"/>
      <c r="AC26" s="1378"/>
      <c r="AD26" s="1378"/>
    </row>
    <row r="27" spans="1:37" ht="15.75" thickBot="1">
      <c r="A27" s="2815"/>
      <c r="B27" s="2819" t="s">
        <v>2911</v>
      </c>
      <c r="C27" s="931">
        <f ca="1">E30+SUM(I33:I39)</f>
        <v>1594</v>
      </c>
      <c r="D27" s="2820"/>
      <c r="E27" s="2821"/>
      <c r="F27" s="2822"/>
      <c r="G27" s="2821"/>
      <c r="H27" s="2821"/>
      <c r="I27" s="2821"/>
      <c r="J27" s="2823"/>
      <c r="K27" s="1370"/>
      <c r="L27" s="2775"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2912</v>
      </c>
      <c r="C28" s="2826" t="s">
        <v>2913</v>
      </c>
      <c r="D28" s="2826" t="s">
        <v>2914</v>
      </c>
      <c r="E28" s="2827" t="s">
        <v>2915</v>
      </c>
      <c r="F28" s="2828"/>
      <c r="G28" s="2755"/>
      <c r="H28" s="2755"/>
      <c r="I28" s="2755"/>
      <c r="J28" s="2756"/>
      <c r="K28" s="1370"/>
      <c r="L28" s="2776"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2916</v>
      </c>
      <c r="C29" s="206">
        <f ca="1">ROUND(C5*C18*C19*C20*C21*C24,0)</f>
        <v>18015</v>
      </c>
      <c r="D29" s="2831">
        <f>'数据-汇总表'!F19</f>
        <v>9952.6299999999992</v>
      </c>
      <c r="E29" s="942">
        <f ca="1">ROUND(C29*D29/10000,0)</f>
        <v>17930</v>
      </c>
      <c r="F29" s="2832" t="s">
        <v>2917</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2918</v>
      </c>
      <c r="C30" s="229">
        <f ca="1">ROUND(IF(E2="工业",C29*M39,C29*M38),0)</f>
        <v>4504</v>
      </c>
      <c r="D30" s="2837"/>
      <c r="E30" s="942">
        <f ca="1">ROUND(C30*D30/10000,0)</f>
        <v>0</v>
      </c>
      <c r="F30" s="2838" t="s">
        <v>2919</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2920</v>
      </c>
      <c r="C31" s="2843" t="s">
        <v>2921</v>
      </c>
      <c r="D31" s="2755"/>
      <c r="E31" s="2843"/>
      <c r="F31" s="2843"/>
      <c r="G31" s="2753" t="s">
        <v>2922</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2913</v>
      </c>
      <c r="D32" s="498" t="s">
        <v>2914</v>
      </c>
      <c r="E32" s="498" t="s">
        <v>2915</v>
      </c>
      <c r="F32" s="388" t="s">
        <v>2923</v>
      </c>
      <c r="G32" s="2846" t="s">
        <v>2913</v>
      </c>
      <c r="H32" s="2846" t="s">
        <v>2914</v>
      </c>
      <c r="I32" s="2846"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551" t="s">
        <v>2924</v>
      </c>
      <c r="B33" s="2847" t="s">
        <v>2925</v>
      </c>
      <c r="C33" s="206">
        <f ca="1">ROUND(D5*C19*C20*C24*F33,0)</f>
        <v>12993</v>
      </c>
      <c r="D33" s="2831"/>
      <c r="E33" s="200">
        <f ca="1">ROUND(C33*D33/10000,0)</f>
        <v>0</v>
      </c>
      <c r="F33" s="200">
        <f>SUMIF(修正!A45:A56,G2,修正!B45:B56)</f>
        <v>0.7</v>
      </c>
      <c r="G33" s="200">
        <f t="shared" ref="G33" ca="1" si="6">ROUND(IF(E2="工业",C33*$M$39,C33*$M$38),0)</f>
        <v>3248</v>
      </c>
      <c r="H33" s="200">
        <f>D33</f>
        <v>0</v>
      </c>
      <c r="I33" s="200">
        <f ca="1">ROUND(G33*H33/10000,0)</f>
        <v>0</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552"/>
      <c r="B34" s="2759" t="s">
        <v>2926</v>
      </c>
      <c r="C34" s="206">
        <f ca="1">ROUND(D5*C19*C20*C24*F34,0)</f>
        <v>7424</v>
      </c>
      <c r="D34" s="2831"/>
      <c r="E34" s="200">
        <f t="shared" ref="E34:E39" ca="1" si="7">ROUND(C34*D34/10000,0)</f>
        <v>0</v>
      </c>
      <c r="F34" s="200">
        <f>SUMIF(修正!A45:A56,G2,修正!C45:C56)</f>
        <v>0.4</v>
      </c>
      <c r="G34" s="200">
        <f ca="1">ROUND(IF(E2="工业",C34*$M$39,C34*$M$38),0)</f>
        <v>1856</v>
      </c>
      <c r="H34" s="200">
        <f t="shared" ref="H34:H39" si="8">D34</f>
        <v>0</v>
      </c>
      <c r="I34" s="200">
        <f t="shared" ref="I34:I39" ca="1" si="9">ROUND(G34*H34/10000,0)</f>
        <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552"/>
      <c r="B35" s="2759" t="s">
        <v>2927</v>
      </c>
      <c r="C35" s="206">
        <f ca="1">ROUND(D5*C19*C20*C24*F35,0)</f>
        <v>5197</v>
      </c>
      <c r="D35" s="2831"/>
      <c r="E35" s="200">
        <f t="shared" ca="1" si="7"/>
        <v>0</v>
      </c>
      <c r="F35" s="200">
        <f>SUMIF(修正!A45:A56,G2,修正!D45:D56)</f>
        <v>0.28000000000000003</v>
      </c>
      <c r="G35" s="200">
        <f ca="1">ROUND(IF(E2="工业",C35*$M$39,C35*$M$38),0)</f>
        <v>1299</v>
      </c>
      <c r="H35" s="200">
        <f t="shared" si="8"/>
        <v>0</v>
      </c>
      <c r="I35" s="200">
        <f t="shared" ca="1" si="9"/>
        <v>0</v>
      </c>
      <c r="J35" s="2848"/>
      <c r="K35" s="1370"/>
      <c r="L35" s="1370"/>
      <c r="M35" s="1370"/>
      <c r="N35" s="1370"/>
      <c r="O35" s="1370"/>
      <c r="P35" s="1370"/>
      <c r="Q35" s="1370"/>
      <c r="R35" s="1370"/>
      <c r="S35" s="1370"/>
      <c r="T35" s="1370"/>
      <c r="U35" s="1370"/>
      <c r="V35" s="1370"/>
      <c r="W35" s="1370"/>
      <c r="X35" s="1370"/>
      <c r="Y35" s="1370"/>
      <c r="Z35" s="1371"/>
    </row>
    <row r="36" spans="1:37" ht="13.5" thickBot="1">
      <c r="A36" s="3553"/>
      <c r="B36" s="2759" t="s">
        <v>2928</v>
      </c>
      <c r="C36" s="206">
        <f ca="1">ROUND(D5*C19*C20*C24*F36,0)</f>
        <v>4640</v>
      </c>
      <c r="D36" s="2831"/>
      <c r="E36" s="200">
        <f t="shared" ca="1" si="7"/>
        <v>0</v>
      </c>
      <c r="F36" s="200">
        <f>SUMIF(修正!A45:A56,G2,修正!E45:E56)</f>
        <v>0.25</v>
      </c>
      <c r="G36" s="200">
        <f ca="1">ROUND(IF(E2="工业",C36*$M$39,C36*$M$38),0)</f>
        <v>1160</v>
      </c>
      <c r="H36" s="200">
        <f t="shared" si="8"/>
        <v>0</v>
      </c>
      <c r="I36" s="200">
        <f t="shared" ca="1" si="9"/>
        <v>0</v>
      </c>
      <c r="J36" s="2848"/>
      <c r="K36" s="1370"/>
      <c r="L36" s="2713"/>
      <c r="M36" s="2713"/>
      <c r="N36" s="1370"/>
      <c r="O36" s="1370"/>
      <c r="P36" s="1370"/>
      <c r="Q36" s="1370"/>
      <c r="R36" s="1370"/>
      <c r="S36" s="1370"/>
      <c r="T36" s="1370"/>
      <c r="U36" s="1370"/>
      <c r="V36" s="1370"/>
      <c r="W36" s="1370"/>
      <c r="X36" s="1370"/>
      <c r="Y36" s="1370"/>
      <c r="Z36" s="1371"/>
    </row>
    <row r="37" spans="1:37">
      <c r="A37" s="2849"/>
      <c r="B37" s="2759" t="s">
        <v>2929</v>
      </c>
      <c r="C37" s="200">
        <f ca="1">ROUND(D5*C19*C20*C24*F37,0)</f>
        <v>4640</v>
      </c>
      <c r="D37" s="2831"/>
      <c r="E37" s="200">
        <f t="shared" ca="1" si="7"/>
        <v>0</v>
      </c>
      <c r="F37" s="206">
        <f>SUMIF(修正!A45:A56,G2,修正!F45:F56)</f>
        <v>0.25</v>
      </c>
      <c r="G37" s="200">
        <f ca="1">ROUND(IF(E2="工业",C37*$M$39,C37*$M$38),0)</f>
        <v>1160</v>
      </c>
      <c r="H37" s="200">
        <f t="shared" si="8"/>
        <v>0</v>
      </c>
      <c r="I37" s="200">
        <f t="shared" ca="1" si="9"/>
        <v>0</v>
      </c>
      <c r="J37" s="2848"/>
      <c r="K37" s="1370"/>
      <c r="L37" s="2850" t="s">
        <v>2930</v>
      </c>
      <c r="M37" s="2851"/>
      <c r="N37" s="1370"/>
      <c r="O37" s="1370"/>
      <c r="P37" s="1370"/>
      <c r="Q37" s="1370"/>
      <c r="R37" s="1370"/>
      <c r="S37" s="1370"/>
      <c r="T37" s="1370"/>
      <c r="U37" s="1370"/>
      <c r="V37" s="1370"/>
      <c r="W37" s="1370"/>
      <c r="X37" s="1370"/>
      <c r="Y37" s="1370"/>
      <c r="Z37" s="1371"/>
    </row>
    <row r="38" spans="1:37">
      <c r="A38" s="2849"/>
      <c r="B38" s="2759" t="s">
        <v>2931</v>
      </c>
      <c r="C38" s="200">
        <f ca="1">ROUND(D5*C19*C41*C24*F38,0)</f>
        <v>4640</v>
      </c>
      <c r="D38" s="2831">
        <f>ppt数据!I44+ppt数据!I43</f>
        <v>3854.51</v>
      </c>
      <c r="E38" s="200">
        <f t="shared" ca="1" si="7"/>
        <v>1788</v>
      </c>
      <c r="F38" s="206">
        <f>SUMIF(修正!A45:A56,G2,修正!G45:G56)</f>
        <v>0.25</v>
      </c>
      <c r="G38" s="200">
        <f ca="1">ROUND(IF(E2="工业",C38*$M$39,C38*$M$38),0)</f>
        <v>1160</v>
      </c>
      <c r="H38" s="200">
        <f t="shared" si="8"/>
        <v>3854.51</v>
      </c>
      <c r="I38" s="200">
        <f t="shared" ca="1" si="9"/>
        <v>447</v>
      </c>
      <c r="J38" s="2848"/>
      <c r="K38" s="1370"/>
      <c r="L38" s="1879" t="s">
        <v>2932</v>
      </c>
      <c r="M38" s="2852">
        <v>0.25</v>
      </c>
      <c r="N38" s="1370"/>
      <c r="O38" s="1370"/>
      <c r="P38" s="1370"/>
      <c r="Q38" s="1370"/>
      <c r="R38" s="1370"/>
      <c r="S38" s="1370"/>
      <c r="T38" s="1370"/>
      <c r="U38" s="1370"/>
      <c r="V38" s="1370"/>
      <c r="W38" s="1370"/>
      <c r="X38" s="1370"/>
      <c r="Y38" s="1370"/>
      <c r="Z38" s="1371"/>
    </row>
    <row r="39" spans="1:37" ht="13.5" thickBot="1">
      <c r="A39" s="2835"/>
      <c r="B39" s="2853" t="s">
        <v>2933</v>
      </c>
      <c r="C39" s="229">
        <f ca="1">ROUND(D5*C19*C41*C24*F39,0)</f>
        <v>3712</v>
      </c>
      <c r="D39" s="2837">
        <f>ppt数据!I42</f>
        <v>12361.15</v>
      </c>
      <c r="E39" s="229">
        <f t="shared" ca="1" si="7"/>
        <v>4588</v>
      </c>
      <c r="F39" s="932">
        <f>SUMIF(修正!A45:A56,G2,修正!H45:H56)</f>
        <v>0.2</v>
      </c>
      <c r="G39" s="229">
        <f ca="1">ROUND(IF(E2="工业",C39*$M$39,C39*$M$38),0)</f>
        <v>928</v>
      </c>
      <c r="H39" s="229">
        <f t="shared" si="8"/>
        <v>12361.15</v>
      </c>
      <c r="I39" s="229">
        <f t="shared" ca="1" si="9"/>
        <v>1147</v>
      </c>
      <c r="J39" s="2854"/>
      <c r="K39" s="1370"/>
      <c r="L39" s="2855" t="s">
        <v>2877</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4" t="s">
        <v>3041</v>
      </c>
      <c r="C41" s="388">
        <f ca="1">ROUND(POWER(1+E41,H41-G41)*(POWER(1+E41,G41)-1)/(POWER(1+E41,H41)-1),4)</f>
        <v>1</v>
      </c>
      <c r="D41" s="200" t="s">
        <v>2884</v>
      </c>
      <c r="E41" s="2923">
        <f ca="1">G20</f>
        <v>0.05</v>
      </c>
      <c r="F41" s="200" t="s">
        <v>2893</v>
      </c>
      <c r="G41" s="218">
        <v>50</v>
      </c>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2934</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2935</v>
      </c>
      <c r="B46" s="2861">
        <f>1+E48</f>
        <v>1</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2936</v>
      </c>
      <c r="B47" s="1801" t="s">
        <v>2937</v>
      </c>
      <c r="C47" s="1801" t="s">
        <v>2938</v>
      </c>
      <c r="D47" s="1801" t="s">
        <v>2939</v>
      </c>
      <c r="E47" s="819" t="s">
        <v>2940</v>
      </c>
      <c r="F47" s="2865" t="s">
        <v>2941</v>
      </c>
      <c r="G47" s="1801" t="s">
        <v>754</v>
      </c>
      <c r="H47" s="2866" t="s">
        <v>2942</v>
      </c>
      <c r="I47" s="1801" t="s">
        <v>2943</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864" t="s">
        <v>2944</v>
      </c>
      <c r="B48" s="2867" t="str">
        <f>估价对象房地状况!C4</f>
        <v>估价对象位于XX商圈，周边商业氛围成熟，人流量大，商业繁华度好</v>
      </c>
      <c r="C48" s="2764"/>
      <c r="D48" s="1286">
        <f t="shared" ref="D48:D56" si="10">SUMIF($J$47:$N$47,C48,J48:N48)</f>
        <v>0</v>
      </c>
      <c r="E48" s="821">
        <f>ROUND(SUM(D48:D56),4)</f>
        <v>0</v>
      </c>
      <c r="F48" s="249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4" t="s">
        <v>2945</v>
      </c>
      <c r="B49" s="2868" t="str">
        <f>估价对象房地状况!C18</f>
        <v>估价对象周边道路状况、公共交通通达情况、停车便捷程度，综合评价交通便捷度较好</v>
      </c>
      <c r="C49" s="2764"/>
      <c r="D49" s="1286">
        <f t="shared" si="10"/>
        <v>0</v>
      </c>
      <c r="E49" s="822"/>
      <c r="F49" s="249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4" t="s">
        <v>2946</v>
      </c>
      <c r="B50" s="2868">
        <f>估价对象房地状况!C19</f>
        <v>0</v>
      </c>
      <c r="C50" s="2764"/>
      <c r="D50" s="1286">
        <f t="shared" si="10"/>
        <v>0</v>
      </c>
      <c r="E50" s="822"/>
      <c r="F50" s="249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4" t="s">
        <v>2947</v>
      </c>
      <c r="B51" s="2869" t="s">
        <v>2948</v>
      </c>
      <c r="C51" s="2764"/>
      <c r="D51" s="1286">
        <f t="shared" si="10"/>
        <v>0</v>
      </c>
      <c r="E51" s="822"/>
      <c r="F51" s="249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4" t="s">
        <v>2949</v>
      </c>
      <c r="B52" s="2868">
        <f>估价对象房地状况!C24</f>
        <v>0</v>
      </c>
      <c r="C52" s="2764"/>
      <c r="D52" s="1286">
        <f t="shared" si="10"/>
        <v>0</v>
      </c>
      <c r="E52" s="822"/>
      <c r="F52" s="249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4" t="s">
        <v>2950</v>
      </c>
      <c r="B53" s="2870" t="s">
        <v>2951</v>
      </c>
      <c r="C53" s="2764"/>
      <c r="D53" s="1286">
        <f t="shared" si="10"/>
        <v>0</v>
      </c>
      <c r="E53" s="822"/>
      <c r="F53" s="249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1" t="s">
        <v>2952</v>
      </c>
      <c r="B54" s="1725" t="str">
        <f>估价对象房地状况!C21</f>
        <v>估价对象所在区域公共配套设施齐备情况</v>
      </c>
      <c r="C54" s="2764"/>
      <c r="D54" s="1286">
        <f t="shared" si="10"/>
        <v>0</v>
      </c>
      <c r="E54" s="822"/>
      <c r="F54" s="249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1" t="s">
        <v>2953</v>
      </c>
      <c r="B55" s="2868" t="str">
        <f>估价对象房地状况!C22</f>
        <v>估价对象所在区域基础设施水平</v>
      </c>
      <c r="C55" s="2764"/>
      <c r="D55" s="1286">
        <f t="shared" si="10"/>
        <v>0</v>
      </c>
      <c r="E55" s="822"/>
      <c r="F55" s="249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2" t="s">
        <v>2954</v>
      </c>
      <c r="B56" s="2873" t="str">
        <f>估价对象房地状况!C20</f>
        <v>区域自然环境：；人文环境；综合评价环境状况一般</v>
      </c>
      <c r="C56" s="2764"/>
      <c r="D56" s="1286">
        <f t="shared" si="10"/>
        <v>0</v>
      </c>
      <c r="E56" s="825"/>
      <c r="F56" s="249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0" t="s">
        <v>2955</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2936</v>
      </c>
      <c r="B58" s="1801"/>
      <c r="C58" s="1801" t="s">
        <v>2938</v>
      </c>
      <c r="D58" s="1801" t="s">
        <v>2939</v>
      </c>
      <c r="E58" s="819" t="s">
        <v>2940</v>
      </c>
      <c r="F58" s="2865" t="s">
        <v>2956</v>
      </c>
      <c r="G58" s="1801" t="s">
        <v>754</v>
      </c>
      <c r="H58" s="2866" t="s">
        <v>2942</v>
      </c>
      <c r="I58" s="1801" t="s">
        <v>2943</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64" t="s">
        <v>2957</v>
      </c>
      <c r="B59" s="2867" t="str">
        <f>估价对象房地状况!C17</f>
        <v>估价对象位于XX商圈，周边办公楼项目较多，入驻率高，办公集聚程度较好</v>
      </c>
      <c r="C59" s="2764"/>
      <c r="D59" s="1286">
        <f t="shared" ref="D59:D67" si="15">SUMIF($J$58:$N$58,C59,J59:N59)</f>
        <v>0</v>
      </c>
      <c r="E59" s="821">
        <f>ROUND(SUM(D59:D67),4)</f>
        <v>0</v>
      </c>
      <c r="F59" s="249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4" t="s">
        <v>2945</v>
      </c>
      <c r="B60" s="2868" t="str">
        <f>估价对象房地状况!C18</f>
        <v>估价对象周边道路状况、公共交通通达情况、停车便捷程度，综合评价交通便捷度较好</v>
      </c>
      <c r="C60" s="2764"/>
      <c r="D60" s="1286">
        <f t="shared" si="15"/>
        <v>0</v>
      </c>
      <c r="E60" s="822"/>
      <c r="F60" s="249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4" t="s">
        <v>2946</v>
      </c>
      <c r="B61" s="2868">
        <f>估价对象房地状况!C19</f>
        <v>0</v>
      </c>
      <c r="C61" s="2764"/>
      <c r="D61" s="1286">
        <f t="shared" si="15"/>
        <v>0</v>
      </c>
      <c r="E61" s="822"/>
      <c r="F61" s="249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4" t="s">
        <v>2947</v>
      </c>
      <c r="B62" s="2869" t="s">
        <v>2948</v>
      </c>
      <c r="C62" s="2764"/>
      <c r="D62" s="1286">
        <f t="shared" si="15"/>
        <v>0</v>
      </c>
      <c r="E62" s="822"/>
      <c r="F62" s="249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4" t="s">
        <v>2949</v>
      </c>
      <c r="B63" s="2868">
        <f>估价对象房地状况!C24</f>
        <v>0</v>
      </c>
      <c r="C63" s="2764"/>
      <c r="D63" s="1286">
        <f t="shared" si="15"/>
        <v>0</v>
      </c>
      <c r="E63" s="822"/>
      <c r="F63" s="249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4" t="s">
        <v>2950</v>
      </c>
      <c r="B64" s="2870" t="s">
        <v>2951</v>
      </c>
      <c r="C64" s="2764"/>
      <c r="D64" s="1286">
        <f t="shared" si="15"/>
        <v>0</v>
      </c>
      <c r="E64" s="822"/>
      <c r="F64" s="249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4" t="s">
        <v>2952</v>
      </c>
      <c r="B65" s="1725" t="str">
        <f>估价对象房地状况!C21</f>
        <v>估价对象所在区域公共配套设施齐备情况</v>
      </c>
      <c r="C65" s="2764"/>
      <c r="D65" s="1286">
        <f t="shared" si="15"/>
        <v>0</v>
      </c>
      <c r="E65" s="822"/>
      <c r="F65" s="249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4" t="s">
        <v>2953</v>
      </c>
      <c r="B66" s="1725" t="str">
        <f>估价对象房地状况!C22</f>
        <v>估价对象所在区域基础设施水平</v>
      </c>
      <c r="C66" s="2764"/>
      <c r="D66" s="1286">
        <f t="shared" si="15"/>
        <v>0</v>
      </c>
      <c r="E66" s="822"/>
      <c r="F66" s="249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2" t="s">
        <v>2954</v>
      </c>
      <c r="B67" s="2874" t="str">
        <f>估价对象房地状况!C20</f>
        <v>区域自然环境：；人文环境；综合评价环境状况一般</v>
      </c>
      <c r="C67" s="2764"/>
      <c r="D67" s="1286">
        <f t="shared" si="15"/>
        <v>0</v>
      </c>
      <c r="E67" s="825"/>
      <c r="F67" s="249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0" t="s">
        <v>2958</v>
      </c>
      <c r="B68" s="2861">
        <f>1+E70</f>
        <v>1.0531999999999999</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2936</v>
      </c>
      <c r="B69" s="1801"/>
      <c r="C69" s="1801" t="s">
        <v>2938</v>
      </c>
      <c r="D69" s="1801" t="s">
        <v>2939</v>
      </c>
      <c r="E69" s="819" t="s">
        <v>2940</v>
      </c>
      <c r="F69" s="2865" t="s">
        <v>2956</v>
      </c>
      <c r="G69" s="1801" t="s">
        <v>754</v>
      </c>
      <c r="H69" s="2866" t="s">
        <v>2942</v>
      </c>
      <c r="I69" s="1801" t="s">
        <v>2943</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864" t="s">
        <v>2959</v>
      </c>
      <c r="B70" s="2867" t="str">
        <f>估价对象房地状况!C15</f>
        <v>估价对象周边居住用地比例、居住小区规模和社区发展完善程度，综合评价居住社区成熟度一般</v>
      </c>
      <c r="C70" s="2764" t="s">
        <v>3140</v>
      </c>
      <c r="D70" s="1286">
        <f t="shared" ref="D70:D78" si="20">SUMIF($J$69:$N$69,C70,J70:N70)</f>
        <v>0</v>
      </c>
      <c r="E70" s="821">
        <f>ROUND(SUM(D70:D78),4)</f>
        <v>5.3199999999999997E-2</v>
      </c>
      <c r="F70" s="2495">
        <f>IF(E2="住宅",SUMIF(L1:L12,G2,N1:N12),"——")</f>
        <v>0.122</v>
      </c>
      <c r="G70" s="1284">
        <v>9.1000000000000004E-3</v>
      </c>
      <c r="H70" s="1288">
        <f t="shared" ref="H70:H78" si="21">IFERROR(ROUNDDOWN($F$70*I70/2,4),"——")</f>
        <v>8.5000000000000006E-3</v>
      </c>
      <c r="I70" s="820">
        <v>0.14000000000000001</v>
      </c>
      <c r="J70" s="1285">
        <f t="shared" ref="J70:J78" si="22">K70+$G70</f>
        <v>1.8200000000000001E-2</v>
      </c>
      <c r="K70" s="1285">
        <f t="shared" ref="K70:K78" si="23">$L70+$G70</f>
        <v>9.1000000000000004E-3</v>
      </c>
      <c r="L70" s="1285">
        <v>0</v>
      </c>
      <c r="M70" s="1285">
        <f t="shared" ref="M70:N78" si="24">L70-$G70</f>
        <v>-9.1000000000000004E-3</v>
      </c>
      <c r="N70" s="1285">
        <f t="shared" si="24"/>
        <v>-1.8200000000000001E-2</v>
      </c>
      <c r="AA70" s="1371"/>
      <c r="AB70" s="1371"/>
      <c r="AC70" s="1371"/>
      <c r="AD70" s="1371"/>
      <c r="AE70" s="1371"/>
      <c r="AF70" s="1371"/>
      <c r="AG70" s="1371"/>
      <c r="AH70" s="1371"/>
      <c r="AI70" s="1371"/>
      <c r="AJ70" s="1371"/>
      <c r="AK70" s="1371"/>
    </row>
    <row r="71" spans="1:37" s="1370" customFormat="1" ht="51">
      <c r="A71" s="2864" t="s">
        <v>2945</v>
      </c>
      <c r="B71" s="2868" t="str">
        <f>估价对象房地状况!C18</f>
        <v>估价对象周边道路状况、公共交通通达情况、停车便捷程度，综合评价交通便捷度较好</v>
      </c>
      <c r="C71" s="2764" t="s">
        <v>3138</v>
      </c>
      <c r="D71" s="1286">
        <f t="shared" si="20"/>
        <v>1.95E-2</v>
      </c>
      <c r="E71" s="826"/>
      <c r="F71" s="2495"/>
      <c r="G71" s="1284">
        <v>1.95E-2</v>
      </c>
      <c r="H71" s="1288">
        <f t="shared" si="21"/>
        <v>1.83E-2</v>
      </c>
      <c r="I71" s="820">
        <v>0.3</v>
      </c>
      <c r="J71" s="1285">
        <f t="shared" si="22"/>
        <v>3.9E-2</v>
      </c>
      <c r="K71" s="1285">
        <f t="shared" si="23"/>
        <v>1.95E-2</v>
      </c>
      <c r="L71" s="1285">
        <v>0</v>
      </c>
      <c r="M71" s="1285">
        <f t="shared" si="24"/>
        <v>-1.95E-2</v>
      </c>
      <c r="N71" s="1285">
        <f t="shared" si="24"/>
        <v>-3.9E-2</v>
      </c>
      <c r="AA71" s="1371"/>
      <c r="AB71" s="1371"/>
      <c r="AC71" s="1371"/>
      <c r="AD71" s="1371"/>
      <c r="AE71" s="1371"/>
      <c r="AF71" s="1371"/>
      <c r="AG71" s="1371"/>
      <c r="AH71" s="1371"/>
      <c r="AI71" s="1371"/>
      <c r="AJ71" s="1371"/>
      <c r="AK71" s="1371"/>
    </row>
    <row r="72" spans="1:37" s="1370" customFormat="1" ht="24">
      <c r="A72" s="2864" t="s">
        <v>2946</v>
      </c>
      <c r="B72" s="2868">
        <f>估价对象房地状况!C19</f>
        <v>0</v>
      </c>
      <c r="C72" s="2764" t="s">
        <v>3140</v>
      </c>
      <c r="D72" s="1286">
        <f t="shared" si="20"/>
        <v>0</v>
      </c>
      <c r="E72" s="826"/>
      <c r="F72" s="2495"/>
      <c r="G72" s="1284">
        <v>5.1999999999999998E-3</v>
      </c>
      <c r="H72" s="1288">
        <f t="shared" si="21"/>
        <v>4.7999999999999996E-3</v>
      </c>
      <c r="I72" s="820">
        <v>0.08</v>
      </c>
      <c r="J72" s="1285">
        <f t="shared" si="22"/>
        <v>1.04E-2</v>
      </c>
      <c r="K72" s="1285">
        <f t="shared" si="23"/>
        <v>5.1999999999999998E-3</v>
      </c>
      <c r="L72" s="1285">
        <v>0</v>
      </c>
      <c r="M72" s="1285">
        <f t="shared" si="24"/>
        <v>-5.1999999999999998E-3</v>
      </c>
      <c r="N72" s="1285">
        <f t="shared" si="24"/>
        <v>-1.04E-2</v>
      </c>
      <c r="AA72" s="1371"/>
      <c r="AB72" s="1371"/>
      <c r="AC72" s="1371"/>
      <c r="AD72" s="1371"/>
      <c r="AE72" s="1371"/>
      <c r="AF72" s="1371"/>
      <c r="AG72" s="1371"/>
      <c r="AH72" s="1371"/>
      <c r="AI72" s="1371"/>
      <c r="AJ72" s="1371"/>
      <c r="AK72" s="1371"/>
    </row>
    <row r="73" spans="1:37" s="1370" customFormat="1" ht="14.25">
      <c r="A73" s="2864" t="s">
        <v>2960</v>
      </c>
      <c r="B73" s="2868">
        <f>估价对象房地状况!C24</f>
        <v>0</v>
      </c>
      <c r="C73" s="2764" t="s">
        <v>3140</v>
      </c>
      <c r="D73" s="1286">
        <f t="shared" si="20"/>
        <v>0</v>
      </c>
      <c r="E73" s="826"/>
      <c r="F73" s="2495"/>
      <c r="G73" s="1284">
        <v>2.5999999999999999E-3</v>
      </c>
      <c r="H73" s="1288">
        <f t="shared" si="21"/>
        <v>2.3999999999999998E-3</v>
      </c>
      <c r="I73" s="820">
        <v>0.04</v>
      </c>
      <c r="J73" s="1285">
        <f t="shared" si="22"/>
        <v>5.1999999999999998E-3</v>
      </c>
      <c r="K73" s="1285">
        <f t="shared" si="23"/>
        <v>2.5999999999999999E-3</v>
      </c>
      <c r="L73" s="1285">
        <v>0</v>
      </c>
      <c r="M73" s="1285">
        <f t="shared" si="24"/>
        <v>-2.5999999999999999E-3</v>
      </c>
      <c r="N73" s="1285">
        <f t="shared" si="24"/>
        <v>-5.1999999999999998E-3</v>
      </c>
      <c r="AA73" s="1371"/>
      <c r="AB73" s="1371"/>
      <c r="AC73" s="1371"/>
      <c r="AD73" s="1371"/>
      <c r="AE73" s="1371"/>
      <c r="AF73" s="1371"/>
      <c r="AG73" s="1371"/>
      <c r="AH73" s="1371"/>
      <c r="AI73" s="1371"/>
      <c r="AJ73" s="1371"/>
      <c r="AK73" s="1371"/>
    </row>
    <row r="74" spans="1:37" s="1370" customFormat="1" ht="25.5">
      <c r="A74" s="2864" t="s">
        <v>2952</v>
      </c>
      <c r="B74" s="1725" t="str">
        <f>估价对象房地状况!C21</f>
        <v>估价对象所在区域公共配套设施齐备情况</v>
      </c>
      <c r="C74" s="2764" t="s">
        <v>3138</v>
      </c>
      <c r="D74" s="1286">
        <f t="shared" si="20"/>
        <v>5.1999999999999998E-3</v>
      </c>
      <c r="E74" s="826"/>
      <c r="F74" s="2495"/>
      <c r="G74" s="1284">
        <v>5.1999999999999998E-3</v>
      </c>
      <c r="H74" s="1288">
        <f t="shared" si="21"/>
        <v>4.7999999999999996E-3</v>
      </c>
      <c r="I74" s="820">
        <v>0.08</v>
      </c>
      <c r="J74" s="1285">
        <f t="shared" si="22"/>
        <v>1.04E-2</v>
      </c>
      <c r="K74" s="1285">
        <f t="shared" si="23"/>
        <v>5.1999999999999998E-3</v>
      </c>
      <c r="L74" s="1285">
        <v>0</v>
      </c>
      <c r="M74" s="1285">
        <f t="shared" si="24"/>
        <v>-5.1999999999999998E-3</v>
      </c>
      <c r="N74" s="1285">
        <f t="shared" si="24"/>
        <v>-1.04E-2</v>
      </c>
      <c r="AA74" s="1371"/>
      <c r="AB74" s="1371"/>
      <c r="AC74" s="1371"/>
      <c r="AD74" s="1371"/>
      <c r="AE74" s="1371"/>
      <c r="AF74" s="1371"/>
      <c r="AG74" s="1371"/>
      <c r="AH74" s="1371"/>
      <c r="AI74" s="1371"/>
      <c r="AJ74" s="1371"/>
      <c r="AK74" s="1371"/>
    </row>
    <row r="75" spans="1:37" s="1370" customFormat="1" ht="25.5">
      <c r="A75" s="2864" t="s">
        <v>2953</v>
      </c>
      <c r="B75" s="1725" t="str">
        <f>估价对象房地状况!C22</f>
        <v>估价对象所在区域基础设施水平</v>
      </c>
      <c r="C75" s="2764" t="s">
        <v>3139</v>
      </c>
      <c r="D75" s="1286">
        <f t="shared" si="20"/>
        <v>1.5599999999999999E-2</v>
      </c>
      <c r="E75" s="826"/>
      <c r="F75" s="2495"/>
      <c r="G75" s="1284">
        <v>7.7999999999999996E-3</v>
      </c>
      <c r="H75" s="1288">
        <f t="shared" si="21"/>
        <v>7.3000000000000001E-3</v>
      </c>
      <c r="I75" s="820">
        <v>0.12</v>
      </c>
      <c r="J75" s="1285">
        <f t="shared" si="22"/>
        <v>1.5599999999999999E-2</v>
      </c>
      <c r="K75" s="1285">
        <f t="shared" si="23"/>
        <v>7.7999999999999996E-3</v>
      </c>
      <c r="L75" s="1285">
        <v>0</v>
      </c>
      <c r="M75" s="1285">
        <f t="shared" si="24"/>
        <v>-7.7999999999999996E-3</v>
      </c>
      <c r="N75" s="1285">
        <f t="shared" si="24"/>
        <v>-1.5599999999999999E-2</v>
      </c>
      <c r="AA75" s="1371"/>
      <c r="AB75" s="1371"/>
      <c r="AC75" s="1371"/>
      <c r="AD75" s="1371"/>
      <c r="AE75" s="1371"/>
      <c r="AF75" s="1371"/>
      <c r="AG75" s="1371"/>
      <c r="AH75" s="1371"/>
      <c r="AI75" s="1371"/>
      <c r="AJ75" s="1371"/>
      <c r="AK75" s="1371"/>
    </row>
    <row r="76" spans="1:37" s="2713" customFormat="1" ht="24">
      <c r="A76" s="2864" t="s">
        <v>2950</v>
      </c>
      <c r="B76" s="2870" t="s">
        <v>2951</v>
      </c>
      <c r="C76" s="2764" t="s">
        <v>3138</v>
      </c>
      <c r="D76" s="1286">
        <f t="shared" si="20"/>
        <v>3.2000000000000002E-3</v>
      </c>
      <c r="E76" s="826"/>
      <c r="F76" s="2495"/>
      <c r="G76" s="1284">
        <v>3.2000000000000002E-3</v>
      </c>
      <c r="H76" s="1288">
        <f t="shared" si="21"/>
        <v>3.0000000000000001E-3</v>
      </c>
      <c r="I76" s="820">
        <v>0.05</v>
      </c>
      <c r="J76" s="1285">
        <f t="shared" si="22"/>
        <v>6.4000000000000003E-3</v>
      </c>
      <c r="K76" s="1285">
        <f t="shared" si="23"/>
        <v>3.2000000000000002E-3</v>
      </c>
      <c r="L76" s="1285">
        <v>0</v>
      </c>
      <c r="M76" s="1285">
        <f t="shared" si="24"/>
        <v>-3.2000000000000002E-3</v>
      </c>
      <c r="N76" s="1285">
        <f t="shared" si="24"/>
        <v>-6.4000000000000003E-3</v>
      </c>
      <c r="AA76" s="2875"/>
      <c r="AB76" s="1371"/>
      <c r="AC76" s="1371"/>
      <c r="AD76" s="1371"/>
      <c r="AE76" s="1371"/>
      <c r="AF76" s="1371"/>
      <c r="AG76" s="1371"/>
      <c r="AH76" s="2875"/>
      <c r="AI76" s="2875"/>
      <c r="AJ76" s="2875"/>
      <c r="AK76" s="2875"/>
    </row>
    <row r="77" spans="1:37" ht="38.25">
      <c r="A77" s="2864" t="s">
        <v>2954</v>
      </c>
      <c r="B77" s="2867" t="str">
        <f>估价对象房地状况!C20</f>
        <v>区域自然环境：；人文环境；综合评价环境状况一般</v>
      </c>
      <c r="C77" s="2764" t="s">
        <v>3138</v>
      </c>
      <c r="D77" s="1286">
        <f t="shared" si="20"/>
        <v>9.7000000000000003E-3</v>
      </c>
      <c r="E77" s="826"/>
      <c r="F77" s="2495"/>
      <c r="G77" s="1284">
        <v>9.7000000000000003E-3</v>
      </c>
      <c r="H77" s="1288">
        <f t="shared" si="21"/>
        <v>9.1000000000000004E-3</v>
      </c>
      <c r="I77" s="820">
        <v>0.15</v>
      </c>
      <c r="J77" s="1285">
        <f t="shared" si="22"/>
        <v>1.9400000000000001E-2</v>
      </c>
      <c r="K77" s="1285">
        <f t="shared" si="23"/>
        <v>9.7000000000000003E-3</v>
      </c>
      <c r="L77" s="1285">
        <v>0</v>
      </c>
      <c r="M77" s="1285">
        <f t="shared" si="24"/>
        <v>-9.7000000000000003E-3</v>
      </c>
      <c r="N77" s="1285">
        <f t="shared" si="24"/>
        <v>-1.9400000000000001E-2</v>
      </c>
      <c r="Z77" s="2714"/>
      <c r="AA77" s="2782"/>
      <c r="AG77" s="1372"/>
      <c r="AK77" s="2782"/>
    </row>
    <row r="78" spans="1:37" ht="24.75" thickBot="1">
      <c r="A78" s="2872" t="s">
        <v>2961</v>
      </c>
      <c r="B78" s="2876"/>
      <c r="C78" s="2764" t="s">
        <v>3140</v>
      </c>
      <c r="D78" s="1286">
        <f t="shared" si="20"/>
        <v>0</v>
      </c>
      <c r="E78" s="827"/>
      <c r="F78" s="2495"/>
      <c r="G78" s="1284">
        <v>2.5999999999999999E-3</v>
      </c>
      <c r="H78" s="1288">
        <f t="shared" si="21"/>
        <v>2.3999999999999998E-3</v>
      </c>
      <c r="I78" s="824">
        <v>0.04</v>
      </c>
      <c r="J78" s="1285">
        <f t="shared" si="22"/>
        <v>5.1999999999999998E-3</v>
      </c>
      <c r="K78" s="1285">
        <f t="shared" si="23"/>
        <v>2.5999999999999999E-3</v>
      </c>
      <c r="L78" s="1285">
        <v>0</v>
      </c>
      <c r="M78" s="1285">
        <f t="shared" si="24"/>
        <v>-2.5999999999999999E-3</v>
      </c>
      <c r="N78" s="1285">
        <f t="shared" si="24"/>
        <v>-5.1999999999999998E-3</v>
      </c>
      <c r="Z78" s="2714"/>
      <c r="AA78" s="2782"/>
      <c r="AG78" s="1372"/>
      <c r="AK78" s="2782"/>
    </row>
    <row r="79" spans="1:37" ht="15">
      <c r="A79" s="2860" t="s">
        <v>2962</v>
      </c>
      <c r="B79" s="2861">
        <f>1+E81</f>
        <v>1</v>
      </c>
      <c r="C79" s="814"/>
      <c r="D79" s="814"/>
      <c r="E79" s="815"/>
      <c r="F79" s="2863"/>
      <c r="G79" s="6"/>
      <c r="H79" s="6"/>
      <c r="I79" s="6"/>
      <c r="J79" s="7"/>
      <c r="K79" s="7"/>
      <c r="L79" s="7"/>
      <c r="M79" s="7"/>
      <c r="N79" s="7"/>
      <c r="Z79" s="2714"/>
      <c r="AA79" s="2782"/>
      <c r="AG79" s="1372"/>
      <c r="AK79" s="2782"/>
    </row>
    <row r="80" spans="1:37" ht="24.75">
      <c r="A80" s="2864" t="s">
        <v>2936</v>
      </c>
      <c r="B80" s="1801"/>
      <c r="C80" s="1801" t="s">
        <v>2938</v>
      </c>
      <c r="D80" s="1801" t="s">
        <v>2939</v>
      </c>
      <c r="E80" s="819" t="s">
        <v>2940</v>
      </c>
      <c r="F80" s="2865" t="s">
        <v>2956</v>
      </c>
      <c r="G80" s="1801" t="s">
        <v>754</v>
      </c>
      <c r="H80" s="2866" t="s">
        <v>2942</v>
      </c>
      <c r="I80" s="1801" t="s">
        <v>2943</v>
      </c>
      <c r="J80" s="603" t="s">
        <v>2593</v>
      </c>
      <c r="K80" s="603" t="s">
        <v>2594</v>
      </c>
      <c r="L80" s="603" t="s">
        <v>2595</v>
      </c>
      <c r="M80" s="603" t="s">
        <v>2596</v>
      </c>
      <c r="N80" s="603" t="s">
        <v>2597</v>
      </c>
      <c r="Z80" s="2714"/>
      <c r="AA80" s="2782"/>
      <c r="AG80" s="1372"/>
      <c r="AK80" s="2782"/>
    </row>
    <row r="81" spans="1:37" ht="38.25">
      <c r="A81" s="2864" t="s">
        <v>2963</v>
      </c>
      <c r="B81" s="2868" t="str">
        <f>估价对象房地状况!G15</f>
        <v>估价对象位于XX开发区，园区建设成熟度XX，产业集聚程度XX</v>
      </c>
      <c r="C81" s="2764"/>
      <c r="D81" s="1286">
        <f t="shared" ref="D81:D88" si="25">SUMIF($J$80:$N$80,C81,J81:N81)</f>
        <v>0</v>
      </c>
      <c r="E81" s="821">
        <f>ROUND(SUM(D81:D88),4)</f>
        <v>0</v>
      </c>
      <c r="F81" s="249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4"/>
      <c r="AA81" s="2782"/>
      <c r="AG81" s="1372"/>
      <c r="AK81" s="2782"/>
    </row>
    <row r="82" spans="1:37" ht="51">
      <c r="A82" s="2864" t="s">
        <v>2945</v>
      </c>
      <c r="B82" s="2868" t="str">
        <f>估价对象房地状况!G16</f>
        <v>估价对象周边道路状况、公共交通通达情况、停车便捷程度，综合评价交通便捷度较好</v>
      </c>
      <c r="C82" s="2764"/>
      <c r="D82" s="1286">
        <f t="shared" si="25"/>
        <v>0</v>
      </c>
      <c r="E82" s="826"/>
      <c r="F82" s="2495"/>
      <c r="G82" s="1284"/>
      <c r="H82" s="1288" t="str">
        <f t="shared" si="26"/>
        <v>——</v>
      </c>
      <c r="I82" s="820">
        <v>0.33</v>
      </c>
      <c r="J82" s="1285">
        <f t="shared" si="27"/>
        <v>0</v>
      </c>
      <c r="K82" s="1285">
        <f t="shared" si="28"/>
        <v>0</v>
      </c>
      <c r="L82" s="1285">
        <v>0</v>
      </c>
      <c r="M82" s="1285">
        <f t="shared" si="29"/>
        <v>0</v>
      </c>
      <c r="N82" s="1285">
        <f t="shared" si="29"/>
        <v>0</v>
      </c>
      <c r="Z82" s="2714"/>
      <c r="AA82" s="2782"/>
      <c r="AG82" s="1372"/>
      <c r="AK82" s="2782"/>
    </row>
    <row r="83" spans="1:37" ht="24">
      <c r="A83" s="2864" t="s">
        <v>2946</v>
      </c>
      <c r="B83" s="2868">
        <f>估价对象房地状况!G17</f>
        <v>0</v>
      </c>
      <c r="C83" s="2764"/>
      <c r="D83" s="1286">
        <f t="shared" si="25"/>
        <v>0</v>
      </c>
      <c r="E83" s="826"/>
      <c r="F83" s="2495"/>
      <c r="G83" s="1284"/>
      <c r="H83" s="1288" t="str">
        <f t="shared" si="26"/>
        <v>——</v>
      </c>
      <c r="I83" s="820">
        <v>0.05</v>
      </c>
      <c r="J83" s="1285">
        <f t="shared" si="27"/>
        <v>0</v>
      </c>
      <c r="K83" s="1285">
        <f t="shared" si="28"/>
        <v>0</v>
      </c>
      <c r="L83" s="1285">
        <v>0</v>
      </c>
      <c r="M83" s="1285">
        <f t="shared" si="29"/>
        <v>0</v>
      </c>
      <c r="N83" s="1285">
        <f t="shared" si="29"/>
        <v>0</v>
      </c>
      <c r="Z83" s="2714"/>
      <c r="AA83" s="2782"/>
      <c r="AG83" s="1372"/>
      <c r="AK83" s="2782"/>
    </row>
    <row r="84" spans="1:37" ht="14.25">
      <c r="A84" s="2864" t="s">
        <v>2960</v>
      </c>
      <c r="B84" s="2868">
        <f>估价对象房地状况!G22</f>
        <v>0</v>
      </c>
      <c r="C84" s="2764"/>
      <c r="D84" s="1286">
        <f t="shared" si="25"/>
        <v>0</v>
      </c>
      <c r="E84" s="826"/>
      <c r="F84" s="2495"/>
      <c r="G84" s="1284"/>
      <c r="H84" s="1288" t="str">
        <f t="shared" si="26"/>
        <v>——</v>
      </c>
      <c r="I84" s="820">
        <v>0.04</v>
      </c>
      <c r="J84" s="1285">
        <f t="shared" si="27"/>
        <v>0</v>
      </c>
      <c r="K84" s="1285">
        <f t="shared" si="28"/>
        <v>0</v>
      </c>
      <c r="L84" s="1285">
        <v>0</v>
      </c>
      <c r="M84" s="1285">
        <f t="shared" si="29"/>
        <v>0</v>
      </c>
      <c r="N84" s="1285">
        <f t="shared" si="29"/>
        <v>0</v>
      </c>
      <c r="Z84" s="2714"/>
      <c r="AA84" s="2782"/>
      <c r="AG84" s="1372"/>
      <c r="AK84" s="2782"/>
    </row>
    <row r="85" spans="1:37" ht="25.5">
      <c r="A85" s="2864" t="s">
        <v>2952</v>
      </c>
      <c r="B85" s="1725" t="str">
        <f>估价对象房地状况!G19</f>
        <v>估价对象所在区域公共配套设施齐备情况</v>
      </c>
      <c r="C85" s="2764"/>
      <c r="D85" s="1286">
        <f t="shared" si="25"/>
        <v>0</v>
      </c>
      <c r="E85" s="826"/>
      <c r="F85" s="2495"/>
      <c r="G85" s="1284"/>
      <c r="H85" s="1288" t="str">
        <f t="shared" si="26"/>
        <v>——</v>
      </c>
      <c r="I85" s="820">
        <v>0.06</v>
      </c>
      <c r="J85" s="1285">
        <f t="shared" si="27"/>
        <v>0</v>
      </c>
      <c r="K85" s="1285">
        <f t="shared" si="28"/>
        <v>0</v>
      </c>
      <c r="L85" s="1285">
        <v>0</v>
      </c>
      <c r="M85" s="1285">
        <f t="shared" si="29"/>
        <v>0</v>
      </c>
      <c r="N85" s="1285">
        <f t="shared" si="29"/>
        <v>0</v>
      </c>
      <c r="Z85" s="2714"/>
      <c r="AA85" s="2782"/>
      <c r="AG85" s="1372"/>
      <c r="AK85" s="2782"/>
    </row>
    <row r="86" spans="1:37" ht="25.5">
      <c r="A86" s="2864" t="s">
        <v>2953</v>
      </c>
      <c r="B86" s="1725" t="str">
        <f>估价对象房地状况!G20</f>
        <v>估价对象所在区域基础设施水平</v>
      </c>
      <c r="C86" s="2764"/>
      <c r="D86" s="1286">
        <f t="shared" si="25"/>
        <v>0</v>
      </c>
      <c r="E86" s="826"/>
      <c r="F86" s="2495"/>
      <c r="G86" s="1284"/>
      <c r="H86" s="1288" t="str">
        <f t="shared" si="26"/>
        <v>——</v>
      </c>
      <c r="I86" s="820">
        <v>0.15</v>
      </c>
      <c r="J86" s="1285">
        <f t="shared" si="27"/>
        <v>0</v>
      </c>
      <c r="K86" s="1285">
        <f t="shared" si="28"/>
        <v>0</v>
      </c>
      <c r="L86" s="1285">
        <v>0</v>
      </c>
      <c r="M86" s="1285">
        <f t="shared" si="29"/>
        <v>0</v>
      </c>
      <c r="N86" s="1285">
        <f t="shared" si="29"/>
        <v>0</v>
      </c>
      <c r="Z86" s="2714"/>
      <c r="AA86" s="2782"/>
      <c r="AG86" s="1372"/>
      <c r="AK86" s="2782"/>
    </row>
    <row r="87" spans="1:37" ht="24">
      <c r="A87" s="2864" t="s">
        <v>2950</v>
      </c>
      <c r="B87" s="2870" t="s">
        <v>2964</v>
      </c>
      <c r="C87" s="2764"/>
      <c r="D87" s="1286">
        <f t="shared" si="25"/>
        <v>0</v>
      </c>
      <c r="E87" s="826"/>
      <c r="F87" s="2495"/>
      <c r="G87" s="1284"/>
      <c r="H87" s="1288" t="str">
        <f t="shared" si="26"/>
        <v>——</v>
      </c>
      <c r="I87" s="820">
        <v>0.05</v>
      </c>
      <c r="J87" s="1285">
        <f t="shared" si="27"/>
        <v>0</v>
      </c>
      <c r="K87" s="1285">
        <f t="shared" si="28"/>
        <v>0</v>
      </c>
      <c r="L87" s="1285">
        <v>0</v>
      </c>
      <c r="M87" s="1285">
        <f t="shared" si="29"/>
        <v>0</v>
      </c>
      <c r="N87" s="1285">
        <f t="shared" si="29"/>
        <v>0</v>
      </c>
      <c r="Z87" s="2714"/>
      <c r="AA87" s="2782"/>
      <c r="AG87" s="1372"/>
      <c r="AK87" s="2782"/>
    </row>
    <row r="88" spans="1:37" ht="39" thickBot="1">
      <c r="A88" s="2872" t="s">
        <v>2965</v>
      </c>
      <c r="B88" s="2877" t="str">
        <f>估价对象房地状况!G18</f>
        <v>该园区内是否有污染型企业，绿化情况，卫生条件，整体环境状况判断</v>
      </c>
      <c r="C88" s="2764"/>
      <c r="D88" s="1286">
        <f t="shared" si="25"/>
        <v>0</v>
      </c>
      <c r="E88" s="827"/>
      <c r="F88" s="2495"/>
      <c r="G88" s="1284"/>
      <c r="H88" s="1288" t="str">
        <f t="shared" si="26"/>
        <v>——</v>
      </c>
      <c r="I88" s="824">
        <v>0.06</v>
      </c>
      <c r="J88" s="1285">
        <f t="shared" si="27"/>
        <v>0</v>
      </c>
      <c r="K88" s="1285">
        <f t="shared" si="28"/>
        <v>0</v>
      </c>
      <c r="L88" s="1285">
        <v>0</v>
      </c>
      <c r="M88" s="1285">
        <f t="shared" si="29"/>
        <v>0</v>
      </c>
      <c r="N88" s="1285">
        <f t="shared" si="29"/>
        <v>0</v>
      </c>
      <c r="Z88" s="2714"/>
      <c r="AA88" s="2782"/>
      <c r="AG88" s="1372"/>
      <c r="AK88" s="2782"/>
    </row>
    <row r="90" spans="1:37">
      <c r="A90" s="3545" t="s">
        <v>2966</v>
      </c>
      <c r="B90" s="3545"/>
      <c r="C90" s="3545"/>
      <c r="D90" s="3545"/>
      <c r="E90" s="3545"/>
      <c r="F90" s="3545"/>
      <c r="G90" s="3545"/>
      <c r="H90" s="3545"/>
      <c r="I90" s="3545"/>
      <c r="J90" s="3545"/>
      <c r="K90" s="2878"/>
      <c r="L90" s="2878"/>
      <c r="M90" s="2878"/>
      <c r="N90" s="2878"/>
    </row>
    <row r="91" spans="1:37">
      <c r="A91" s="3547" t="s">
        <v>2967</v>
      </c>
      <c r="B91" s="3547" t="s">
        <v>2968</v>
      </c>
      <c r="C91" s="2832" t="s">
        <v>2969</v>
      </c>
      <c r="D91" s="2833"/>
      <c r="E91" s="2833"/>
      <c r="F91" s="2833"/>
      <c r="G91" s="2833"/>
      <c r="H91" s="2833"/>
      <c r="I91" s="2833"/>
      <c r="J91" s="2879"/>
      <c r="K91" s="2880"/>
      <c r="L91" s="2880"/>
      <c r="M91" s="2880"/>
      <c r="N91" s="2880"/>
    </row>
    <row r="92" spans="1:37">
      <c r="A92" s="3547"/>
      <c r="B92" s="3547"/>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548" t="s">
        <v>2970</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549"/>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549"/>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549"/>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549"/>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549"/>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549"/>
      <c r="B99" s="2881" t="s">
        <v>2852</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550"/>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548" t="s">
        <v>2971</v>
      </c>
      <c r="B101" s="2885" t="s">
        <v>2972</v>
      </c>
      <c r="C101" s="2886">
        <f>$G$3</f>
        <v>2.8</v>
      </c>
      <c r="D101" s="2886">
        <f t="shared" ref="D101:N101" si="31">$G$3</f>
        <v>2.8</v>
      </c>
      <c r="E101" s="2886">
        <f t="shared" si="31"/>
        <v>2.8</v>
      </c>
      <c r="F101" s="2886">
        <f t="shared" si="31"/>
        <v>2.8</v>
      </c>
      <c r="G101" s="2886">
        <f t="shared" si="31"/>
        <v>2.8</v>
      </c>
      <c r="H101" s="2886">
        <f t="shared" si="31"/>
        <v>2.8</v>
      </c>
      <c r="I101" s="2886">
        <f t="shared" si="31"/>
        <v>2.8</v>
      </c>
      <c r="J101" s="2886">
        <f t="shared" si="31"/>
        <v>2.8</v>
      </c>
      <c r="K101" s="2886">
        <f t="shared" si="31"/>
        <v>2.8</v>
      </c>
      <c r="L101" s="2886">
        <f t="shared" si="31"/>
        <v>2.8</v>
      </c>
      <c r="M101" s="2886">
        <f t="shared" si="31"/>
        <v>2.8</v>
      </c>
      <c r="N101" s="2886">
        <f t="shared" si="31"/>
        <v>2.8</v>
      </c>
    </row>
    <row r="102" spans="1:14">
      <c r="A102" s="3549"/>
      <c r="B102" s="2881">
        <v>1</v>
      </c>
      <c r="C102" s="2882">
        <f>1.9362/C101</f>
        <v>0.6915</v>
      </c>
      <c r="D102" s="2882">
        <f>1.9362/D101</f>
        <v>0.6915</v>
      </c>
      <c r="E102" s="2882">
        <f>1.8629/E101</f>
        <v>0.66532142857142862</v>
      </c>
      <c r="F102" s="2882">
        <f>1.8629/F101</f>
        <v>0.66532142857142862</v>
      </c>
      <c r="G102" s="2882">
        <f>1.8629/G101</f>
        <v>0.66532142857142862</v>
      </c>
      <c r="H102" s="2882">
        <f>1.8629/H101</f>
        <v>0.66532142857142862</v>
      </c>
      <c r="I102" s="2882">
        <f>1.8629/I101</f>
        <v>0.66532142857142862</v>
      </c>
      <c r="J102" s="2882">
        <f>1.942/J101</f>
        <v>0.69357142857142862</v>
      </c>
      <c r="K102" s="2882">
        <f>1.942/K101</f>
        <v>0.69357142857142862</v>
      </c>
      <c r="L102" s="2882">
        <f>1.942/L101</f>
        <v>0.69357142857142862</v>
      </c>
      <c r="M102" s="2882">
        <f>1.942/M101</f>
        <v>0.69357142857142862</v>
      </c>
      <c r="N102" s="2882">
        <f>1.942/N101</f>
        <v>0.69357142857142862</v>
      </c>
    </row>
    <row r="103" spans="1:14">
      <c r="A103" s="3549"/>
      <c r="B103" s="2881">
        <v>2</v>
      </c>
      <c r="C103" s="2882">
        <f>1.4198/C101</f>
        <v>0.50707142857142862</v>
      </c>
      <c r="D103" s="2882">
        <f>1.4198/D101</f>
        <v>0.50707142857142862</v>
      </c>
      <c r="E103" s="2882">
        <f>1.3372/E101</f>
        <v>0.47757142857142859</v>
      </c>
      <c r="F103" s="2882">
        <f>1.3372/F101</f>
        <v>0.47757142857142859</v>
      </c>
      <c r="G103" s="2882">
        <f>1.3372/G101</f>
        <v>0.47757142857142859</v>
      </c>
      <c r="H103" s="2882">
        <f>1.3372/H101</f>
        <v>0.47757142857142859</v>
      </c>
      <c r="I103" s="2882">
        <f>1.3372/I101</f>
        <v>0.47757142857142859</v>
      </c>
      <c r="J103" s="2882">
        <f>1.2799/J101</f>
        <v>0.45710714285714288</v>
      </c>
      <c r="K103" s="2882">
        <f>1.2799/K101</f>
        <v>0.45710714285714288</v>
      </c>
      <c r="L103" s="2882">
        <f>1.2799/L101</f>
        <v>0.45710714285714288</v>
      </c>
      <c r="M103" s="2882">
        <f>1.2799/M101</f>
        <v>0.45710714285714288</v>
      </c>
      <c r="N103" s="2882">
        <f>1.2799/N101</f>
        <v>0.45710714285714288</v>
      </c>
    </row>
    <row r="104" spans="1:14">
      <c r="A104" s="3549"/>
      <c r="B104" s="2881">
        <v>3</v>
      </c>
      <c r="C104" s="2882">
        <f>1.1594/C101</f>
        <v>0.41407142857142859</v>
      </c>
      <c r="D104" s="2882">
        <f>1.1594/D101</f>
        <v>0.41407142857142859</v>
      </c>
      <c r="E104" s="2882">
        <f>1.0788/E101</f>
        <v>0.38528571428571429</v>
      </c>
      <c r="F104" s="2882">
        <f>1.0788/F101</f>
        <v>0.38528571428571429</v>
      </c>
      <c r="G104" s="2882">
        <f>1.0788/G101</f>
        <v>0.38528571428571429</v>
      </c>
      <c r="H104" s="2882">
        <f>1.0788/H101</f>
        <v>0.38528571428571429</v>
      </c>
      <c r="I104" s="2882">
        <f>1.0788/I101</f>
        <v>0.38528571428571429</v>
      </c>
      <c r="J104" s="2882">
        <f>1.0072/J101</f>
        <v>0.35971428571428576</v>
      </c>
      <c r="K104" s="2882">
        <f>1.0072/K101</f>
        <v>0.35971428571428576</v>
      </c>
      <c r="L104" s="2882">
        <f>1.0072/L101</f>
        <v>0.35971428571428576</v>
      </c>
      <c r="M104" s="2882">
        <f>1.0072/M101</f>
        <v>0.35971428571428576</v>
      </c>
      <c r="N104" s="2882">
        <f>1.0072/N101</f>
        <v>0.35971428571428576</v>
      </c>
    </row>
    <row r="105" spans="1:14">
      <c r="A105" s="3549"/>
      <c r="B105" s="2881">
        <v>4</v>
      </c>
      <c r="C105" s="2882">
        <f>0.9622/C101</f>
        <v>0.34364285714285719</v>
      </c>
      <c r="D105" s="2882">
        <f>0.9622/D101</f>
        <v>0.34364285714285719</v>
      </c>
      <c r="E105" s="2882">
        <f>0.8656/E101</f>
        <v>0.30914285714285716</v>
      </c>
      <c r="F105" s="2882">
        <f>0.8656/F101</f>
        <v>0.30914285714285716</v>
      </c>
      <c r="G105" s="2882">
        <f>0.8656/G101</f>
        <v>0.30914285714285716</v>
      </c>
      <c r="H105" s="2882">
        <f>0.8656/H101</f>
        <v>0.30914285714285716</v>
      </c>
      <c r="I105" s="2882">
        <f>0.8656/I101</f>
        <v>0.30914285714285716</v>
      </c>
      <c r="J105" s="2882">
        <f>0.7525/J101</f>
        <v>0.26874999999999999</v>
      </c>
      <c r="K105" s="2882">
        <f>0.7525/K101</f>
        <v>0.26874999999999999</v>
      </c>
      <c r="L105" s="2882">
        <f>0.7525/L101</f>
        <v>0.26874999999999999</v>
      </c>
      <c r="M105" s="2882">
        <f>0.7525/M101</f>
        <v>0.26874999999999999</v>
      </c>
      <c r="N105" s="2882">
        <f>0.7525/N101</f>
        <v>0.26874999999999999</v>
      </c>
    </row>
    <row r="106" spans="1:14">
      <c r="A106" s="3549"/>
      <c r="B106" s="2881">
        <v>5</v>
      </c>
      <c r="C106" s="2882">
        <f>0.8417/C101</f>
        <v>0.30060714285714285</v>
      </c>
      <c r="D106" s="2882">
        <f>0.8417/D101</f>
        <v>0.30060714285714285</v>
      </c>
      <c r="E106" s="2882">
        <f>0.7371/E101</f>
        <v>0.26324999999999998</v>
      </c>
      <c r="F106" s="2882">
        <f>0.7371/F101</f>
        <v>0.26324999999999998</v>
      </c>
      <c r="G106" s="2882">
        <f>0.7371/G101</f>
        <v>0.26324999999999998</v>
      </c>
      <c r="H106" s="2882">
        <f>0.7371/H101</f>
        <v>0.26324999999999998</v>
      </c>
      <c r="I106" s="2882">
        <f>0.7371/I101</f>
        <v>0.26324999999999998</v>
      </c>
      <c r="J106" s="2882">
        <f>0.5659/J101</f>
        <v>0.20210714285714285</v>
      </c>
      <c r="K106" s="2882">
        <f>0.5659/K101</f>
        <v>0.20210714285714285</v>
      </c>
      <c r="L106" s="2882">
        <f>0.5659/L101</f>
        <v>0.20210714285714285</v>
      </c>
      <c r="M106" s="2882">
        <f>0.5659/M101</f>
        <v>0.20210714285714285</v>
      </c>
      <c r="N106" s="2882">
        <f>0.5659/N101</f>
        <v>0.20210714285714285</v>
      </c>
    </row>
    <row r="107" spans="1:14">
      <c r="A107" s="3549"/>
      <c r="B107" s="2881">
        <v>6</v>
      </c>
      <c r="C107" s="2882">
        <f>0.7608/C101</f>
        <v>0.27171428571428574</v>
      </c>
      <c r="D107" s="2882">
        <f>0.7608/D101</f>
        <v>0.27171428571428574</v>
      </c>
      <c r="E107" s="2882">
        <f>0.6482/E101</f>
        <v>0.23150000000000001</v>
      </c>
      <c r="F107" s="2882">
        <f>0.6482/F101</f>
        <v>0.23150000000000001</v>
      </c>
      <c r="G107" s="2882">
        <f>0.6482/G101</f>
        <v>0.23150000000000001</v>
      </c>
      <c r="H107" s="2882">
        <f>0.6482/H101</f>
        <v>0.23150000000000001</v>
      </c>
      <c r="I107" s="2882">
        <f>0.6482/I101</f>
        <v>0.23150000000000001</v>
      </c>
      <c r="J107" s="2882">
        <f>0.4525/J101</f>
        <v>0.16160714285714287</v>
      </c>
      <c r="K107" s="2882">
        <f>0.4525/K101</f>
        <v>0.16160714285714287</v>
      </c>
      <c r="L107" s="2882">
        <f>0.4525/L101</f>
        <v>0.16160714285714287</v>
      </c>
      <c r="M107" s="2882">
        <f>0.4525/M101</f>
        <v>0.16160714285714287</v>
      </c>
      <c r="N107" s="2882">
        <f>0.4525/N101</f>
        <v>0.16160714285714287</v>
      </c>
    </row>
    <row r="108" spans="1:14">
      <c r="A108" s="3549"/>
      <c r="B108" s="3393" t="s">
        <v>2973</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550"/>
      <c r="B109" s="3394"/>
      <c r="C109" s="2884">
        <f>(-0.163*(C108^2)-0.59*C108+7617)*(10^(-4))/C101</f>
        <v>0.27203571428571433</v>
      </c>
      <c r="D109" s="2884">
        <f>(-0.163*(D108^2)-0.59*D108+7617)*(10^(-4))/D101</f>
        <v>0.27203571428571433</v>
      </c>
      <c r="E109" s="2884">
        <f>(-0.161*(E108^2)-7.509*E108+6533)*(10^(-4))/E101</f>
        <v>0.2333214285714286</v>
      </c>
      <c r="F109" s="2884">
        <f>(-0.161*(F108^2)-7.509*F108+6533)*(10^(-4))/F101</f>
        <v>0.2333214285714286</v>
      </c>
      <c r="G109" s="2884">
        <f>(-0.161*(G108^2)-7.509*G108+6533)*(10^(-4))/G101</f>
        <v>0.2333214285714286</v>
      </c>
      <c r="H109" s="2884">
        <f>(-0.161*(H108^2)-7.509*H108+6533)*(10^(-4))/H101</f>
        <v>0.2333214285714286</v>
      </c>
      <c r="I109" s="2884">
        <f>(-0.161*(I108^2)-7.509*I108+6533)*(10^(-4))/I101</f>
        <v>0.2333214285714286</v>
      </c>
      <c r="J109" s="2884">
        <f>(-0.214*(J108^2)-21.991*J108+4665)*(10^(-4))/J101</f>
        <v>0.16660714285714287</v>
      </c>
      <c r="K109" s="2884">
        <f>(-0.214*(K108^2)-21.991*K108+4665)*(10^(-4))/K101</f>
        <v>0.16660714285714287</v>
      </c>
      <c r="L109" s="2884">
        <f>(-0.214*(L108^2)-21.991*L108+4665)*(10^(-4))/L101</f>
        <v>0.16660714285714287</v>
      </c>
      <c r="M109" s="2884">
        <f>(-0.214*(M108^2)-21.991*M108+4665)*(10^(-4))/M101</f>
        <v>0.16660714285714287</v>
      </c>
      <c r="N109" s="2884">
        <f>(-0.214*(N108^2)-21.991*N108+4665)*(10^(-4))/N101</f>
        <v>0.16660714285714287</v>
      </c>
    </row>
    <row r="110" spans="1:14">
      <c r="A110" s="3546" t="s">
        <v>2974</v>
      </c>
      <c r="B110" s="3546"/>
      <c r="C110" s="3546"/>
      <c r="D110" s="3546"/>
      <c r="E110" s="3546"/>
      <c r="F110" s="3546"/>
      <c r="G110" s="3546"/>
      <c r="H110" s="3546"/>
      <c r="I110" s="3546"/>
      <c r="J110" s="3546"/>
      <c r="K110" s="2887"/>
      <c r="L110" s="2887"/>
      <c r="M110" s="2887"/>
      <c r="N110" s="2887"/>
    </row>
    <row r="112" spans="1:14" ht="13.5" thickBot="1"/>
    <row r="113" spans="1:13" ht="15.75" thickBot="1">
      <c r="A113" s="903" t="s">
        <v>2975</v>
      </c>
      <c r="B113" s="1287">
        <f>G3</f>
        <v>2.8</v>
      </c>
      <c r="C113" s="904" t="s">
        <v>2976</v>
      </c>
      <c r="D113" s="905">
        <f>SUMPRODUCT((A115:A118=F113)*(B114:M114=H113)*B115:M118)</f>
        <v>0.85240000000000005</v>
      </c>
      <c r="E113" s="2718" t="s">
        <v>2810</v>
      </c>
      <c r="F113" s="2889" t="str">
        <f>E2</f>
        <v>住宅</v>
      </c>
      <c r="G113" s="2718" t="s">
        <v>2811</v>
      </c>
      <c r="H113" s="2889" t="str">
        <f>G2</f>
        <v>六级</v>
      </c>
      <c r="I113" s="2718"/>
      <c r="J113" s="2890"/>
      <c r="K113" s="2890"/>
      <c r="L113" s="2890"/>
      <c r="M113" s="2890"/>
    </row>
    <row r="114" spans="1:13">
      <c r="A114" s="908"/>
      <c r="B114" s="2891" t="s">
        <v>2977</v>
      </c>
      <c r="C114" s="2891" t="s">
        <v>2978</v>
      </c>
      <c r="D114" s="2891" t="s">
        <v>2979</v>
      </c>
      <c r="E114" s="2892" t="s">
        <v>2980</v>
      </c>
      <c r="F114" s="2892" t="s">
        <v>2981</v>
      </c>
      <c r="G114" s="2892" t="s">
        <v>2982</v>
      </c>
      <c r="H114" s="2893" t="s">
        <v>2983</v>
      </c>
      <c r="I114" s="2893" t="s">
        <v>2984</v>
      </c>
      <c r="J114" s="2894" t="s">
        <v>2985</v>
      </c>
      <c r="K114" s="2894" t="s">
        <v>2986</v>
      </c>
      <c r="L114" s="2894" t="s">
        <v>2987</v>
      </c>
      <c r="M114" s="2895" t="s">
        <v>2988</v>
      </c>
    </row>
    <row r="115" spans="1:13">
      <c r="A115" s="909" t="s">
        <v>2874</v>
      </c>
      <c r="B115" s="910">
        <f>ROUND(0.9335-0.0094*B113,4)</f>
        <v>0.90720000000000001</v>
      </c>
      <c r="C115" s="910">
        <f>B115</f>
        <v>0.90720000000000001</v>
      </c>
      <c r="D115" s="910">
        <f>ROUND(0.8331-0.0109*B113,4)</f>
        <v>0.80259999999999998</v>
      </c>
      <c r="E115" s="910">
        <f>D115</f>
        <v>0.80259999999999998</v>
      </c>
      <c r="F115" s="910">
        <f>E115</f>
        <v>0.80259999999999998</v>
      </c>
      <c r="G115" s="910">
        <f>F115</f>
        <v>0.80259999999999998</v>
      </c>
      <c r="H115" s="910">
        <f>G115</f>
        <v>0.80259999999999998</v>
      </c>
      <c r="I115" s="910">
        <f>ROUND(0.689-0.0155*B113,4)</f>
        <v>0.64559999999999995</v>
      </c>
      <c r="J115" s="910">
        <f t="shared" ref="J115:M118" si="33">I115</f>
        <v>0.64559999999999995</v>
      </c>
      <c r="K115" s="910">
        <f t="shared" si="33"/>
        <v>0.64559999999999995</v>
      </c>
      <c r="L115" s="910">
        <f t="shared" si="33"/>
        <v>0.64559999999999995</v>
      </c>
      <c r="M115" s="911">
        <f t="shared" si="33"/>
        <v>0.64559999999999995</v>
      </c>
    </row>
    <row r="116" spans="1:13">
      <c r="A116" s="909" t="s">
        <v>2875</v>
      </c>
      <c r="B116" s="910">
        <f>ROUND(0.949-0.012*B113,4)</f>
        <v>0.91539999999999999</v>
      </c>
      <c r="C116" s="910">
        <f>B116</f>
        <v>0.91539999999999999</v>
      </c>
      <c r="D116" s="910">
        <f>ROUND(0.8567-0.013*B113,4)</f>
        <v>0.82030000000000003</v>
      </c>
      <c r="E116" s="910">
        <f t="shared" ref="E116:H117" si="34">D116</f>
        <v>0.82030000000000003</v>
      </c>
      <c r="F116" s="910">
        <f t="shared" si="34"/>
        <v>0.82030000000000003</v>
      </c>
      <c r="G116" s="910">
        <f t="shared" si="34"/>
        <v>0.82030000000000003</v>
      </c>
      <c r="H116" s="910">
        <f t="shared" si="34"/>
        <v>0.82030000000000003</v>
      </c>
      <c r="I116" s="910">
        <f>ROUND(0.7694-0.014*B113,4)</f>
        <v>0.73019999999999996</v>
      </c>
      <c r="J116" s="910">
        <f t="shared" si="33"/>
        <v>0.73019999999999996</v>
      </c>
      <c r="K116" s="910">
        <f t="shared" si="33"/>
        <v>0.73019999999999996</v>
      </c>
      <c r="L116" s="910">
        <f t="shared" si="33"/>
        <v>0.73019999999999996</v>
      </c>
      <c r="M116" s="911">
        <f t="shared" si="33"/>
        <v>0.73019999999999996</v>
      </c>
    </row>
    <row r="117" spans="1:13">
      <c r="A117" s="909" t="s">
        <v>2876</v>
      </c>
      <c r="B117" s="910">
        <f>ROUND(0.8808-0.006*B113,4)</f>
        <v>0.86399999999999999</v>
      </c>
      <c r="C117" s="910">
        <f>B117</f>
        <v>0.86399999999999999</v>
      </c>
      <c r="D117" s="910">
        <f>ROUND(0.8748-0.008*B113,4)</f>
        <v>0.85240000000000005</v>
      </c>
      <c r="E117" s="910">
        <f t="shared" si="34"/>
        <v>0.85240000000000005</v>
      </c>
      <c r="F117" s="910">
        <f t="shared" si="34"/>
        <v>0.85240000000000005</v>
      </c>
      <c r="G117" s="910">
        <f t="shared" si="34"/>
        <v>0.85240000000000005</v>
      </c>
      <c r="H117" s="910">
        <f t="shared" si="34"/>
        <v>0.85240000000000005</v>
      </c>
      <c r="I117" s="910">
        <f>ROUND(0.7412-0.0095*B113,4)</f>
        <v>0.71460000000000001</v>
      </c>
      <c r="J117" s="910">
        <f t="shared" si="33"/>
        <v>0.71460000000000001</v>
      </c>
      <c r="K117" s="910">
        <f t="shared" si="33"/>
        <v>0.71460000000000001</v>
      </c>
      <c r="L117" s="910">
        <f t="shared" si="33"/>
        <v>0.71460000000000001</v>
      </c>
      <c r="M117" s="911">
        <f t="shared" si="33"/>
        <v>0.71460000000000001</v>
      </c>
    </row>
    <row r="118" spans="1:13" ht="13.5" thickBot="1">
      <c r="A118" s="714" t="s">
        <v>2877</v>
      </c>
      <c r="B118" s="912">
        <f>ROUND(0.7275-0.01*B113,4)</f>
        <v>0.69950000000000001</v>
      </c>
      <c r="C118" s="912">
        <f>B118</f>
        <v>0.69950000000000001</v>
      </c>
      <c r="D118" s="912">
        <f>ROUND(0.7043-0.012*B113,4)</f>
        <v>0.67069999999999996</v>
      </c>
      <c r="E118" s="912">
        <f>D118</f>
        <v>0.67069999999999996</v>
      </c>
      <c r="F118" s="912">
        <f>E118</f>
        <v>0.67069999999999996</v>
      </c>
      <c r="G118" s="912">
        <f>ROUND(0.6299-0.0122*B113,4)</f>
        <v>0.59570000000000001</v>
      </c>
      <c r="H118" s="912">
        <f>G118</f>
        <v>0.59570000000000001</v>
      </c>
      <c r="I118" s="912">
        <f>ROUND(0.5667-0.0136*B113,4)</f>
        <v>0.52859999999999996</v>
      </c>
      <c r="J118" s="912">
        <f t="shared" si="33"/>
        <v>0.52859999999999996</v>
      </c>
      <c r="K118" s="912">
        <f t="shared" si="33"/>
        <v>0.52859999999999996</v>
      </c>
      <c r="L118" s="912">
        <f t="shared" si="33"/>
        <v>0.52859999999999996</v>
      </c>
      <c r="M118" s="913">
        <f t="shared" si="33"/>
        <v>0.52859999999999996</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B00-000000000000}">
      <formula1>"500米范围内,500-1000米,1000米以外"</formula1>
    </dataValidation>
    <dataValidation type="list" allowBlank="1" showInputMessage="1" showErrorMessage="1" sqref="C14:E14" xr:uid="{00000000-0002-0000-2B00-000001000000}">
      <formula1>"有,无"</formula1>
    </dataValidation>
    <dataValidation type="list" allowBlank="1" showInputMessage="1" showErrorMessage="1" sqref="B21" xr:uid="{00000000-0002-0000-2B00-000002000000}">
      <formula1>"容积率修正,楼层修正"</formula1>
    </dataValidation>
    <dataValidation type="list" allowBlank="1" showInputMessage="1" showErrorMessage="1" sqref="F17" xr:uid="{00000000-0002-0000-2B00-000003000000}">
      <formula1>"与级别开发程度一致,与级别开发程度不一致"</formula1>
    </dataValidation>
    <dataValidation type="list" allowBlank="1" showInputMessage="1" showErrorMessage="1" sqref="E2" xr:uid="{00000000-0002-0000-2B00-000004000000}">
      <formula1>"商业,办公,住宅,工业"</formula1>
    </dataValidation>
    <dataValidation type="list" allowBlank="1" showInputMessage="1" showErrorMessage="1" sqref="F3" xr:uid="{00000000-0002-0000-2B00-000005000000}">
      <formula1>"宗地容积率,估价对象容积率,自定义容积率"</formula1>
    </dataValidation>
    <dataValidation type="list" allowBlank="1" showInputMessage="1" showErrorMessage="1" sqref="C8" xr:uid="{00000000-0002-0000-2B00-000006000000}">
      <formula1>商业街名称</formula1>
    </dataValidation>
    <dataValidation type="list" allowBlank="1" showInputMessage="1" showErrorMessage="1" sqref="E3" xr:uid="{00000000-0002-0000-2B00-000007000000}">
      <formula1>二级分类</formula1>
    </dataValidation>
    <dataValidation type="list" allowBlank="1" showInputMessage="1" showErrorMessage="1" sqref="C81:C88 C70:C78 C48:C56 C59:C67" xr:uid="{00000000-0002-0000-2B00-000008000000}">
      <formula1>五等判定</formula1>
    </dataValidation>
    <dataValidation type="list" allowBlank="1" showInputMessage="1" showErrorMessage="1" sqref="H19" xr:uid="{00000000-0002-0000-2B00-000009000000}">
      <formula1>"地价指数,季度增幅（自定义）,按公示增长率计算"</formula1>
    </dataValidation>
    <dataValidation type="list" allowBlank="1" showInputMessage="1" showErrorMessage="1" sqref="H16:O16" xr:uid="{00000000-0002-0000-2B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N2:P51"/>
  <sheetViews>
    <sheetView topLeftCell="A19" workbookViewId="0">
      <selection activeCell="Q20" sqref="Q20:Q21"/>
    </sheetView>
  </sheetViews>
  <sheetFormatPr defaultColWidth="9" defaultRowHeight="13.5"/>
  <cols>
    <col min="1" max="16384" width="9" style="2970"/>
  </cols>
  <sheetData>
    <row r="2" spans="14:16">
      <c r="N2" s="2970">
        <f>2500/43</f>
        <v>58.139534883720927</v>
      </c>
      <c r="P2" s="2970">
        <f>(N2+N12+N22+N31+N42+N51)/6</f>
        <v>44.56583907951665</v>
      </c>
    </row>
    <row r="4" spans="14:16">
      <c r="P4" s="2970">
        <f>P2*0.8</f>
        <v>35.652671263613321</v>
      </c>
    </row>
    <row r="12" spans="14:16">
      <c r="N12" s="2970">
        <f>2500/69</f>
        <v>36.231884057971016</v>
      </c>
    </row>
    <row r="22" spans="14:14">
      <c r="N22" s="2970">
        <f>1500/32</f>
        <v>46.875</v>
      </c>
    </row>
    <row r="31" spans="14:14">
      <c r="N31" s="2970">
        <f>2300/56</f>
        <v>41.071428571428569</v>
      </c>
    </row>
    <row r="42" spans="14:14">
      <c r="N42" s="2970">
        <f>2500/55</f>
        <v>45.454545454545453</v>
      </c>
    </row>
    <row r="51" spans="14:14">
      <c r="N51" s="2970">
        <f>2100/53</f>
        <v>39.622641509433961</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topLeftCell="A7" workbookViewId="0">
      <selection activeCell="Q20" sqref="Q20:Q21"/>
    </sheetView>
  </sheetViews>
  <sheetFormatPr defaultColWidth="8.875" defaultRowHeight="13.5"/>
  <cols>
    <col min="1" max="16384" width="8.875" style="2970"/>
  </cols>
  <sheetData/>
  <phoneticPr fontId="143"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19"/>
  <sheetViews>
    <sheetView workbookViewId="0">
      <selection activeCell="A15" sqref="A15:M15"/>
    </sheetView>
  </sheetViews>
  <sheetFormatPr defaultColWidth="8.125" defaultRowHeight="19.5" customHeight="1"/>
  <cols>
    <col min="1" max="1" width="13.625" style="816" customWidth="1"/>
    <col min="2" max="9" width="8.125" style="878" customWidth="1"/>
    <col min="10" max="13" width="8.125" style="816"/>
    <col min="14" max="14" width="10" style="816" customWidth="1"/>
    <col min="15" max="16" width="8.125" style="816"/>
    <col min="17" max="17" width="34.125" style="816" customWidth="1"/>
    <col min="18" max="18" width="8.125" style="816" customWidth="1"/>
    <col min="19" max="19" width="8.125" style="816"/>
    <col min="20" max="20" width="11.625" style="816" customWidth="1"/>
    <col min="21" max="16384" width="8.1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556" t="s">
        <v>183</v>
      </c>
      <c r="B18" s="882" t="s">
        <v>560</v>
      </c>
      <c r="C18" s="883" t="s">
        <v>561</v>
      </c>
      <c r="D18" s="884"/>
      <c r="E18" s="882">
        <v>1</v>
      </c>
      <c r="F18" s="885" t="s">
        <v>562</v>
      </c>
      <c r="G18" s="886"/>
      <c r="H18" s="878"/>
      <c r="I18" s="878"/>
    </row>
    <row r="19" spans="1:9" s="887" customFormat="1" ht="19.5" customHeight="1">
      <c r="A19" s="3556"/>
      <c r="B19" s="3556" t="s">
        <v>563</v>
      </c>
      <c r="C19" s="883" t="s">
        <v>564</v>
      </c>
      <c r="D19" s="884"/>
      <c r="E19" s="882">
        <v>0.9</v>
      </c>
      <c r="F19" s="885" t="s">
        <v>565</v>
      </c>
      <c r="G19" s="886"/>
      <c r="H19" s="878"/>
      <c r="I19" s="878"/>
    </row>
    <row r="20" spans="1:9" s="887" customFormat="1" ht="19.5" customHeight="1">
      <c r="A20" s="3556"/>
      <c r="B20" s="3556"/>
      <c r="C20" s="883" t="s">
        <v>566</v>
      </c>
      <c r="D20" s="884"/>
      <c r="E20" s="882">
        <v>1.1000000000000001</v>
      </c>
      <c r="F20" s="885" t="s">
        <v>567</v>
      </c>
      <c r="G20" s="886"/>
      <c r="H20" s="878"/>
      <c r="I20" s="878"/>
    </row>
    <row r="21" spans="1:9" s="887" customFormat="1" ht="19.5" customHeight="1">
      <c r="A21" s="3556"/>
      <c r="B21" s="3556"/>
      <c r="C21" s="883" t="s">
        <v>568</v>
      </c>
      <c r="D21" s="884"/>
      <c r="E21" s="882">
        <v>0.8</v>
      </c>
      <c r="F21" s="885" t="s">
        <v>569</v>
      </c>
      <c r="G21" s="886"/>
      <c r="H21" s="878"/>
      <c r="I21" s="878"/>
    </row>
    <row r="22" spans="1:9" s="887" customFormat="1" ht="19.5" customHeight="1">
      <c r="A22" s="3556"/>
      <c r="B22" s="3556"/>
      <c r="C22" s="883" t="s">
        <v>570</v>
      </c>
      <c r="D22" s="884"/>
      <c r="E22" s="882">
        <v>0.5</v>
      </c>
      <c r="F22" s="885"/>
      <c r="G22" s="886"/>
      <c r="H22" s="878"/>
      <c r="I22" s="878"/>
    </row>
    <row r="23" spans="1:9" s="887" customFormat="1" ht="19.5" customHeight="1">
      <c r="A23" s="3556" t="s">
        <v>184</v>
      </c>
      <c r="B23" s="882" t="s">
        <v>560</v>
      </c>
      <c r="C23" s="883" t="s">
        <v>571</v>
      </c>
      <c r="D23" s="884"/>
      <c r="E23" s="882">
        <v>1</v>
      </c>
      <c r="F23" s="885" t="s">
        <v>572</v>
      </c>
      <c r="G23" s="886"/>
      <c r="H23" s="878"/>
      <c r="I23" s="878"/>
    </row>
    <row r="24" spans="1:9" s="887" customFormat="1" ht="19.5" customHeight="1">
      <c r="A24" s="3556"/>
      <c r="B24" s="3556" t="s">
        <v>563</v>
      </c>
      <c r="C24" s="883" t="s">
        <v>573</v>
      </c>
      <c r="D24" s="884"/>
      <c r="E24" s="882">
        <v>0.5</v>
      </c>
      <c r="F24" s="885"/>
      <c r="G24" s="886"/>
      <c r="H24" s="878"/>
      <c r="I24" s="878"/>
    </row>
    <row r="25" spans="1:9" s="887" customFormat="1" ht="19.5" customHeight="1">
      <c r="A25" s="3556"/>
      <c r="B25" s="3556"/>
      <c r="C25" s="883" t="s">
        <v>574</v>
      </c>
      <c r="D25" s="884"/>
      <c r="E25" s="882">
        <v>1.1000000000000001</v>
      </c>
      <c r="F25" s="885"/>
      <c r="G25" s="886"/>
      <c r="H25" s="878"/>
      <c r="I25" s="878"/>
    </row>
    <row r="26" spans="1:9" s="887" customFormat="1" ht="19.5" customHeight="1">
      <c r="A26" s="3556"/>
      <c r="B26" s="3556"/>
      <c r="C26" s="883" t="s">
        <v>575</v>
      </c>
      <c r="D26" s="884"/>
      <c r="E26" s="882">
        <v>1.1000000000000001</v>
      </c>
      <c r="F26" s="885"/>
      <c r="G26" s="886"/>
      <c r="H26" s="878"/>
      <c r="I26" s="878"/>
    </row>
    <row r="27" spans="1:9" s="887" customFormat="1" ht="19.5" customHeight="1">
      <c r="A27" s="3556"/>
      <c r="B27" s="3556"/>
      <c r="C27" s="883" t="s">
        <v>576</v>
      </c>
      <c r="D27" s="884"/>
      <c r="E27" s="882">
        <v>0.9</v>
      </c>
      <c r="F27" s="885" t="s">
        <v>577</v>
      </c>
      <c r="G27" s="886"/>
      <c r="H27" s="878"/>
      <c r="I27" s="878"/>
    </row>
    <row r="28" spans="1:9" s="887" customFormat="1" ht="19.5" customHeight="1">
      <c r="A28" s="3556"/>
      <c r="B28" s="3556"/>
      <c r="C28" s="883" t="s">
        <v>578</v>
      </c>
      <c r="D28" s="884"/>
      <c r="E28" s="882">
        <v>0.9</v>
      </c>
      <c r="F28" s="885" t="s">
        <v>579</v>
      </c>
      <c r="G28" s="886"/>
      <c r="H28" s="878"/>
      <c r="I28" s="878"/>
    </row>
    <row r="29" spans="1:9" s="887" customFormat="1" ht="19.5" customHeight="1">
      <c r="A29" s="3556"/>
      <c r="B29" s="3556"/>
      <c r="C29" s="883" t="s">
        <v>580</v>
      </c>
      <c r="D29" s="884"/>
      <c r="E29" s="882">
        <v>0.9</v>
      </c>
      <c r="F29" s="885" t="s">
        <v>581</v>
      </c>
      <c r="G29" s="886"/>
      <c r="H29" s="878"/>
      <c r="I29" s="878"/>
    </row>
    <row r="30" spans="1:9" s="887" customFormat="1" ht="19.5" customHeight="1">
      <c r="A30" s="3556"/>
      <c r="B30" s="3556"/>
      <c r="C30" s="883" t="s">
        <v>582</v>
      </c>
      <c r="D30" s="884"/>
      <c r="E30" s="882">
        <v>0.9</v>
      </c>
      <c r="F30" s="885" t="s">
        <v>583</v>
      </c>
      <c r="G30" s="886"/>
      <c r="H30" s="878"/>
      <c r="I30" s="878"/>
    </row>
    <row r="31" spans="1:9" s="887" customFormat="1" ht="19.5" customHeight="1">
      <c r="A31" s="3556"/>
      <c r="B31" s="3556"/>
      <c r="C31" s="883" t="s">
        <v>584</v>
      </c>
      <c r="D31" s="884"/>
      <c r="E31" s="882">
        <v>0.8</v>
      </c>
      <c r="F31" s="885" t="s">
        <v>585</v>
      </c>
      <c r="G31" s="886"/>
      <c r="H31" s="878"/>
      <c r="I31" s="878"/>
    </row>
    <row r="32" spans="1:9" s="887" customFormat="1" ht="19.5" customHeight="1">
      <c r="A32" s="3556"/>
      <c r="B32" s="3556"/>
      <c r="C32" s="883" t="s">
        <v>586</v>
      </c>
      <c r="D32" s="884"/>
      <c r="E32" s="882">
        <v>0.8</v>
      </c>
      <c r="F32" s="885" t="s">
        <v>587</v>
      </c>
      <c r="G32" s="886"/>
      <c r="H32" s="878"/>
      <c r="I32" s="878"/>
    </row>
    <row r="33" spans="1:9" s="887" customFormat="1" ht="19.5" customHeight="1">
      <c r="A33" s="3556" t="s">
        <v>185</v>
      </c>
      <c r="B33" s="882" t="s">
        <v>560</v>
      </c>
      <c r="C33" s="883" t="s">
        <v>588</v>
      </c>
      <c r="D33" s="884"/>
      <c r="E33" s="882">
        <v>1</v>
      </c>
      <c r="F33" s="885" t="s">
        <v>589</v>
      </c>
      <c r="G33" s="886"/>
      <c r="H33" s="878"/>
      <c r="I33" s="878"/>
    </row>
    <row r="34" spans="1:9" s="887" customFormat="1" ht="19.5" customHeight="1">
      <c r="A34" s="3556"/>
      <c r="B34" s="882" t="s">
        <v>563</v>
      </c>
      <c r="C34" s="883" t="s">
        <v>590</v>
      </c>
      <c r="D34" s="884"/>
      <c r="E34" s="882">
        <v>1.5</v>
      </c>
      <c r="F34" s="885" t="s">
        <v>591</v>
      </c>
      <c r="G34" s="886"/>
      <c r="H34" s="878"/>
      <c r="I34" s="878"/>
    </row>
    <row r="35" spans="1:9" s="887" customFormat="1" ht="19.5" customHeight="1">
      <c r="A35" s="3556" t="s">
        <v>186</v>
      </c>
      <c r="B35" s="882" t="s">
        <v>560</v>
      </c>
      <c r="C35" s="883" t="s">
        <v>592</v>
      </c>
      <c r="D35" s="884"/>
      <c r="E35" s="882">
        <v>1</v>
      </c>
      <c r="F35" s="885" t="s">
        <v>593</v>
      </c>
      <c r="G35" s="886"/>
      <c r="H35" s="878"/>
      <c r="I35" s="878"/>
    </row>
    <row r="36" spans="1:9" s="887" customFormat="1" ht="19.5" customHeight="1">
      <c r="A36" s="3556"/>
      <c r="B36" s="3556" t="s">
        <v>563</v>
      </c>
      <c r="C36" s="883" t="s">
        <v>594</v>
      </c>
      <c r="D36" s="884"/>
      <c r="E36" s="882">
        <v>1</v>
      </c>
      <c r="F36" s="885" t="s">
        <v>595</v>
      </c>
      <c r="G36" s="886"/>
      <c r="H36" s="878"/>
      <c r="I36" s="878"/>
    </row>
    <row r="37" spans="1:9" s="887" customFormat="1" ht="19.5" customHeight="1">
      <c r="A37" s="3556"/>
      <c r="B37" s="3556"/>
      <c r="C37" s="883" t="s">
        <v>596</v>
      </c>
      <c r="D37" s="884"/>
      <c r="E37" s="882">
        <v>1.5</v>
      </c>
      <c r="F37" s="885" t="s">
        <v>597</v>
      </c>
      <c r="G37" s="886"/>
      <c r="H37" s="878"/>
      <c r="I37" s="878"/>
    </row>
    <row r="38" spans="1:9" s="887" customFormat="1" ht="19.5" customHeight="1">
      <c r="A38" s="3556"/>
      <c r="B38" s="3556"/>
      <c r="C38" s="883" t="s">
        <v>598</v>
      </c>
      <c r="D38" s="884"/>
      <c r="E38" s="882">
        <v>1</v>
      </c>
      <c r="F38" s="885" t="s">
        <v>599</v>
      </c>
      <c r="G38" s="886"/>
      <c r="H38" s="878"/>
      <c r="I38" s="878"/>
    </row>
    <row r="39" spans="1:9" s="887" customFormat="1" ht="19.5" customHeight="1">
      <c r="A39" s="3556"/>
      <c r="B39" s="355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556" t="s">
        <v>614</v>
      </c>
      <c r="C61" s="818" t="s">
        <v>615</v>
      </c>
      <c r="D61" s="818" t="s">
        <v>616</v>
      </c>
      <c r="E61" s="895">
        <v>0.5</v>
      </c>
      <c r="F61" s="882">
        <v>80</v>
      </c>
    </row>
    <row r="62" spans="1:8" s="878" customFormat="1" ht="24">
      <c r="A62" s="882">
        <v>2</v>
      </c>
      <c r="B62" s="3556"/>
      <c r="C62" s="818" t="s">
        <v>617</v>
      </c>
      <c r="D62" s="818" t="s">
        <v>618</v>
      </c>
      <c r="E62" s="895">
        <v>0.5</v>
      </c>
      <c r="F62" s="882">
        <v>80</v>
      </c>
    </row>
    <row r="63" spans="1:8" s="878" customFormat="1" ht="36">
      <c r="A63" s="882">
        <v>3</v>
      </c>
      <c r="B63" s="3556"/>
      <c r="C63" s="818" t="s">
        <v>619</v>
      </c>
      <c r="D63" s="818" t="s">
        <v>620</v>
      </c>
      <c r="E63" s="895">
        <v>0.5</v>
      </c>
      <c r="F63" s="882">
        <v>80</v>
      </c>
    </row>
    <row r="64" spans="1:8" s="878" customFormat="1" ht="36">
      <c r="A64" s="882">
        <v>4</v>
      </c>
      <c r="B64" s="3556"/>
      <c r="C64" s="818" t="s">
        <v>621</v>
      </c>
      <c r="D64" s="818" t="s">
        <v>622</v>
      </c>
      <c r="E64" s="895">
        <v>0.4</v>
      </c>
      <c r="F64" s="882">
        <v>60</v>
      </c>
    </row>
    <row r="65" spans="1:6" s="878" customFormat="1" ht="36">
      <c r="A65" s="882">
        <v>5</v>
      </c>
      <c r="B65" s="3556"/>
      <c r="C65" s="818" t="s">
        <v>623</v>
      </c>
      <c r="D65" s="818" t="s">
        <v>624</v>
      </c>
      <c r="E65" s="895">
        <v>0.2</v>
      </c>
      <c r="F65" s="882">
        <v>30</v>
      </c>
    </row>
    <row r="66" spans="1:6" s="878" customFormat="1" ht="36">
      <c r="A66" s="882">
        <v>6</v>
      </c>
      <c r="B66" s="3556"/>
      <c r="C66" s="818" t="s">
        <v>625</v>
      </c>
      <c r="D66" s="818" t="s">
        <v>626</v>
      </c>
      <c r="E66" s="895">
        <v>0.3</v>
      </c>
      <c r="F66" s="882">
        <v>50</v>
      </c>
    </row>
    <row r="67" spans="1:6" s="878" customFormat="1" ht="36">
      <c r="A67" s="882">
        <v>7</v>
      </c>
      <c r="B67" s="3556"/>
      <c r="C67" s="818" t="s">
        <v>627</v>
      </c>
      <c r="D67" s="818" t="s">
        <v>628</v>
      </c>
      <c r="E67" s="895">
        <v>0.2</v>
      </c>
      <c r="F67" s="882">
        <v>30</v>
      </c>
    </row>
    <row r="68" spans="1:6" s="878" customFormat="1" ht="36">
      <c r="A68" s="882">
        <v>8</v>
      </c>
      <c r="B68" s="3556"/>
      <c r="C68" s="818" t="s">
        <v>629</v>
      </c>
      <c r="D68" s="818" t="s">
        <v>630</v>
      </c>
      <c r="E68" s="895">
        <v>0.2</v>
      </c>
      <c r="F68" s="882">
        <v>30</v>
      </c>
    </row>
    <row r="69" spans="1:6" s="878" customFormat="1" ht="36">
      <c r="A69" s="882">
        <v>9</v>
      </c>
      <c r="B69" s="3556"/>
      <c r="C69" s="818" t="s">
        <v>631</v>
      </c>
      <c r="D69" s="818" t="s">
        <v>632</v>
      </c>
      <c r="E69" s="895">
        <v>0.2</v>
      </c>
      <c r="F69" s="882">
        <v>30</v>
      </c>
    </row>
    <row r="70" spans="1:6" s="878" customFormat="1" ht="48">
      <c r="A70" s="882">
        <v>10</v>
      </c>
      <c r="B70" s="3556"/>
      <c r="C70" s="818" t="s">
        <v>633</v>
      </c>
      <c r="D70" s="818" t="s">
        <v>634</v>
      </c>
      <c r="E70" s="895">
        <v>0.2</v>
      </c>
      <c r="F70" s="882">
        <v>30</v>
      </c>
    </row>
    <row r="71" spans="1:6" s="878" customFormat="1" ht="48">
      <c r="A71" s="882">
        <v>11</v>
      </c>
      <c r="B71" s="3556"/>
      <c r="C71" s="818" t="s">
        <v>635</v>
      </c>
      <c r="D71" s="818" t="s">
        <v>636</v>
      </c>
      <c r="E71" s="895">
        <v>0.2</v>
      </c>
      <c r="F71" s="882">
        <v>30</v>
      </c>
    </row>
    <row r="72" spans="1:6" s="878" customFormat="1" ht="36">
      <c r="A72" s="882">
        <v>12</v>
      </c>
      <c r="B72" s="3556"/>
      <c r="C72" s="818" t="s">
        <v>637</v>
      </c>
      <c r="D72" s="818" t="s">
        <v>638</v>
      </c>
      <c r="E72" s="895">
        <v>0.5</v>
      </c>
      <c r="F72" s="882">
        <v>80</v>
      </c>
    </row>
    <row r="73" spans="1:6" s="878" customFormat="1" ht="24">
      <c r="A73" s="882">
        <v>13</v>
      </c>
      <c r="B73" s="3556"/>
      <c r="C73" s="818" t="s">
        <v>639</v>
      </c>
      <c r="D73" s="818" t="s">
        <v>640</v>
      </c>
      <c r="E73" s="895">
        <v>0.4</v>
      </c>
      <c r="F73" s="882">
        <v>60</v>
      </c>
    </row>
    <row r="74" spans="1:6" s="878" customFormat="1" ht="24">
      <c r="A74" s="882">
        <v>14</v>
      </c>
      <c r="B74" s="3556"/>
      <c r="C74" s="818" t="s">
        <v>641</v>
      </c>
      <c r="D74" s="818" t="s">
        <v>642</v>
      </c>
      <c r="E74" s="895">
        <v>0.2</v>
      </c>
      <c r="F74" s="882">
        <v>30</v>
      </c>
    </row>
    <row r="75" spans="1:6" s="878" customFormat="1" ht="24">
      <c r="A75" s="882">
        <v>15</v>
      </c>
      <c r="B75" s="3556"/>
      <c r="C75" s="818" t="s">
        <v>643</v>
      </c>
      <c r="D75" s="818" t="s">
        <v>644</v>
      </c>
      <c r="E75" s="895">
        <v>0.2</v>
      </c>
      <c r="F75" s="882">
        <v>30</v>
      </c>
    </row>
    <row r="76" spans="1:6" s="878" customFormat="1" ht="24">
      <c r="A76" s="882">
        <v>16</v>
      </c>
      <c r="B76" s="3556" t="s">
        <v>645</v>
      </c>
      <c r="C76" s="818" t="s">
        <v>646</v>
      </c>
      <c r="D76" s="818" t="s">
        <v>647</v>
      </c>
      <c r="E76" s="895">
        <v>0.5</v>
      </c>
      <c r="F76" s="882">
        <v>80</v>
      </c>
    </row>
    <row r="77" spans="1:6" s="878" customFormat="1" ht="24">
      <c r="A77" s="882">
        <v>17</v>
      </c>
      <c r="B77" s="3556"/>
      <c r="C77" s="818" t="s">
        <v>648</v>
      </c>
      <c r="D77" s="818" t="s">
        <v>649</v>
      </c>
      <c r="E77" s="895">
        <v>0.5</v>
      </c>
      <c r="F77" s="882">
        <v>80</v>
      </c>
    </row>
    <row r="78" spans="1:6" s="878" customFormat="1" ht="24">
      <c r="A78" s="882">
        <v>18</v>
      </c>
      <c r="B78" s="3556"/>
      <c r="C78" s="818" t="s">
        <v>650</v>
      </c>
      <c r="D78" s="818" t="s">
        <v>651</v>
      </c>
      <c r="E78" s="895">
        <v>0.2</v>
      </c>
      <c r="F78" s="882">
        <v>30</v>
      </c>
    </row>
    <row r="79" spans="1:6" s="878" customFormat="1" ht="24">
      <c r="A79" s="882">
        <v>19</v>
      </c>
      <c r="B79" s="3556"/>
      <c r="C79" s="818" t="s">
        <v>652</v>
      </c>
      <c r="D79" s="818" t="s">
        <v>653</v>
      </c>
      <c r="E79" s="895">
        <v>0.5</v>
      </c>
      <c r="F79" s="882">
        <v>80</v>
      </c>
    </row>
    <row r="80" spans="1:6" s="878" customFormat="1" ht="36">
      <c r="A80" s="882">
        <v>20</v>
      </c>
      <c r="B80" s="3556"/>
      <c r="C80" s="818" t="s">
        <v>654</v>
      </c>
      <c r="D80" s="818" t="s">
        <v>655</v>
      </c>
      <c r="E80" s="895">
        <v>0.2</v>
      </c>
      <c r="F80" s="882">
        <v>30</v>
      </c>
    </row>
    <row r="81" spans="1:6" s="878" customFormat="1" ht="36">
      <c r="A81" s="882">
        <v>21</v>
      </c>
      <c r="B81" s="3556"/>
      <c r="C81" s="818" t="s">
        <v>656</v>
      </c>
      <c r="D81" s="818" t="s">
        <v>657</v>
      </c>
      <c r="E81" s="895">
        <v>0.2</v>
      </c>
      <c r="F81" s="882">
        <v>30</v>
      </c>
    </row>
    <row r="82" spans="1:6" s="878" customFormat="1" ht="48">
      <c r="A82" s="882">
        <v>22</v>
      </c>
      <c r="B82" s="3556"/>
      <c r="C82" s="818" t="s">
        <v>658</v>
      </c>
      <c r="D82" s="818" t="s">
        <v>659</v>
      </c>
      <c r="E82" s="895">
        <v>0.2</v>
      </c>
      <c r="F82" s="882">
        <v>30</v>
      </c>
    </row>
    <row r="83" spans="1:6" s="878" customFormat="1" ht="48">
      <c r="A83" s="882">
        <v>23</v>
      </c>
      <c r="B83" s="3556"/>
      <c r="C83" s="818" t="s">
        <v>660</v>
      </c>
      <c r="D83" s="818" t="s">
        <v>661</v>
      </c>
      <c r="E83" s="895">
        <v>0.2</v>
      </c>
      <c r="F83" s="882">
        <v>30</v>
      </c>
    </row>
    <row r="84" spans="1:6" s="878" customFormat="1" ht="36">
      <c r="A84" s="882">
        <v>24</v>
      </c>
      <c r="B84" s="3556"/>
      <c r="C84" s="818" t="s">
        <v>662</v>
      </c>
      <c r="D84" s="818" t="s">
        <v>663</v>
      </c>
      <c r="E84" s="895">
        <v>0.2</v>
      </c>
      <c r="F84" s="882">
        <v>30</v>
      </c>
    </row>
    <row r="85" spans="1:6" s="878" customFormat="1" ht="36">
      <c r="A85" s="882">
        <v>25</v>
      </c>
      <c r="B85" s="3556"/>
      <c r="C85" s="818" t="s">
        <v>664</v>
      </c>
      <c r="D85" s="818" t="s">
        <v>665</v>
      </c>
      <c r="E85" s="895">
        <v>0.5</v>
      </c>
      <c r="F85" s="882">
        <v>80</v>
      </c>
    </row>
    <row r="86" spans="1:6" s="878" customFormat="1" ht="36">
      <c r="A86" s="882">
        <v>26</v>
      </c>
      <c r="B86" s="3556"/>
      <c r="C86" s="818" t="s">
        <v>666</v>
      </c>
      <c r="D86" s="818" t="s">
        <v>667</v>
      </c>
      <c r="E86" s="895">
        <v>0.2</v>
      </c>
      <c r="F86" s="882">
        <v>30</v>
      </c>
    </row>
    <row r="87" spans="1:6" s="878" customFormat="1" ht="36">
      <c r="A87" s="882">
        <v>27</v>
      </c>
      <c r="B87" s="3556"/>
      <c r="C87" s="818" t="s">
        <v>668</v>
      </c>
      <c r="D87" s="818" t="s">
        <v>669</v>
      </c>
      <c r="E87" s="895">
        <v>0.2</v>
      </c>
      <c r="F87" s="882">
        <v>30</v>
      </c>
    </row>
    <row r="88" spans="1:6" s="878" customFormat="1" ht="36">
      <c r="A88" s="882">
        <v>28</v>
      </c>
      <c r="B88" s="3556"/>
      <c r="C88" s="818" t="s">
        <v>670</v>
      </c>
      <c r="D88" s="818" t="s">
        <v>671</v>
      </c>
      <c r="E88" s="895">
        <v>0.2</v>
      </c>
      <c r="F88" s="882">
        <v>30</v>
      </c>
    </row>
    <row r="89" spans="1:6" s="878" customFormat="1" ht="24">
      <c r="A89" s="882">
        <v>29</v>
      </c>
      <c r="B89" s="3556"/>
      <c r="C89" s="818" t="s">
        <v>672</v>
      </c>
      <c r="D89" s="818" t="s">
        <v>673</v>
      </c>
      <c r="E89" s="895">
        <v>0.2</v>
      </c>
      <c r="F89" s="882">
        <v>30</v>
      </c>
    </row>
    <row r="90" spans="1:6" s="878" customFormat="1" ht="24">
      <c r="A90" s="882">
        <v>30</v>
      </c>
      <c r="B90" s="3556"/>
      <c r="C90" s="818" t="s">
        <v>674</v>
      </c>
      <c r="D90" s="818" t="s">
        <v>675</v>
      </c>
      <c r="E90" s="895">
        <v>0.2</v>
      </c>
      <c r="F90" s="882">
        <v>30</v>
      </c>
    </row>
    <row r="91" spans="1:6" s="878" customFormat="1" ht="36">
      <c r="A91" s="882">
        <v>31</v>
      </c>
      <c r="B91" s="3556"/>
      <c r="C91" s="818" t="s">
        <v>676</v>
      </c>
      <c r="D91" s="818" t="s">
        <v>677</v>
      </c>
      <c r="E91" s="895">
        <v>0.2</v>
      </c>
      <c r="F91" s="882">
        <v>30</v>
      </c>
    </row>
    <row r="92" spans="1:6" s="878" customFormat="1" ht="24">
      <c r="A92" s="882">
        <v>32</v>
      </c>
      <c r="B92" s="3556" t="s">
        <v>678</v>
      </c>
      <c r="C92" s="882" t="s">
        <v>679</v>
      </c>
      <c r="D92" s="818" t="s">
        <v>680</v>
      </c>
      <c r="E92" s="895">
        <v>0.2</v>
      </c>
      <c r="F92" s="882">
        <v>30</v>
      </c>
    </row>
    <row r="93" spans="1:6" s="878" customFormat="1" ht="36">
      <c r="A93" s="882">
        <v>33</v>
      </c>
      <c r="B93" s="3556"/>
      <c r="C93" s="882" t="s">
        <v>681</v>
      </c>
      <c r="D93" s="818" t="s">
        <v>682</v>
      </c>
      <c r="E93" s="895">
        <v>0.2</v>
      </c>
      <c r="F93" s="882">
        <v>30</v>
      </c>
    </row>
    <row r="94" spans="1:6" s="878" customFormat="1" ht="48">
      <c r="A94" s="882">
        <v>34</v>
      </c>
      <c r="B94" s="3556"/>
      <c r="C94" s="882" t="s">
        <v>683</v>
      </c>
      <c r="D94" s="818" t="s">
        <v>684</v>
      </c>
      <c r="E94" s="895">
        <v>0.2</v>
      </c>
      <c r="F94" s="882">
        <v>30</v>
      </c>
    </row>
    <row r="95" spans="1:6" s="878" customFormat="1" ht="36">
      <c r="A95" s="882">
        <v>35</v>
      </c>
      <c r="B95" s="3556"/>
      <c r="C95" s="882" t="s">
        <v>685</v>
      </c>
      <c r="D95" s="818" t="s">
        <v>686</v>
      </c>
      <c r="E95" s="895">
        <v>0.2</v>
      </c>
      <c r="F95" s="882">
        <v>30</v>
      </c>
    </row>
    <row r="96" spans="1:6" s="878" customFormat="1" ht="48">
      <c r="A96" s="882">
        <v>36</v>
      </c>
      <c r="B96" s="3556"/>
      <c r="C96" s="818" t="s">
        <v>687</v>
      </c>
      <c r="D96" s="818" t="s">
        <v>688</v>
      </c>
      <c r="E96" s="895">
        <v>0.2</v>
      </c>
      <c r="F96" s="882">
        <v>30</v>
      </c>
    </row>
    <row r="97" spans="1:6" s="878" customFormat="1" ht="36">
      <c r="A97" s="882">
        <v>37</v>
      </c>
      <c r="B97" s="3556"/>
      <c r="C97" s="882" t="s">
        <v>689</v>
      </c>
      <c r="D97" s="818" t="s">
        <v>690</v>
      </c>
      <c r="E97" s="895">
        <v>0.2</v>
      </c>
      <c r="F97" s="882">
        <v>30</v>
      </c>
    </row>
    <row r="98" spans="1:6" s="878" customFormat="1" ht="36">
      <c r="A98" s="882">
        <v>38</v>
      </c>
      <c r="B98" s="3556"/>
      <c r="C98" s="882" t="s">
        <v>691</v>
      </c>
      <c r="D98" s="818" t="s">
        <v>692</v>
      </c>
      <c r="E98" s="895">
        <v>0.2</v>
      </c>
      <c r="F98" s="882">
        <v>30</v>
      </c>
    </row>
    <row r="99" spans="1:6" s="878" customFormat="1" ht="36">
      <c r="A99" s="882">
        <v>39</v>
      </c>
      <c r="B99" s="3556" t="s">
        <v>693</v>
      </c>
      <c r="C99" s="882" t="s">
        <v>694</v>
      </c>
      <c r="D99" s="818" t="s">
        <v>695</v>
      </c>
      <c r="E99" s="895">
        <v>0.3</v>
      </c>
      <c r="F99" s="882">
        <v>50</v>
      </c>
    </row>
    <row r="100" spans="1:6" s="878" customFormat="1" ht="24">
      <c r="A100" s="882">
        <v>40</v>
      </c>
      <c r="B100" s="3556"/>
      <c r="C100" s="882" t="s">
        <v>696</v>
      </c>
      <c r="D100" s="818" t="s">
        <v>697</v>
      </c>
      <c r="E100" s="895">
        <v>0.2</v>
      </c>
      <c r="F100" s="882">
        <v>30</v>
      </c>
    </row>
    <row r="101" spans="1:6" s="878" customFormat="1" ht="36">
      <c r="A101" s="882">
        <v>41</v>
      </c>
      <c r="B101" s="355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556" t="s">
        <v>708</v>
      </c>
      <c r="C105" s="882" t="s">
        <v>709</v>
      </c>
      <c r="D105" s="818" t="s">
        <v>710</v>
      </c>
      <c r="E105" s="895">
        <v>0.2</v>
      </c>
      <c r="F105" s="882">
        <v>30</v>
      </c>
    </row>
    <row r="106" spans="1:6" s="878" customFormat="1" ht="36">
      <c r="A106" s="882">
        <v>46</v>
      </c>
      <c r="B106" s="3556"/>
      <c r="C106" s="882" t="s">
        <v>711</v>
      </c>
      <c r="D106" s="818" t="s">
        <v>712</v>
      </c>
      <c r="E106" s="895">
        <v>0.2</v>
      </c>
      <c r="F106" s="882">
        <v>30</v>
      </c>
    </row>
    <row r="107" spans="1:6" s="878" customFormat="1" ht="36">
      <c r="A107" s="882">
        <v>47</v>
      </c>
      <c r="B107" s="3556" t="s">
        <v>713</v>
      </c>
      <c r="C107" s="882" t="s">
        <v>714</v>
      </c>
      <c r="D107" s="818" t="s">
        <v>715</v>
      </c>
      <c r="E107" s="895">
        <v>0.3</v>
      </c>
      <c r="F107" s="882">
        <v>50</v>
      </c>
    </row>
    <row r="108" spans="1:6" s="878" customFormat="1" ht="36">
      <c r="A108" s="882">
        <v>48</v>
      </c>
      <c r="B108" s="355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556" t="s">
        <v>724</v>
      </c>
      <c r="C111" s="882" t="s">
        <v>725</v>
      </c>
      <c r="D111" s="818" t="s">
        <v>726</v>
      </c>
      <c r="E111" s="895">
        <v>0.2</v>
      </c>
      <c r="F111" s="882">
        <v>30</v>
      </c>
    </row>
    <row r="112" spans="1:6" s="878" customFormat="1" ht="24">
      <c r="A112" s="882">
        <v>52</v>
      </c>
      <c r="B112" s="3556"/>
      <c r="C112" s="882" t="s">
        <v>727</v>
      </c>
      <c r="D112" s="818" t="s">
        <v>728</v>
      </c>
      <c r="E112" s="895">
        <v>0.2</v>
      </c>
      <c r="F112" s="882">
        <v>30</v>
      </c>
    </row>
    <row r="113" spans="1:6" s="878" customFormat="1" ht="24">
      <c r="A113" s="882">
        <v>53</v>
      </c>
      <c r="B113" s="355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556" t="s">
        <v>737</v>
      </c>
      <c r="C116" s="882" t="s">
        <v>738</v>
      </c>
      <c r="D116" s="818" t="s">
        <v>739</v>
      </c>
      <c r="E116" s="895">
        <v>0.2</v>
      </c>
      <c r="F116" s="882">
        <v>30</v>
      </c>
    </row>
    <row r="117" spans="1:6" ht="36">
      <c r="A117" s="882">
        <v>57</v>
      </c>
      <c r="B117" s="355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0.96399999999999997</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5" t="s">
        <v>2997</v>
      </c>
    </row>
    <row r="2" spans="1:5" ht="15.75">
      <c r="A2" s="2896" t="s">
        <v>2989</v>
      </c>
      <c r="B2" s="2897">
        <f ca="1">SUMIF(B6:B13,"&lt;&gt;#ref!",B6:B13)</f>
        <v>24306</v>
      </c>
      <c r="C2" s="2896" t="s">
        <v>2990</v>
      </c>
      <c r="D2" s="2896" t="s">
        <v>2991</v>
      </c>
      <c r="E2" s="2897">
        <f ca="1">SUMIF(E6:E13,"&lt;&gt;#ref!",E6:E13)</f>
        <v>26168.29</v>
      </c>
    </row>
    <row r="3" spans="1:5" ht="15.75">
      <c r="A3" s="2896" t="s">
        <v>2992</v>
      </c>
      <c r="B3" s="2897">
        <f ca="1">ROUND(B2*10000/E2,0)</f>
        <v>9288</v>
      </c>
      <c r="C3" s="2896" t="s">
        <v>2998</v>
      </c>
      <c r="D3" s="2898"/>
      <c r="E3" s="2898"/>
    </row>
    <row r="4" spans="1:5" ht="15.75">
      <c r="A4" s="2899"/>
      <c r="B4" s="2898"/>
      <c r="C4" s="2898"/>
      <c r="D4" s="2898"/>
      <c r="E4" s="2898"/>
    </row>
    <row r="5" spans="1:5" ht="28.5">
      <c r="A5" s="2900" t="s">
        <v>2993</v>
      </c>
      <c r="B5" s="2896" t="s">
        <v>2994</v>
      </c>
      <c r="C5" s="2897"/>
      <c r="D5" s="2898"/>
      <c r="E5" s="2896" t="s">
        <v>2995</v>
      </c>
    </row>
    <row r="6" spans="1:5" ht="15.75">
      <c r="A6" s="2901" t="s">
        <v>2996</v>
      </c>
      <c r="B6" s="2897">
        <f ca="1">SUMIF(INDIRECT("'"&amp;A6&amp;"'"&amp;"!A:A"),"总价",INDIRECT("'"&amp;A6&amp;"'"&amp;"!B:B"))</f>
        <v>24306</v>
      </c>
      <c r="C6" s="2896" t="s">
        <v>2990</v>
      </c>
      <c r="D6" s="2898"/>
      <c r="E6" s="2569">
        <f ca="1">SUMIF(INDIRECT("'"&amp;A6&amp;"'"&amp;"!C:C"),"建筑面积",INDIRECT("'"&amp;A6&amp;"'"&amp;"!D:D"))</f>
        <v>26168.29</v>
      </c>
    </row>
    <row r="7" spans="1:5" ht="15.75">
      <c r="A7" s="2901"/>
      <c r="B7" s="2897" t="e">
        <f ca="1">SUMIF(INDIRECT("'"&amp;A7&amp;"'"&amp;"!A:A"),"总价",INDIRECT("'"&amp;A7&amp;"'"&amp;"!B:B"))</f>
        <v>#REF!</v>
      </c>
      <c r="C7" s="2896" t="s">
        <v>2990</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2990</v>
      </c>
      <c r="D8" s="2898"/>
      <c r="E8" s="2569" t="e">
        <f t="shared" ca="1" si="0"/>
        <v>#REF!</v>
      </c>
    </row>
    <row r="9" spans="1:5" ht="15.75">
      <c r="A9" s="2901"/>
      <c r="B9" s="2897" t="e">
        <f t="shared" ca="1" si="1"/>
        <v>#REF!</v>
      </c>
      <c r="C9" s="2896" t="s">
        <v>2990</v>
      </c>
      <c r="D9" s="2898"/>
      <c r="E9" s="2569" t="e">
        <f t="shared" ca="1" si="0"/>
        <v>#REF!</v>
      </c>
    </row>
    <row r="10" spans="1:5" ht="15.75">
      <c r="A10" s="2901"/>
      <c r="B10" s="2897" t="e">
        <f t="shared" ca="1" si="1"/>
        <v>#REF!</v>
      </c>
      <c r="C10" s="2896" t="s">
        <v>2990</v>
      </c>
      <c r="D10" s="2898"/>
      <c r="E10" s="2569" t="e">
        <f t="shared" ca="1" si="0"/>
        <v>#REF!</v>
      </c>
    </row>
    <row r="11" spans="1:5" ht="15.75">
      <c r="A11" s="2901"/>
      <c r="B11" s="2897" t="e">
        <f t="shared" ca="1" si="1"/>
        <v>#REF!</v>
      </c>
      <c r="C11" s="2896" t="s">
        <v>2990</v>
      </c>
      <c r="D11" s="2898"/>
      <c r="E11" s="2569" t="e">
        <f t="shared" ca="1" si="0"/>
        <v>#REF!</v>
      </c>
    </row>
    <row r="12" spans="1:5" ht="15.75">
      <c r="A12" s="2901"/>
      <c r="B12" s="2897" t="e">
        <f t="shared" ca="1" si="1"/>
        <v>#REF!</v>
      </c>
      <c r="C12" s="2896" t="s">
        <v>2990</v>
      </c>
      <c r="D12" s="2898"/>
      <c r="E12" s="2569" t="e">
        <f t="shared" ca="1" si="0"/>
        <v>#REF!</v>
      </c>
    </row>
    <row r="13" spans="1:5" ht="15.75">
      <c r="A13" s="2901"/>
      <c r="B13" s="2897" t="e">
        <f t="shared" ca="1" si="1"/>
        <v>#REF!</v>
      </c>
      <c r="C13" s="2896" t="s">
        <v>2990</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xr:uid="{00000000-0002-0000-3000-000000000000}">
      <formula1>估价方法</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235" t="str">
        <f>IF(项目基本情况!B9="房地产市场价值","估价结果一览表","结果表-2")</f>
        <v>估价结果一览表</v>
      </c>
      <c r="B1" s="3235"/>
      <c r="C1" s="3235"/>
      <c r="D1" s="3235"/>
      <c r="E1" s="3235"/>
      <c r="F1" s="3235"/>
      <c r="G1" s="3235"/>
      <c r="H1" s="3235"/>
      <c r="I1" s="3235"/>
    </row>
    <row r="2" spans="1:9" ht="30" customHeight="1" thickTop="1">
      <c r="A2" s="3236" t="s">
        <v>1635</v>
      </c>
      <c r="B2" s="3236" t="s">
        <v>1636</v>
      </c>
      <c r="C2" s="3236" t="s">
        <v>1637</v>
      </c>
      <c r="D2" s="3236" t="str">
        <f>结果表!D116</f>
        <v>出让国有建设用地使用权价值</v>
      </c>
      <c r="E2" s="3236"/>
      <c r="F2" s="3236" t="str">
        <f>结果表!F116</f>
        <v>在建建筑物价值</v>
      </c>
      <c r="G2" s="3236"/>
      <c r="H2" s="3236" t="str">
        <f>IF(项目基本情况!B9="房地产市场价值","房地产市场价值","房地产价值")</f>
        <v>房地产市场价值</v>
      </c>
      <c r="I2" s="3236"/>
    </row>
    <row r="3" spans="1:9" ht="15">
      <c r="A3" s="3230"/>
      <c r="B3" s="3230"/>
      <c r="C3" s="3230"/>
      <c r="D3" s="1044" t="s">
        <v>1632</v>
      </c>
      <c r="E3" s="1044" t="s">
        <v>1638</v>
      </c>
      <c r="F3" s="1044" t="s">
        <v>1632</v>
      </c>
      <c r="G3" s="1044" t="s">
        <v>1633</v>
      </c>
      <c r="H3" s="1044" t="s">
        <v>1632</v>
      </c>
      <c r="I3" s="1044" t="s">
        <v>1633</v>
      </c>
    </row>
    <row r="4" spans="1:9" ht="15">
      <c r="A4" s="1964" t="str">
        <f>项目基本情况!S2</f>
        <v>北京市房地产</v>
      </c>
      <c r="B4" s="1044">
        <f>项目基本情况!C17</f>
        <v>11757.189999999999</v>
      </c>
      <c r="C4" s="1044">
        <f>项目基本情况!C18</f>
        <v>0</v>
      </c>
      <c r="D4" s="1044" t="e">
        <f ca="1">结果表!D118</f>
        <v>#REF!</v>
      </c>
      <c r="E4" s="1044" t="e">
        <f ca="1">结果表!E118</f>
        <v>#REF!</v>
      </c>
      <c r="F4" s="1044" t="e">
        <f ca="1">结果表!F118</f>
        <v>#REF!</v>
      </c>
      <c r="G4" s="1044" t="e">
        <f ca="1">结果表!G118</f>
        <v>#REF!</v>
      </c>
      <c r="H4" s="1044">
        <f ca="1">结果表!H118</f>
        <v>9741</v>
      </c>
      <c r="I4" s="1044">
        <f ca="1">结果表!I118</f>
        <v>9787</v>
      </c>
    </row>
    <row r="5" spans="1:9" ht="30" customHeight="1">
      <c r="A5" s="3230" t="s">
        <v>1634</v>
      </c>
      <c r="B5" s="3230"/>
      <c r="C5" s="3230"/>
      <c r="D5" s="3231" t="e">
        <f ca="1">结果表!D119</f>
        <v>#REF!</v>
      </c>
      <c r="E5" s="3231"/>
      <c r="F5" s="3231" t="e">
        <f ca="1">结果表!F119</f>
        <v>#REF!</v>
      </c>
      <c r="G5" s="3231"/>
      <c r="H5" s="3231" t="str">
        <f ca="1">结果表!H119</f>
        <v>玖仟柒佰肆拾壹万元整</v>
      </c>
      <c r="I5" s="3231"/>
    </row>
    <row r="6" spans="1:9" ht="15.75">
      <c r="A6" s="3229" t="str">
        <f>结果表!A120</f>
        <v/>
      </c>
      <c r="B6" s="3229"/>
      <c r="C6" s="3229"/>
      <c r="D6" s="3229">
        <f>结果表!D120</f>
        <v>0</v>
      </c>
      <c r="E6" s="3229"/>
      <c r="F6" s="3229"/>
      <c r="G6" s="3229"/>
      <c r="H6" s="3229"/>
      <c r="I6" s="3229"/>
    </row>
    <row r="7" spans="1:9" ht="15">
      <c r="A7" s="3230" t="s">
        <v>1634</v>
      </c>
      <c r="B7" s="3230"/>
      <c r="C7" s="3230"/>
      <c r="D7" s="3232" t="str">
        <f>结果表!D121</f>
        <v>零元整</v>
      </c>
      <c r="E7" s="3233"/>
      <c r="F7" s="3233"/>
      <c r="G7" s="3233"/>
      <c r="H7" s="3233"/>
      <c r="I7" s="3234"/>
    </row>
    <row r="8" spans="1:9" ht="15.75">
      <c r="A8" s="3229" t="str">
        <f>结果表!A122</f>
        <v/>
      </c>
      <c r="B8" s="3229"/>
      <c r="C8" s="3229"/>
      <c r="D8" s="3229">
        <f ca="1">结果表!D122</f>
        <v>9741</v>
      </c>
      <c r="E8" s="3229"/>
      <c r="F8" s="3229"/>
      <c r="G8" s="3229"/>
      <c r="H8" s="3229"/>
      <c r="I8" s="3229"/>
    </row>
    <row r="9" spans="1:9" ht="15">
      <c r="A9" s="3230" t="s">
        <v>1634</v>
      </c>
      <c r="B9" s="3230"/>
      <c r="C9" s="3230"/>
      <c r="D9" s="3231" t="str">
        <f ca="1">结果表!D123</f>
        <v>玖仟柒佰肆拾壹万元整</v>
      </c>
      <c r="E9" s="3231"/>
      <c r="F9" s="3231"/>
      <c r="G9" s="3231"/>
      <c r="H9" s="3231"/>
      <c r="I9" s="3231"/>
    </row>
    <row r="10" spans="1:9" ht="15.75">
      <c r="A10" s="3229" t="str">
        <f>结果表!A124</f>
        <v/>
      </c>
      <c r="B10" s="3229"/>
      <c r="C10" s="3229"/>
      <c r="D10" s="3229" t="str">
        <f>结果表!D124</f>
        <v>——</v>
      </c>
      <c r="E10" s="3229"/>
      <c r="F10" s="3229"/>
      <c r="G10" s="3229"/>
      <c r="H10" s="3229"/>
      <c r="I10" s="3229"/>
    </row>
    <row r="11" spans="1:9" ht="15">
      <c r="A11" s="3230" t="s">
        <v>1634</v>
      </c>
      <c r="B11" s="3230"/>
      <c r="C11" s="3230"/>
      <c r="D11" s="3231" t="e">
        <f>结果表!D125</f>
        <v>#VALUE!</v>
      </c>
      <c r="E11" s="3231"/>
      <c r="F11" s="3231"/>
      <c r="G11" s="3231"/>
      <c r="H11" s="3231"/>
      <c r="I11" s="3231"/>
    </row>
    <row r="12" spans="1:9" ht="15.75">
      <c r="A12" s="3229" t="str">
        <f>结果表!A126</f>
        <v/>
      </c>
      <c r="B12" s="3229"/>
      <c r="C12" s="3229"/>
      <c r="D12" s="3229" t="str">
        <f>结果表!D126</f>
        <v>——</v>
      </c>
      <c r="E12" s="3229"/>
      <c r="F12" s="3229"/>
      <c r="G12" s="3229"/>
      <c r="H12" s="3229"/>
      <c r="I12" s="3229"/>
    </row>
    <row r="13" spans="1:9" ht="15.75" thickBot="1">
      <c r="A13" s="3226" t="s">
        <v>1634</v>
      </c>
      <c r="B13" s="3226"/>
      <c r="C13" s="3226"/>
      <c r="D13" s="3227" t="e">
        <f>结果表!D127</f>
        <v>#VALUE!</v>
      </c>
      <c r="E13" s="3227"/>
      <c r="F13" s="3227"/>
      <c r="G13" s="3227"/>
      <c r="H13" s="3227"/>
      <c r="I13" s="3227"/>
    </row>
    <row r="14" spans="1:9" ht="15" thickTop="1">
      <c r="A14" s="3228" t="s">
        <v>1639</v>
      </c>
      <c r="B14" s="3228"/>
      <c r="C14" s="3228"/>
      <c r="D14" s="3228"/>
      <c r="E14" s="3228"/>
      <c r="F14" s="3228"/>
      <c r="G14" s="3228"/>
      <c r="H14" s="3228"/>
      <c r="I14" s="3228"/>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AH114"/>
  <sheetViews>
    <sheetView zoomScale="80" zoomScaleNormal="80" workbookViewId="0">
      <selection activeCell="B3" sqref="B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1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1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562" t="s">
        <v>1145</v>
      </c>
      <c r="C1" s="3562"/>
      <c r="D1" s="3562"/>
      <c r="E1" s="3562"/>
      <c r="F1" s="3562"/>
      <c r="G1" s="3561" t="s">
        <v>1146</v>
      </c>
      <c r="H1" s="3561"/>
      <c r="I1" s="3561"/>
      <c r="J1" s="3561"/>
      <c r="K1" s="3561"/>
      <c r="L1" s="3561"/>
      <c r="N1" s="3561" t="s">
        <v>1147</v>
      </c>
      <c r="O1" s="3561"/>
      <c r="P1" s="3561"/>
      <c r="Q1" s="3561"/>
      <c r="R1" s="1446"/>
      <c r="S1" s="3561" t="s">
        <v>1148</v>
      </c>
      <c r="T1" s="3561"/>
      <c r="U1" s="3561"/>
      <c r="V1" s="3561"/>
      <c r="X1" s="3560" t="s">
        <v>1149</v>
      </c>
      <c r="Y1" s="3561"/>
      <c r="Z1" s="3561"/>
      <c r="AA1" s="3561"/>
      <c r="AB1" s="3561"/>
      <c r="AD1" s="3560" t="s">
        <v>1150</v>
      </c>
      <c r="AE1" s="3561"/>
      <c r="AF1" s="3561"/>
      <c r="AG1" s="3561"/>
      <c r="AH1" s="3561"/>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2" customFormat="1" ht="14.25">
      <c r="A3" s="2921" t="s">
        <v>3032</v>
      </c>
      <c r="B3" s="2913"/>
      <c r="C3" s="2913"/>
      <c r="D3" s="2914"/>
      <c r="E3" s="2914"/>
      <c r="F3" s="2913"/>
      <c r="G3" s="2915"/>
      <c r="H3" s="2916"/>
      <c r="I3" s="2917">
        <f>ROUND(AVERAGE($I4:$I31),2)</f>
        <v>1.78</v>
      </c>
      <c r="J3" s="2917">
        <f>ROUND(AVERAGE($J4:$J31),2)</f>
        <v>1.23</v>
      </c>
      <c r="K3" s="2917">
        <f>ROUND(AVERAGE($K4:$K31),2)</f>
        <v>1.95</v>
      </c>
      <c r="L3" s="2917">
        <f>ROUND(AVERAGE($L4:$L31),2)</f>
        <v>1.26</v>
      </c>
      <c r="N3" s="2915"/>
      <c r="O3" s="2918"/>
      <c r="P3" s="2918"/>
      <c r="Q3" s="2918"/>
      <c r="R3" s="2918"/>
      <c r="S3" s="2915"/>
      <c r="T3" s="2918"/>
      <c r="U3" s="2918"/>
      <c r="V3" s="2918"/>
      <c r="W3" s="2910"/>
      <c r="X3" s="2919">
        <f>ROUND(SUMPRODUCT(PRODUCT(1+N3:N$30)),4)</f>
        <v>1.5605</v>
      </c>
      <c r="Y3" s="2919">
        <f>ROUND(SUMPRODUCT(PRODUCT(1+O3:O$30)),4)</f>
        <v>1.3577999999999999</v>
      </c>
      <c r="Z3" s="2919">
        <f t="shared" ref="Z3:Z28" si="0">Y3</f>
        <v>1.3577999999999999</v>
      </c>
      <c r="AA3" s="2919">
        <f>ROUND(SUMPRODUCT(PRODUCT(1+P3:P$30)),4)</f>
        <v>1.6254999999999999</v>
      </c>
      <c r="AB3" s="2919">
        <f>ROUND(SUMPRODUCT(PRODUCT(1+Q3:Q$30)),4)</f>
        <v>1.3815999999999999</v>
      </c>
      <c r="AD3" s="2920">
        <f>ROUND(AVERAGE(I3:I$31)/100,4)</f>
        <v>1.78E-2</v>
      </c>
      <c r="AE3" s="2920">
        <f>ROUND(AVERAGE(J3:J$31)/100,4)</f>
        <v>1.23E-2</v>
      </c>
      <c r="AF3" s="2920">
        <f t="shared" ref="AF3:AF29" si="1">AE3</f>
        <v>1.23E-2</v>
      </c>
      <c r="AG3" s="2920">
        <f>ROUND(AVERAGE(K3:K$31)/100,4)</f>
        <v>1.95E-2</v>
      </c>
      <c r="AH3" s="2920">
        <f>ROUND(AVERAGE(L3:L$31)/100,4)</f>
        <v>1.26E-2</v>
      </c>
    </row>
    <row r="4" spans="1:34" s="1453" customFormat="1" ht="14.25">
      <c r="B4" s="1454"/>
      <c r="C4" s="1454"/>
      <c r="D4" s="1455"/>
      <c r="E4" s="1455"/>
      <c r="F4" s="1454"/>
      <c r="G4" s="1456"/>
      <c r="H4" s="1457"/>
      <c r="I4" s="2907"/>
      <c r="J4" s="2907"/>
      <c r="K4" s="2907"/>
      <c r="L4" s="2907"/>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3056</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60">
        <v>2020</v>
      </c>
      <c r="H5" s="1730">
        <v>3</v>
      </c>
      <c r="I5" s="2908">
        <v>0</v>
      </c>
      <c r="J5" s="2908">
        <v>0</v>
      </c>
      <c r="K5" s="2908">
        <v>0</v>
      </c>
      <c r="L5" s="2908">
        <v>0</v>
      </c>
      <c r="N5" s="1467">
        <f t="shared" ref="N5" si="7">I5/100</f>
        <v>0</v>
      </c>
      <c r="O5" s="1467">
        <f t="shared" ref="O5" si="8">J5/100</f>
        <v>0</v>
      </c>
      <c r="P5" s="1467">
        <f t="shared" ref="P5" si="9">K5/100</f>
        <v>0</v>
      </c>
      <c r="Q5" s="1467">
        <f t="shared" ref="Q5" si="10">L5/100</f>
        <v>0</v>
      </c>
      <c r="R5" s="1732"/>
      <c r="S5" s="1733"/>
      <c r="T5" s="1732"/>
      <c r="U5" s="1732"/>
      <c r="V5" s="1732"/>
      <c r="W5" s="2911" t="s">
        <v>3033</v>
      </c>
      <c r="X5" s="1726">
        <f>ROUND(IF(项目基本情况!B7="出让",SUMPRODUCT(PRODUCT(1+N5:N$31)),SUMPRODUCT(PRODUCT(1+N5:N$30))),4)</f>
        <v>1.5605</v>
      </c>
      <c r="Y5" s="1726">
        <f>ROUND(IF(项目基本情况!B7="出让",SUMPRODUCT(PRODUCT(1+O5:O$31)),SUMPRODUCT(PRODUCT(1+O5:O$30))),4)</f>
        <v>1.3577999999999999</v>
      </c>
      <c r="Z5" s="1726">
        <f t="shared" ref="Z5" si="11">Y5</f>
        <v>1.3577999999999999</v>
      </c>
      <c r="AA5" s="1726">
        <f>ROUND(IF(项目基本情况!B7="出让",SUMPRODUCT(PRODUCT(1+P5:P$31)),SUMPRODUCT(PRODUCT(1+P5:P$30))),4)</f>
        <v>1.6254999999999999</v>
      </c>
      <c r="AB5" s="1726">
        <f>ROUND(IF(项目基本情况!B7="出让",SUMPRODUCT(PRODUCT(1+Q5:Q$31)),SUMPRODUCT(PRODUCT(1+Q5:Q$30))),4)</f>
        <v>1.3815999999999999</v>
      </c>
      <c r="AD5" s="1468">
        <f>ROUND(AVERAGE(I5:I$31)/100,4)</f>
        <v>1.78E-2</v>
      </c>
      <c r="AE5" s="1468">
        <f>ROUND(AVERAGE(J5:J$31)/100,4)</f>
        <v>1.23E-2</v>
      </c>
      <c r="AF5" s="1468">
        <f t="shared" ref="AF5" si="12">AE5</f>
        <v>1.23E-2</v>
      </c>
      <c r="AG5" s="1468">
        <f>ROUND(AVERAGE(K5:K$31)/100,4)</f>
        <v>1.95E-2</v>
      </c>
      <c r="AH5" s="1468">
        <f>ROUND(AVERAGE(L5:L$31)/100,4)</f>
        <v>1.26E-2</v>
      </c>
    </row>
    <row r="6" spans="1:34" s="1466" customFormat="1">
      <c r="A6" s="1461" t="s">
        <v>3055</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60">
        <v>2020</v>
      </c>
      <c r="H6" s="1464">
        <v>2</v>
      </c>
      <c r="I6" s="2948">
        <v>0</v>
      </c>
      <c r="J6" s="2948">
        <v>0</v>
      </c>
      <c r="K6" s="2948">
        <v>0</v>
      </c>
      <c r="L6" s="2949">
        <v>0</v>
      </c>
      <c r="M6" s="1471"/>
      <c r="N6" s="1472">
        <f t="shared" ref="N6" si="18">I6/100</f>
        <v>0</v>
      </c>
      <c r="O6" s="1473">
        <f t="shared" ref="O6" si="19">J6/100</f>
        <v>0</v>
      </c>
      <c r="P6" s="1473">
        <f t="shared" ref="P6" si="20">K6/100</f>
        <v>0</v>
      </c>
      <c r="Q6" s="1473">
        <f t="shared" ref="Q6" si="21">L6/100</f>
        <v>0</v>
      </c>
      <c r="R6" s="1474"/>
      <c r="S6" s="1472"/>
      <c r="T6" s="1473"/>
      <c r="U6" s="1473"/>
      <c r="V6" s="1473"/>
      <c r="W6" s="1782"/>
      <c r="X6" s="1780">
        <f>ROUND(IF(项目基本情况!B8="出让",SUMPRODUCT(PRODUCT(1+N6:N$31)),SUMPRODUCT(PRODUCT(1+N6:N$30))),4)</f>
        <v>1.5605</v>
      </c>
      <c r="Y6" s="1780">
        <f>ROUND(IF(项目基本情况!B8="出让",SUMPRODUCT(PRODUCT(1+O6:O$31)),SUMPRODUCT(PRODUCT(1+O6:O$30))),4)</f>
        <v>1.3577999999999999</v>
      </c>
      <c r="Z6" s="1780">
        <f t="shared" ref="Z6" si="22">Y6</f>
        <v>1.3577999999999999</v>
      </c>
      <c r="AA6" s="1780">
        <f>ROUND(IF(项目基本情况!B8="出让",SUMPRODUCT(PRODUCT(1+P6:P$31)),SUMPRODUCT(PRODUCT(1+P6:P$30))),4)</f>
        <v>1.6254999999999999</v>
      </c>
      <c r="AB6" s="1780">
        <f>ROUND(IF(项目基本情况!B8="出让",SUMPRODUCT(PRODUCT(1+Q6:Q$31)),SUMPRODUCT(PRODUCT(1+Q6:Q$30))),4)</f>
        <v>1.3815999999999999</v>
      </c>
      <c r="AC6" s="1782"/>
      <c r="AD6" s="1781">
        <f>ROUND(AVERAGE(I6:I$31)/100,4)</f>
        <v>1.8499999999999999E-2</v>
      </c>
      <c r="AE6" s="1781">
        <f>ROUND(AVERAGE(J6:J$31)/100,4)</f>
        <v>1.2800000000000001E-2</v>
      </c>
      <c r="AF6" s="1781">
        <f t="shared" ref="AF6" si="23">AE6</f>
        <v>1.2800000000000001E-2</v>
      </c>
      <c r="AG6" s="1781">
        <f>ROUND(AVERAGE(K6:K$31)/100,4)</f>
        <v>2.0299999999999999E-2</v>
      </c>
      <c r="AH6" s="1781">
        <f>ROUND(AVERAGE(L6:L$31)/100,4)</f>
        <v>1.3100000000000001E-2</v>
      </c>
    </row>
    <row r="7" spans="1:34" s="1466" customFormat="1">
      <c r="A7" s="1461" t="s">
        <v>3051</v>
      </c>
      <c r="B7" s="1477">
        <f t="shared" ref="B7" si="24">B8*(1+N7)</f>
        <v>479.92259063878413</v>
      </c>
      <c r="C7" s="1477">
        <f t="shared" ref="C7" si="25">C8*(1+O7)</f>
        <v>350.02082268341775</v>
      </c>
      <c r="D7" s="1477">
        <f t="shared" ref="D7" si="26">C7</f>
        <v>350.02082268341775</v>
      </c>
      <c r="E7" s="1477">
        <f t="shared" ref="E7" si="27">E8*(1+P7)</f>
        <v>687.42265944181099</v>
      </c>
      <c r="F7" s="1477">
        <f t="shared" ref="F7" si="28">F8*(1+Q7)</f>
        <v>317.63846657708956</v>
      </c>
      <c r="G7" s="2947">
        <v>2020</v>
      </c>
      <c r="H7" s="1464">
        <v>1</v>
      </c>
      <c r="I7" s="2948">
        <v>0.12</v>
      </c>
      <c r="J7" s="2948">
        <v>-0.4</v>
      </c>
      <c r="K7" s="2948">
        <v>0.21</v>
      </c>
      <c r="L7" s="2949">
        <v>0.27</v>
      </c>
      <c r="M7" s="1471"/>
      <c r="N7" s="1472">
        <f t="shared" ref="N7" si="29">I7/100</f>
        <v>1.1999999999999999E-3</v>
      </c>
      <c r="O7" s="1473">
        <f t="shared" ref="O7" si="30">J7/100</f>
        <v>-4.0000000000000001E-3</v>
      </c>
      <c r="P7" s="1473">
        <f t="shared" ref="P7" si="31">K7/100</f>
        <v>2.0999999999999999E-3</v>
      </c>
      <c r="Q7" s="1473">
        <f t="shared" ref="Q7" si="32">L7/100</f>
        <v>2.7000000000000001E-3</v>
      </c>
      <c r="R7" s="1474"/>
      <c r="S7" s="1472">
        <f>B7/B8-1</f>
        <v>1.2000000000000899E-3</v>
      </c>
      <c r="T7" s="1473">
        <f t="shared" ref="T7" si="33">C7/C8-1</f>
        <v>-4.0000000000000036E-3</v>
      </c>
      <c r="U7" s="1473">
        <f t="shared" ref="U7" si="34">D7/D8-1</f>
        <v>-4.0000000000000036E-3</v>
      </c>
      <c r="V7" s="1473">
        <f t="shared" ref="V7" si="35">E7/E8-1</f>
        <v>2.0999999999999908E-3</v>
      </c>
      <c r="W7" s="1782"/>
      <c r="X7" s="1780">
        <f>ROUND(IF(项目基本情况!B8="出让",SUMPRODUCT(PRODUCT(1+N7:N$31)),SUMPRODUCT(PRODUCT(1+N7:N$30))),4)</f>
        <v>1.5605</v>
      </c>
      <c r="Y7" s="1780">
        <f>ROUND(IF(项目基本情况!B8="出让",SUMPRODUCT(PRODUCT(1+O7:O$31)),SUMPRODUCT(PRODUCT(1+O7:O$30))),4)</f>
        <v>1.3577999999999999</v>
      </c>
      <c r="Z7" s="1780">
        <f t="shared" ref="Z7" si="36">Y7</f>
        <v>1.3577999999999999</v>
      </c>
      <c r="AA7" s="1780">
        <f>ROUND(IF(项目基本情况!B8="出让",SUMPRODUCT(PRODUCT(1+P7:P$31)),SUMPRODUCT(PRODUCT(1+P7:P$30))),4)</f>
        <v>1.6254999999999999</v>
      </c>
      <c r="AB7" s="1780">
        <f>ROUND(IF(项目基本情况!B8="出让",SUMPRODUCT(PRODUCT(1+Q7:Q$31)),SUMPRODUCT(PRODUCT(1+Q7:Q$30))),4)</f>
        <v>1.3815999999999999</v>
      </c>
      <c r="AC7" s="1782"/>
      <c r="AD7" s="1781">
        <f>ROUND(AVERAGE(I7:I$31)/100,4)</f>
        <v>1.9199999999999998E-2</v>
      </c>
      <c r="AE7" s="1781">
        <f>ROUND(AVERAGE(J7:J$31)/100,4)</f>
        <v>1.3299999999999999E-2</v>
      </c>
      <c r="AF7" s="1781">
        <f t="shared" ref="AF7" si="37">AE7</f>
        <v>1.3299999999999999E-2</v>
      </c>
      <c r="AG7" s="1781">
        <f>ROUND(AVERAGE(K7:K$31)/100,4)</f>
        <v>2.1100000000000001E-2</v>
      </c>
      <c r="AH7" s="1781">
        <f>ROUND(AVERAGE(L7:L$31)/100,4)</f>
        <v>1.3599999999999999E-2</v>
      </c>
    </row>
    <row r="8" spans="1:34" s="1466" customFormat="1">
      <c r="A8" s="1461" t="s">
        <v>3050</v>
      </c>
      <c r="B8" s="1477">
        <f t="shared" ref="B8" si="38">B9*(1+N8)</f>
        <v>479.34737379023579</v>
      </c>
      <c r="C8" s="1477">
        <f t="shared" ref="C8" si="39">C9*(1+O8)</f>
        <v>351.4265287986122</v>
      </c>
      <c r="D8" s="1477">
        <f t="shared" ref="D8" si="40">C8</f>
        <v>351.4265287986122</v>
      </c>
      <c r="E8" s="1477">
        <f t="shared" ref="E8" si="41">E9*(1+P8)</f>
        <v>685.98209703803116</v>
      </c>
      <c r="F8" s="1477">
        <f t="shared" ref="F8" si="42">F9*(1+Q8)</f>
        <v>316.78315206651001</v>
      </c>
      <c r="G8" s="2946">
        <v>2019</v>
      </c>
      <c r="H8" s="1464">
        <v>4</v>
      </c>
      <c r="I8" s="1464">
        <v>0.45</v>
      </c>
      <c r="J8" s="1464">
        <v>-0.12</v>
      </c>
      <c r="K8" s="1464">
        <v>0.54</v>
      </c>
      <c r="L8" s="1478">
        <v>0.48</v>
      </c>
      <c r="M8" s="1471"/>
      <c r="N8" s="1472">
        <f t="shared" ref="N8:N13" si="43">I8/100</f>
        <v>4.5000000000000005E-3</v>
      </c>
      <c r="O8" s="1473">
        <f t="shared" ref="O8" si="44">J8/100</f>
        <v>-1.1999999999999999E-3</v>
      </c>
      <c r="P8" s="1473">
        <f t="shared" ref="P8" si="45">K8/100</f>
        <v>5.4000000000000003E-3</v>
      </c>
      <c r="Q8" s="1473">
        <f t="shared" ref="Q8" si="46">L8/100</f>
        <v>4.7999999999999996E-3</v>
      </c>
      <c r="R8" s="1474"/>
      <c r="S8" s="1472"/>
      <c r="T8" s="1473"/>
      <c r="U8" s="1473"/>
      <c r="V8" s="1473"/>
      <c r="W8" s="1782"/>
      <c r="X8" s="1780">
        <f>ROUND(IF(项目基本情况!B8="出让",SUMPRODUCT(PRODUCT(1+N8:N$31)),SUMPRODUCT(PRODUCT(1+N8:N$30))),4)</f>
        <v>1.5586</v>
      </c>
      <c r="Y8" s="1780">
        <f>ROUND(IF(项目基本情况!B8="出让",SUMPRODUCT(PRODUCT(1+O8:O$31)),SUMPRODUCT(PRODUCT(1+O8:O$30))),4)</f>
        <v>1.3633</v>
      </c>
      <c r="Z8" s="1780">
        <f t="shared" ref="Z8" si="47">Y8</f>
        <v>1.3633</v>
      </c>
      <c r="AA8" s="1780">
        <f>ROUND(IF(项目基本情况!B8="出让",SUMPRODUCT(PRODUCT(1+P8:P$31)),SUMPRODUCT(PRODUCT(1+P8:P$30))),4)</f>
        <v>1.6221000000000001</v>
      </c>
      <c r="AB8" s="1780">
        <f>ROUND(IF(项目基本情况!B8="出让",SUMPRODUCT(PRODUCT(1+Q8:Q$31)),SUMPRODUCT(PRODUCT(1+Q8:Q$30))),4)</f>
        <v>1.3777999999999999</v>
      </c>
      <c r="AC8" s="1782"/>
      <c r="AD8" s="1781">
        <f>ROUND(AVERAGE(I8:I$31)/100,4)</f>
        <v>0.02</v>
      </c>
      <c r="AE8" s="1781">
        <f>ROUND(AVERAGE(J8:J$31)/100,4)</f>
        <v>1.4E-2</v>
      </c>
      <c r="AF8" s="1781">
        <f t="shared" ref="AF8" si="48">AE8</f>
        <v>1.4E-2</v>
      </c>
      <c r="AG8" s="1781">
        <f>ROUND(AVERAGE(K8:K$31)/100,4)</f>
        <v>2.1899999999999999E-2</v>
      </c>
      <c r="AH8" s="1781">
        <f>ROUND(AVERAGE(L8:L$31)/100,4)</f>
        <v>1.4E-2</v>
      </c>
    </row>
    <row r="9" spans="1:34" s="1466" customFormat="1" ht="13.5" thickBot="1">
      <c r="A9" s="1461" t="s">
        <v>3046</v>
      </c>
      <c r="B9" s="1477">
        <f t="shared" ref="B9" si="49">B10*(1+N9)</f>
        <v>477.19997390765138</v>
      </c>
      <c r="C9" s="1477">
        <f t="shared" ref="C9" si="50">C10*(1+O9)</f>
        <v>351.84874729536665</v>
      </c>
      <c r="D9" s="1477">
        <f t="shared" ref="D9" si="51">C9</f>
        <v>351.84874729536665</v>
      </c>
      <c r="E9" s="1477">
        <f t="shared" ref="E9" si="52">E10*(1+P9)</f>
        <v>682.29768951465201</v>
      </c>
      <c r="F9" s="1477">
        <f t="shared" ref="F9" si="53">F10*(1+Q9)</f>
        <v>315.26985675409043</v>
      </c>
      <c r="G9" s="2945">
        <v>2019</v>
      </c>
      <c r="H9" s="1464">
        <v>3</v>
      </c>
      <c r="I9" s="1464">
        <v>0.61</v>
      </c>
      <c r="J9" s="1464">
        <v>0.67</v>
      </c>
      <c r="K9" s="1464">
        <v>0.6</v>
      </c>
      <c r="L9" s="1478">
        <v>1.03</v>
      </c>
      <c r="M9" s="1471"/>
      <c r="N9" s="1472">
        <f t="shared" si="43"/>
        <v>6.0999999999999995E-3</v>
      </c>
      <c r="O9" s="1473">
        <f t="shared" ref="O9" si="54">J9/100</f>
        <v>6.7000000000000002E-3</v>
      </c>
      <c r="P9" s="1473">
        <f t="shared" ref="P9" si="55">K9/100</f>
        <v>6.0000000000000001E-3</v>
      </c>
      <c r="Q9" s="1473">
        <f t="shared" ref="Q9" si="56">L9/100</f>
        <v>1.03E-2</v>
      </c>
      <c r="R9" s="1474"/>
      <c r="S9" s="1472"/>
      <c r="T9" s="1473"/>
      <c r="U9" s="1473"/>
      <c r="V9" s="1473"/>
      <c r="W9" s="1782"/>
      <c r="X9" s="1780">
        <f>ROUND(IF(项目基本情况!B8="出让",SUMPRODUCT(PRODUCT(1+N9:N$31)),SUMPRODUCT(PRODUCT(1+N9:N$30))),4)</f>
        <v>1.5516000000000001</v>
      </c>
      <c r="Y9" s="1780">
        <f>ROUND(IF(项目基本情况!B8="出让",SUMPRODUCT(PRODUCT(1+O9:O$31)),SUMPRODUCT(PRODUCT(1+O9:O$30))),4)</f>
        <v>1.3649</v>
      </c>
      <c r="Z9" s="1780">
        <f t="shared" ref="Z9" si="57">Y9</f>
        <v>1.3649</v>
      </c>
      <c r="AA9" s="1780">
        <f>ROUND(IF(项目基本情况!B8="出让",SUMPRODUCT(PRODUCT(1+P9:P$31)),SUMPRODUCT(PRODUCT(1+P9:P$30))),4)</f>
        <v>1.6133999999999999</v>
      </c>
      <c r="AB9" s="1780">
        <f>ROUND(IF(项目基本情况!B8="出让",SUMPRODUCT(PRODUCT(1+Q9:Q$31)),SUMPRODUCT(PRODUCT(1+Q9:Q$30))),4)</f>
        <v>1.3713</v>
      </c>
      <c r="AC9" s="1782"/>
      <c r="AD9" s="1781">
        <f>ROUND(AVERAGE(I9:I$31)/100,4)</f>
        <v>2.07E-2</v>
      </c>
      <c r="AE9" s="1781">
        <f>ROUND(AVERAGE(J9:J$31)/100,4)</f>
        <v>1.47E-2</v>
      </c>
      <c r="AF9" s="1781">
        <f t="shared" ref="AF9" si="58">AE9</f>
        <v>1.47E-2</v>
      </c>
      <c r="AG9" s="1781">
        <f>ROUND(AVERAGE(K9:K$31)/100,4)</f>
        <v>2.2599999999999999E-2</v>
      </c>
      <c r="AH9" s="1781">
        <f>ROUND(AVERAGE(L9:L$31)/100,4)</f>
        <v>1.44E-2</v>
      </c>
    </row>
    <row r="10" spans="1:34" s="1466" customFormat="1">
      <c r="A10" s="1461" t="s">
        <v>3044</v>
      </c>
      <c r="B10" s="1477">
        <f t="shared" ref="B10" si="59">B11*(1+N10)</f>
        <v>474.30670301923408</v>
      </c>
      <c r="C10" s="1477">
        <f t="shared" ref="C10" si="60">C11*(1+O10)</f>
        <v>349.50705005996491</v>
      </c>
      <c r="D10" s="1477">
        <f t="shared" ref="D10" si="61">C10</f>
        <v>349.50705005996491</v>
      </c>
      <c r="E10" s="1477">
        <f t="shared" ref="E10" si="62">E11*(1+P10)</f>
        <v>678.22831959706957</v>
      </c>
      <c r="F10" s="1477">
        <f t="shared" ref="F10" si="63">F11*(1+Q10)</f>
        <v>312.0556832169558</v>
      </c>
      <c r="G10" s="2941">
        <v>2019</v>
      </c>
      <c r="H10" s="1462">
        <v>2</v>
      </c>
      <c r="I10" s="1462">
        <v>1.53</v>
      </c>
      <c r="J10" s="1462">
        <v>1.01</v>
      </c>
      <c r="K10" s="1462">
        <v>1.62</v>
      </c>
      <c r="L10" s="1463">
        <v>1.25</v>
      </c>
      <c r="M10" s="1471"/>
      <c r="N10" s="1472">
        <f t="shared" si="43"/>
        <v>1.5300000000000001E-2</v>
      </c>
      <c r="O10" s="1473">
        <f t="shared" ref="O10" si="64">J10/100</f>
        <v>1.01E-2</v>
      </c>
      <c r="P10" s="1473">
        <f t="shared" ref="P10" si="65">K10/100</f>
        <v>1.6200000000000003E-2</v>
      </c>
      <c r="Q10" s="1473">
        <f t="shared" ref="Q10" si="66">L10/100</f>
        <v>1.2500000000000001E-2</v>
      </c>
      <c r="R10" s="1474"/>
      <c r="S10" s="1472"/>
      <c r="T10" s="1473"/>
      <c r="U10" s="1473"/>
      <c r="V10" s="1473"/>
      <c r="W10" s="1782"/>
      <c r="X10" s="1780">
        <f>ROUND(IF(项目基本情况!B8="出让",SUMPRODUCT(PRODUCT(1+N10:N$31)),SUMPRODUCT(PRODUCT(1+N10:N$30))),4)</f>
        <v>1.5422</v>
      </c>
      <c r="Y10" s="1780">
        <f>ROUND(IF(项目基本情况!B8="出让",SUMPRODUCT(PRODUCT(1+O10:O$31)),SUMPRODUCT(PRODUCT(1+O10:O$30))),4)</f>
        <v>1.3557999999999999</v>
      </c>
      <c r="Z10" s="1780">
        <f t="shared" ref="Z10" si="67">Y10</f>
        <v>1.3557999999999999</v>
      </c>
      <c r="AA10" s="1780">
        <f>ROUND(IF(项目基本情况!B8="出让",SUMPRODUCT(PRODUCT(1+P10:P$31)),SUMPRODUCT(PRODUCT(1+P10:P$30))),4)</f>
        <v>1.6036999999999999</v>
      </c>
      <c r="AB10" s="1780">
        <f>ROUND(IF(项目基本情况!B8="出让",SUMPRODUCT(PRODUCT(1+Q10:Q$31)),SUMPRODUCT(PRODUCT(1+Q10:Q$30))),4)</f>
        <v>1.3573</v>
      </c>
      <c r="AC10" s="1782"/>
      <c r="AD10" s="1781">
        <f>ROUND(AVERAGE(I10:I$31)/100,4)</f>
        <v>2.1299999999999999E-2</v>
      </c>
      <c r="AE10" s="1781">
        <f>ROUND(AVERAGE(J10:J$31)/100,4)</f>
        <v>1.4999999999999999E-2</v>
      </c>
      <c r="AF10" s="1781">
        <f t="shared" ref="AF10" si="68">AE10</f>
        <v>1.4999999999999999E-2</v>
      </c>
      <c r="AG10" s="1781">
        <f>ROUND(AVERAGE(K10:K$31)/100,4)</f>
        <v>2.3300000000000001E-2</v>
      </c>
      <c r="AH10" s="1781">
        <f>ROUND(AVERAGE(L10:L$31)/100,4)</f>
        <v>1.46E-2</v>
      </c>
    </row>
    <row r="11" spans="1:34" s="1466" customFormat="1" ht="13.5" thickBot="1">
      <c r="A11" s="1461" t="s">
        <v>3042</v>
      </c>
      <c r="B11" s="1477">
        <f t="shared" ref="B11" si="69">B12*(1+N11)</f>
        <v>467.15916775261894</v>
      </c>
      <c r="C11" s="1477">
        <f t="shared" ref="C11" si="70">C12*(1+O11)</f>
        <v>346.01232557169084</v>
      </c>
      <c r="D11" s="1477">
        <f t="shared" ref="D11" si="71">C11</f>
        <v>346.01232557169084</v>
      </c>
      <c r="E11" s="1477">
        <f t="shared" ref="E11" si="72">E12*(1+P11)</f>
        <v>667.41617752122568</v>
      </c>
      <c r="F11" s="1477">
        <f t="shared" ref="F11" si="73">F12*(1+Q11)</f>
        <v>308.20314391798104</v>
      </c>
      <c r="G11" s="2925">
        <v>2019</v>
      </c>
      <c r="H11" s="1464">
        <v>1</v>
      </c>
      <c r="I11" s="1464">
        <v>0.6</v>
      </c>
      <c r="J11" s="1464">
        <v>0.37</v>
      </c>
      <c r="K11" s="1464">
        <v>0.63</v>
      </c>
      <c r="L11" s="1478">
        <v>1.1299999999999999</v>
      </c>
      <c r="M11" s="1471"/>
      <c r="N11" s="1472">
        <f t="shared" si="43"/>
        <v>6.0000000000000001E-3</v>
      </c>
      <c r="O11" s="1473">
        <f t="shared" ref="O11" si="74">J11/100</f>
        <v>3.7000000000000002E-3</v>
      </c>
      <c r="P11" s="1473">
        <f t="shared" ref="P11" si="75">K11/100</f>
        <v>6.3E-3</v>
      </c>
      <c r="Q11" s="1473">
        <f t="shared" ref="Q11" si="76">L11/100</f>
        <v>1.1299999999999999E-2</v>
      </c>
      <c r="R11" s="1474"/>
      <c r="S11" s="1472">
        <f>B11/B12-1</f>
        <v>6.0000000000000053E-3</v>
      </c>
      <c r="T11" s="1473">
        <f t="shared" ref="T11" si="77">C11/C12-1</f>
        <v>3.7000000000000366E-3</v>
      </c>
      <c r="U11" s="1473">
        <f t="shared" ref="U11" si="78">D11/D12-1</f>
        <v>3.7000000000000366E-3</v>
      </c>
      <c r="V11" s="1473">
        <f t="shared" ref="V11" si="79">E11/E12-1</f>
        <v>6.2999999999999723E-3</v>
      </c>
      <c r="W11" s="1782"/>
      <c r="X11" s="1780">
        <f>ROUND(IF(项目基本情况!B8="出让",SUMPRODUCT(PRODUCT(1+N11:N$31)),SUMPRODUCT(PRODUCT(1+N11:N$30))),4)</f>
        <v>1.5189999999999999</v>
      </c>
      <c r="Y11" s="1780">
        <f>ROUND(IF(项目基本情况!B8="出让",SUMPRODUCT(PRODUCT(1+O11:O$31)),SUMPRODUCT(PRODUCT(1+O11:O$30))),4)</f>
        <v>1.3423</v>
      </c>
      <c r="Z11" s="1780">
        <f t="shared" ref="Z11" si="80">Y11</f>
        <v>1.3423</v>
      </c>
      <c r="AA11" s="1780">
        <f>ROUND(IF(项目基本情况!B8="出让",SUMPRODUCT(PRODUCT(1+P11:P$31)),SUMPRODUCT(PRODUCT(1+P11:P$30))),4)</f>
        <v>1.5782</v>
      </c>
      <c r="AB11" s="1780">
        <f>ROUND(IF(项目基本情况!B8="出让",SUMPRODUCT(PRODUCT(1+Q11:Q$31)),SUMPRODUCT(PRODUCT(1+Q11:Q$30))),4)</f>
        <v>1.3405</v>
      </c>
      <c r="AC11" s="1782"/>
      <c r="AD11" s="1781">
        <f>ROUND(AVERAGE(I11:I$31)/100,4)</f>
        <v>2.1600000000000001E-2</v>
      </c>
      <c r="AE11" s="1781">
        <f>ROUND(AVERAGE(J11:J$31)/100,4)</f>
        <v>1.5299999999999999E-2</v>
      </c>
      <c r="AF11" s="1781">
        <f t="shared" ref="AF11" si="81">AE11</f>
        <v>1.5299999999999999E-2</v>
      </c>
      <c r="AG11" s="1781">
        <f>ROUND(AVERAGE(K11:K$31)/100,4)</f>
        <v>2.3699999999999999E-2</v>
      </c>
      <c r="AH11" s="1781">
        <f>ROUND(AVERAGE(L11:L$31)/100,4)</f>
        <v>1.47E-2</v>
      </c>
    </row>
    <row r="12" spans="1:34" s="1466" customFormat="1">
      <c r="A12" s="1461" t="s">
        <v>3045</v>
      </c>
      <c r="B12" s="2942">
        <f t="shared" ref="B12" si="82">B13*(1+N12)</f>
        <v>464.37293017158942</v>
      </c>
      <c r="C12" s="2942">
        <f t="shared" ref="C12" si="83">C13*(1+O12)</f>
        <v>344.73679941385956</v>
      </c>
      <c r="D12" s="2942">
        <f t="shared" ref="D12" si="84">C12</f>
        <v>344.73679941385956</v>
      </c>
      <c r="E12" s="2942">
        <f t="shared" ref="E12" si="85">E13*(1+P12)</f>
        <v>663.2377795103107</v>
      </c>
      <c r="F12" s="2943">
        <f t="shared" ref="F12" si="86">F13*(1+Q12)</f>
        <v>304.75936311478398</v>
      </c>
      <c r="G12" s="3558">
        <v>2018</v>
      </c>
      <c r="H12" s="1462">
        <v>4</v>
      </c>
      <c r="I12" s="1462">
        <v>0.96</v>
      </c>
      <c r="J12" s="1462">
        <v>1.03</v>
      </c>
      <c r="K12" s="1462">
        <v>0.92</v>
      </c>
      <c r="L12" s="1463">
        <v>1.29</v>
      </c>
      <c r="M12" s="1471"/>
      <c r="N12" s="1472">
        <f t="shared" si="43"/>
        <v>9.5999999999999992E-3</v>
      </c>
      <c r="O12" s="1473">
        <f t="shared" ref="O12" si="87">J12/100</f>
        <v>1.03E-2</v>
      </c>
      <c r="P12" s="1473">
        <f t="shared" ref="P12" si="88">K12/100</f>
        <v>9.1999999999999998E-3</v>
      </c>
      <c r="Q12" s="1473">
        <f t="shared" ref="Q12" si="89">L12/100</f>
        <v>1.29E-2</v>
      </c>
      <c r="R12" s="1474"/>
      <c r="S12" s="1472"/>
      <c r="T12" s="1473"/>
      <c r="U12" s="1473"/>
      <c r="V12" s="1473"/>
      <c r="W12" s="1782"/>
      <c r="X12" s="1780">
        <f>ROUND(SUMPRODUCT(PRODUCT(1+N12:N$30)),4)</f>
        <v>1.5099</v>
      </c>
      <c r="Y12" s="1780">
        <f>ROUND(SUMPRODUCT(PRODUCT(1+O12:O$30)),4)</f>
        <v>1.3372999999999999</v>
      </c>
      <c r="Z12" s="1780">
        <f t="shared" ref="Z12" si="90">Y12</f>
        <v>1.3372999999999999</v>
      </c>
      <c r="AA12" s="1780">
        <f>ROUND(SUMPRODUCT(PRODUCT(1+P12:P$30)),4)</f>
        <v>1.5683</v>
      </c>
      <c r="AB12" s="1780">
        <f>ROUND(SUMPRODUCT(PRODUCT(1+Q12:Q$30)),4)</f>
        <v>1.3255999999999999</v>
      </c>
      <c r="AC12" s="1782"/>
      <c r="AD12" s="1781">
        <f>ROUND(AVERAGE(I12:I$31)/100,4)</f>
        <v>2.24E-2</v>
      </c>
      <c r="AE12" s="1781">
        <f>ROUND(AVERAGE(J12:J$31)/100,4)</f>
        <v>1.5800000000000002E-2</v>
      </c>
      <c r="AF12" s="1781">
        <f t="shared" ref="AF12" si="91">AE12</f>
        <v>1.5800000000000002E-2</v>
      </c>
      <c r="AG12" s="1781">
        <f>ROUND(AVERAGE(K12:K$31)/100,4)</f>
        <v>2.4500000000000001E-2</v>
      </c>
      <c r="AH12" s="1781">
        <f>ROUND(AVERAGE(L12:L$31)/100,4)</f>
        <v>1.49E-2</v>
      </c>
    </row>
    <row r="13" spans="1:34" s="1466" customFormat="1" ht="14.45" customHeight="1">
      <c r="A13" s="1461" t="s">
        <v>3039</v>
      </c>
      <c r="B13" s="1477">
        <f t="shared" ref="B13" si="92">B14*(1+N13)</f>
        <v>459.95733971036987</v>
      </c>
      <c r="C13" s="1477">
        <f t="shared" ref="C13" si="93">C14*(1+O13)</f>
        <v>341.22221064422405</v>
      </c>
      <c r="D13" s="1477">
        <f t="shared" ref="D13" si="94">C13</f>
        <v>341.22221064422405</v>
      </c>
      <c r="E13" s="1477">
        <f t="shared" ref="E13" si="95">E14*(1+P13)</f>
        <v>657.19161663724799</v>
      </c>
      <c r="F13" s="1477">
        <f t="shared" ref="F13" si="96">F14*(1+Q13)</f>
        <v>300.87803644464805</v>
      </c>
      <c r="G13" s="3558"/>
      <c r="H13" s="1464">
        <v>3</v>
      </c>
      <c r="I13" s="1464">
        <v>1.51</v>
      </c>
      <c r="J13" s="1464">
        <v>1.41</v>
      </c>
      <c r="K13" s="1464">
        <v>1.52</v>
      </c>
      <c r="L13" s="1478">
        <v>1.74</v>
      </c>
      <c r="M13" s="1471"/>
      <c r="N13" s="1472">
        <f t="shared" si="43"/>
        <v>1.5100000000000001E-2</v>
      </c>
      <c r="O13" s="1473">
        <f t="shared" ref="O13" si="97">J13/100</f>
        <v>1.41E-2</v>
      </c>
      <c r="P13" s="1473">
        <f t="shared" ref="P13" si="98">K13/100</f>
        <v>1.52E-2</v>
      </c>
      <c r="Q13" s="1473">
        <f t="shared" ref="Q13" si="99">L13/100</f>
        <v>1.7399999999999999E-2</v>
      </c>
      <c r="R13" s="1474"/>
      <c r="S13" s="1472"/>
      <c r="T13" s="1473"/>
      <c r="U13" s="1473"/>
      <c r="V13" s="1473"/>
      <c r="W13" s="1782"/>
      <c r="X13" s="1780">
        <f>ROUND(SUMPRODUCT(PRODUCT(1+N13:N$30)),4)</f>
        <v>1.4956</v>
      </c>
      <c r="Y13" s="1780">
        <f>ROUND(SUMPRODUCT(PRODUCT(1+O13:O$30)),4)</f>
        <v>1.3237000000000001</v>
      </c>
      <c r="Z13" s="1780">
        <f t="shared" ref="Z13" si="100">Y13</f>
        <v>1.3237000000000001</v>
      </c>
      <c r="AA13" s="1780">
        <f>ROUND(SUMPRODUCT(PRODUCT(1+P13:P$30)),4)</f>
        <v>1.554</v>
      </c>
      <c r="AB13" s="1780">
        <f>ROUND(SUMPRODUCT(PRODUCT(1+Q13:Q$30)),4)</f>
        <v>1.3087</v>
      </c>
      <c r="AC13" s="1782"/>
      <c r="AD13" s="1781">
        <f>ROUND(AVERAGE(I13:I$31)/100,4)</f>
        <v>2.3099999999999999E-2</v>
      </c>
      <c r="AE13" s="1781">
        <f>ROUND(AVERAGE(J13:J$31)/100,4)</f>
        <v>1.61E-2</v>
      </c>
      <c r="AF13" s="1781">
        <f t="shared" ref="AF13" si="101">AE13</f>
        <v>1.61E-2</v>
      </c>
      <c r="AG13" s="1781">
        <f>ROUND(AVERAGE(K13:K$31)/100,4)</f>
        <v>2.53E-2</v>
      </c>
      <c r="AH13" s="1781">
        <f>ROUND(AVERAGE(L13:L$31)/100,4)</f>
        <v>1.4999999999999999E-2</v>
      </c>
    </row>
    <row r="14" spans="1:34" s="1466" customFormat="1" ht="14.45" customHeight="1">
      <c r="A14" s="1461" t="s">
        <v>3038</v>
      </c>
      <c r="B14" s="1477">
        <f t="shared" ref="B14" si="102">B15*(1+N14)</f>
        <v>453.11529869999993</v>
      </c>
      <c r="C14" s="1477">
        <f t="shared" ref="C14" si="103">C15*(1+O14)</f>
        <v>336.47787264000004</v>
      </c>
      <c r="D14" s="1477">
        <f t="shared" ref="D14" si="104">C14</f>
        <v>336.47787264000004</v>
      </c>
      <c r="E14" s="1477">
        <f t="shared" ref="E14" si="105">E15*(1+P14)</f>
        <v>647.35186823999993</v>
      </c>
      <c r="F14" s="1477">
        <f t="shared" ref="F14" si="106">F15*(1+Q14)</f>
        <v>295.73229452000004</v>
      </c>
      <c r="G14" s="3558"/>
      <c r="H14" s="1465">
        <v>2</v>
      </c>
      <c r="I14" s="1465">
        <v>1.49</v>
      </c>
      <c r="J14" s="1465">
        <v>0.96</v>
      </c>
      <c r="K14" s="1465">
        <v>1.58</v>
      </c>
      <c r="L14" s="1479">
        <v>2.44</v>
      </c>
      <c r="M14" s="1471"/>
      <c r="N14" s="1472">
        <f t="shared" ref="N14" si="107">I14/100</f>
        <v>1.49E-2</v>
      </c>
      <c r="O14" s="1473">
        <f t="shared" ref="O14" si="108">J14/100</f>
        <v>9.5999999999999992E-3</v>
      </c>
      <c r="P14" s="1473">
        <f t="shared" ref="P14" si="109">K14/100</f>
        <v>1.5800000000000002E-2</v>
      </c>
      <c r="Q14" s="1473">
        <f t="shared" ref="Q14" si="110">L14/100</f>
        <v>2.4399999999999998E-2</v>
      </c>
      <c r="R14" s="1474"/>
      <c r="S14" s="1472"/>
      <c r="T14" s="1473"/>
      <c r="U14" s="1473"/>
      <c r="V14" s="1473"/>
      <c r="W14" s="1782"/>
      <c r="X14" s="1780">
        <f>ROUND(SUMPRODUCT(PRODUCT(1+N14:N$30)),4)</f>
        <v>1.4733000000000001</v>
      </c>
      <c r="Y14" s="1780">
        <f>ROUND(SUMPRODUCT(PRODUCT(1+O14:O$30)),4)</f>
        <v>1.3052999999999999</v>
      </c>
      <c r="Z14" s="1780">
        <f t="shared" ref="Z14" si="111">Y14</f>
        <v>1.3052999999999999</v>
      </c>
      <c r="AA14" s="1780">
        <f>ROUND(SUMPRODUCT(PRODUCT(1+P14:P$30)),4)</f>
        <v>1.5306999999999999</v>
      </c>
      <c r="AB14" s="1780">
        <f>ROUND(SUMPRODUCT(PRODUCT(1+Q14:Q$30)),4)</f>
        <v>1.2863</v>
      </c>
      <c r="AC14" s="1782"/>
      <c r="AD14" s="1781">
        <f>ROUND(AVERAGE(I14:I$31)/100,4)</f>
        <v>2.35E-2</v>
      </c>
      <c r="AE14" s="1781">
        <f>ROUND(AVERAGE(J14:J$31)/100,4)</f>
        <v>1.6199999999999999E-2</v>
      </c>
      <c r="AF14" s="1781">
        <f t="shared" ref="AF14" si="112">AE14</f>
        <v>1.6199999999999999E-2</v>
      </c>
      <c r="AG14" s="1781">
        <f>ROUND(AVERAGE(K14:K$31)/100,4)</f>
        <v>2.5899999999999999E-2</v>
      </c>
      <c r="AH14" s="1781">
        <f>ROUND(AVERAGE(L14:L$31)/100,4)</f>
        <v>1.49E-2</v>
      </c>
    </row>
    <row r="15" spans="1:34" s="1466" customFormat="1" ht="15" customHeight="1" thickBot="1">
      <c r="A15" s="1461" t="s">
        <v>3031</v>
      </c>
      <c r="B15" s="1477">
        <f t="shared" ref="B15" si="113">B16*(1+N15)</f>
        <v>446.46299999999997</v>
      </c>
      <c r="C15" s="1477">
        <f t="shared" ref="C15" si="114">C16*(1+O15)</f>
        <v>333.27840000000003</v>
      </c>
      <c r="D15" s="1477">
        <f t="shared" ref="D15" si="115">C15</f>
        <v>333.27840000000003</v>
      </c>
      <c r="E15" s="1477">
        <f t="shared" ref="E15" si="116">E16*(1+P15)</f>
        <v>637.28279999999995</v>
      </c>
      <c r="F15" s="1477">
        <f t="shared" ref="F15" si="117">F16*(1+Q15)</f>
        <v>288.68830000000003</v>
      </c>
      <c r="G15" s="3567"/>
      <c r="H15" s="1464">
        <v>1</v>
      </c>
      <c r="I15" s="1464">
        <v>1.7</v>
      </c>
      <c r="J15" s="1464">
        <v>1.92</v>
      </c>
      <c r="K15" s="1464">
        <v>1.64</v>
      </c>
      <c r="L15" s="1478">
        <v>2.0099999999999998</v>
      </c>
      <c r="M15" s="1471"/>
      <c r="N15" s="1472">
        <f t="shared" ref="N15:N20" si="118">I15/100</f>
        <v>1.7000000000000001E-2</v>
      </c>
      <c r="O15" s="1473">
        <f t="shared" ref="O15" si="119">J15/100</f>
        <v>1.9199999999999998E-2</v>
      </c>
      <c r="P15" s="1473">
        <f t="shared" ref="P15" si="120">K15/100</f>
        <v>1.6399999999999998E-2</v>
      </c>
      <c r="Q15" s="1473">
        <f t="shared" ref="Q15" si="121">L15/100</f>
        <v>2.0099999999999996E-2</v>
      </c>
      <c r="R15" s="1474"/>
      <c r="S15" s="1472">
        <f>B15/B16-1</f>
        <v>1.6999999999999904E-2</v>
      </c>
      <c r="T15" s="1473">
        <f t="shared" ref="T15" si="122">C15/C16-1</f>
        <v>1.9200000000000106E-2</v>
      </c>
      <c r="U15" s="1473">
        <f t="shared" ref="U15" si="123">D15/D16-1</f>
        <v>1.9200000000000106E-2</v>
      </c>
      <c r="V15" s="1473">
        <f t="shared" ref="V15" si="124">E15/E16-1</f>
        <v>1.639999999999997E-2</v>
      </c>
      <c r="W15" s="1782"/>
      <c r="X15" s="1780">
        <f>ROUND(SUMPRODUCT(PRODUCT(1+N15:N$30)),4)</f>
        <v>1.4517</v>
      </c>
      <c r="Y15" s="1780">
        <f>ROUND(SUMPRODUCT(PRODUCT(1+O15:O$30)),4)</f>
        <v>1.2928999999999999</v>
      </c>
      <c r="Z15" s="1780">
        <f t="shared" ref="Z15" si="125">Y15</f>
        <v>1.2928999999999999</v>
      </c>
      <c r="AA15" s="1780">
        <f>ROUND(SUMPRODUCT(PRODUCT(1+P15:P$30)),4)</f>
        <v>1.5068999999999999</v>
      </c>
      <c r="AB15" s="1780">
        <f>ROUND(SUMPRODUCT(PRODUCT(1+Q15:Q$30)),4)</f>
        <v>1.2557</v>
      </c>
      <c r="AC15" s="1782"/>
      <c r="AD15" s="1781">
        <f>ROUND(AVERAGE(I15:I$31)/100,4)</f>
        <v>2.4E-2</v>
      </c>
      <c r="AE15" s="1781">
        <f>ROUND(AVERAGE(J15:J$31)/100,4)</f>
        <v>1.66E-2</v>
      </c>
      <c r="AF15" s="1781">
        <f t="shared" ref="AF15" si="126">AE15</f>
        <v>1.66E-2</v>
      </c>
      <c r="AG15" s="1781">
        <f>ROUND(AVERAGE(K15:K$31)/100,4)</f>
        <v>2.6499999999999999E-2</v>
      </c>
      <c r="AH15" s="1781">
        <f>ROUND(AVERAGE(L15:L$31)/100,4)</f>
        <v>1.43E-2</v>
      </c>
    </row>
    <row r="16" spans="1:34">
      <c r="A16" s="1461" t="s">
        <v>3028</v>
      </c>
      <c r="B16" s="1469">
        <v>439</v>
      </c>
      <c r="C16" s="1469">
        <v>327</v>
      </c>
      <c r="D16" s="1469">
        <f>C16</f>
        <v>327</v>
      </c>
      <c r="E16" s="1469">
        <v>627</v>
      </c>
      <c r="F16" s="1470">
        <v>283</v>
      </c>
      <c r="G16" s="3563">
        <v>2017</v>
      </c>
      <c r="H16" s="1462">
        <v>4</v>
      </c>
      <c r="I16" s="1462">
        <v>1.71</v>
      </c>
      <c r="J16" s="1462">
        <v>1.78</v>
      </c>
      <c r="K16" s="1462">
        <v>1.71</v>
      </c>
      <c r="L16" s="1463">
        <v>1.43</v>
      </c>
      <c r="N16" s="1472">
        <f t="shared" si="118"/>
        <v>1.7100000000000001E-2</v>
      </c>
      <c r="O16" s="1473">
        <f t="shared" ref="O16" si="127">J16/100</f>
        <v>1.78E-2</v>
      </c>
      <c r="P16" s="1473">
        <f t="shared" ref="P16" si="128">K16/100</f>
        <v>1.7100000000000001E-2</v>
      </c>
      <c r="Q16" s="1473">
        <f t="shared" ref="Q16" si="129">L16/100</f>
        <v>1.43E-2</v>
      </c>
      <c r="R16" s="1474"/>
      <c r="S16" s="1475"/>
      <c r="T16" s="1476"/>
      <c r="U16" s="1476"/>
      <c r="V16" s="1476"/>
      <c r="X16" s="1459">
        <f>ROUND(SUMPRODUCT(PRODUCT(1+N16:N$30)),4)</f>
        <v>1.4274</v>
      </c>
      <c r="Y16" s="1459">
        <f>ROUND(SUMPRODUCT(PRODUCT(1+O16:O$30)),4)</f>
        <v>1.2685</v>
      </c>
      <c r="Z16" s="1459">
        <f t="shared" si="0"/>
        <v>1.2685</v>
      </c>
      <c r="AA16" s="1459">
        <f>ROUND(SUMPRODUCT(PRODUCT(1+P16:P$30)),4)</f>
        <v>1.4825999999999999</v>
      </c>
      <c r="AB16" s="1459">
        <f>ROUND(SUMPRODUCT(PRODUCT(1+Q16:Q$30)),4)</f>
        <v>1.2309000000000001</v>
      </c>
      <c r="AD16" s="1460">
        <f>ROUND(AVERAGE(I16:I$31)/100,4)</f>
        <v>2.4500000000000001E-2</v>
      </c>
      <c r="AE16" s="1460">
        <f>ROUND(AVERAGE(J16:J$31)/100,4)</f>
        <v>1.6500000000000001E-2</v>
      </c>
      <c r="AF16" s="1460">
        <f t="shared" si="1"/>
        <v>1.6500000000000001E-2</v>
      </c>
      <c r="AG16" s="1460">
        <f>ROUND(AVERAGE(K16:K$31)/100,4)</f>
        <v>2.7099999999999999E-2</v>
      </c>
      <c r="AH16" s="1460">
        <f>ROUND(AVERAGE(L16:L$31)/100,4)</f>
        <v>1.3899999999999999E-2</v>
      </c>
    </row>
    <row r="17" spans="1:34" s="1466" customFormat="1" ht="14.45" customHeight="1">
      <c r="A17" s="1461" t="s">
        <v>3029</v>
      </c>
      <c r="B17" s="1477">
        <f t="shared" ref="B17:B18" si="130">B18*(1+N17)</f>
        <v>431.80730811680002</v>
      </c>
      <c r="C17" s="1477">
        <f t="shared" ref="C17:C18" si="131">C18*(1+O17)</f>
        <v>320.57880516480003</v>
      </c>
      <c r="D17" s="1477">
        <f t="shared" ref="D17:D18" si="132">C17</f>
        <v>320.57880516480003</v>
      </c>
      <c r="E17" s="1477">
        <f t="shared" ref="E17:E18" si="133">E18*(1+P17)</f>
        <v>615.96110553196797</v>
      </c>
      <c r="F17" s="1477">
        <f t="shared" ref="F17:F18" si="134">F18*(1+Q17)</f>
        <v>279.46777300108801</v>
      </c>
      <c r="G17" s="3558"/>
      <c r="H17" s="1464">
        <v>3</v>
      </c>
      <c r="I17" s="1464">
        <v>2.98</v>
      </c>
      <c r="J17" s="1464">
        <v>2.11</v>
      </c>
      <c r="K17" s="1464">
        <v>3.24</v>
      </c>
      <c r="L17" s="1478">
        <v>1.72</v>
      </c>
      <c r="M17" s="1471"/>
      <c r="N17" s="1472">
        <f t="shared" si="118"/>
        <v>2.98E-2</v>
      </c>
      <c r="O17" s="1473">
        <f t="shared" ref="O17" si="135">J17/100</f>
        <v>2.1099999999999997E-2</v>
      </c>
      <c r="P17" s="1473">
        <f t="shared" ref="P17" si="136">K17/100</f>
        <v>3.2400000000000005E-2</v>
      </c>
      <c r="Q17" s="1473">
        <f t="shared" ref="Q17" si="137">L17/100</f>
        <v>1.72E-2</v>
      </c>
      <c r="R17" s="1474"/>
      <c r="S17" s="1472"/>
      <c r="T17" s="1473"/>
      <c r="U17" s="1473"/>
      <c r="V17" s="1473"/>
      <c r="W17" s="1782"/>
      <c r="X17" s="1780">
        <f>ROUND(SUMPRODUCT(PRODUCT(1+N17:N$30)),4)</f>
        <v>1.4034</v>
      </c>
      <c r="Y17" s="1780">
        <f>ROUND(SUMPRODUCT(PRODUCT(1+O17:O$30)),4)</f>
        <v>1.2463</v>
      </c>
      <c r="Z17" s="1780">
        <f t="shared" si="0"/>
        <v>1.2463</v>
      </c>
      <c r="AA17" s="1780">
        <f>ROUND(SUMPRODUCT(PRODUCT(1+P17:P$30)),4)</f>
        <v>1.4577</v>
      </c>
      <c r="AB17" s="1780">
        <f>ROUND(SUMPRODUCT(PRODUCT(1+Q17:Q$30)),4)</f>
        <v>1.2136</v>
      </c>
      <c r="AC17" s="1782"/>
      <c r="AD17" s="1781">
        <f>ROUND(AVERAGE(I17:I$31)/100,4)</f>
        <v>2.4899999999999999E-2</v>
      </c>
      <c r="AE17" s="1781">
        <f>ROUND(AVERAGE(J17:J$31)/100,4)</f>
        <v>1.6400000000000001E-2</v>
      </c>
      <c r="AF17" s="1781">
        <f t="shared" si="1"/>
        <v>1.6400000000000001E-2</v>
      </c>
      <c r="AG17" s="1781">
        <f>ROUND(AVERAGE(K17:K$31)/100,4)</f>
        <v>2.7799999999999998E-2</v>
      </c>
      <c r="AH17" s="1781">
        <f>ROUND(AVERAGE(L17:L$31)/100,4)</f>
        <v>1.3899999999999999E-2</v>
      </c>
    </row>
    <row r="18" spans="1:34" s="1731" customFormat="1" ht="14.45" customHeight="1">
      <c r="A18" s="1461" t="s">
        <v>1380</v>
      </c>
      <c r="B18" s="1477">
        <f t="shared" si="130"/>
        <v>419.31181600000002</v>
      </c>
      <c r="C18" s="1477">
        <f t="shared" si="131"/>
        <v>313.95436800000004</v>
      </c>
      <c r="D18" s="1477">
        <f t="shared" si="132"/>
        <v>313.95436800000004</v>
      </c>
      <c r="E18" s="1477">
        <f t="shared" si="133"/>
        <v>596.63028431999999</v>
      </c>
      <c r="F18" s="1477">
        <f t="shared" si="134"/>
        <v>274.74220703999998</v>
      </c>
      <c r="G18" s="3558"/>
      <c r="H18" s="1465">
        <v>2</v>
      </c>
      <c r="I18" s="1465">
        <v>3.4</v>
      </c>
      <c r="J18" s="1465">
        <v>2</v>
      </c>
      <c r="K18" s="1465">
        <v>3.82</v>
      </c>
      <c r="L18" s="1479">
        <v>1.68</v>
      </c>
      <c r="M18" s="1471"/>
      <c r="N18" s="1472">
        <f t="shared" si="118"/>
        <v>3.4000000000000002E-2</v>
      </c>
      <c r="O18" s="1473">
        <f t="shared" ref="O18" si="138">J18/100</f>
        <v>0.02</v>
      </c>
      <c r="P18" s="1473">
        <f t="shared" ref="P18" si="139">K18/100</f>
        <v>3.8199999999999998E-2</v>
      </c>
      <c r="Q18" s="1473">
        <f t="shared" ref="Q18" si="140">L18/100</f>
        <v>1.6799999999999999E-2</v>
      </c>
      <c r="R18" s="1474"/>
      <c r="S18" s="1475"/>
      <c r="T18" s="1476"/>
      <c r="U18" s="1476"/>
      <c r="V18" s="1476"/>
      <c r="W18" s="1453"/>
      <c r="X18" s="1780">
        <f>ROUND(SUMPRODUCT(PRODUCT(1+N18:N$30)),4)</f>
        <v>1.3628</v>
      </c>
      <c r="Y18" s="1780">
        <f>ROUND(SUMPRODUCT(PRODUCT(1+O18:O$30)),4)</f>
        <v>1.2205999999999999</v>
      </c>
      <c r="Z18" s="1780">
        <f t="shared" si="0"/>
        <v>1.2205999999999999</v>
      </c>
      <c r="AA18" s="1780">
        <f>ROUND(SUMPRODUCT(PRODUCT(1+P18:P$30)),4)</f>
        <v>1.4118999999999999</v>
      </c>
      <c r="AB18" s="1780">
        <f>ROUND(SUMPRODUCT(PRODUCT(1+Q18:Q$30)),4)</f>
        <v>1.1930000000000001</v>
      </c>
      <c r="AC18" s="1453"/>
      <c r="AD18" s="1781">
        <f>ROUND(AVERAGE(I18:I$31)/100,4)</f>
        <v>2.46E-2</v>
      </c>
      <c r="AE18" s="1781">
        <f>ROUND(AVERAGE(J18:J$31)/100,4)</f>
        <v>1.6E-2</v>
      </c>
      <c r="AF18" s="1781">
        <f t="shared" si="1"/>
        <v>1.6E-2</v>
      </c>
      <c r="AG18" s="1781">
        <f>ROUND(AVERAGE(K18:K$31)/100,4)</f>
        <v>2.75E-2</v>
      </c>
      <c r="AH18" s="1781">
        <f>ROUND(AVERAGE(L18:L$31)/100,4)</f>
        <v>1.37E-2</v>
      </c>
    </row>
    <row r="19" spans="1:34" s="1466" customFormat="1" ht="15" customHeight="1" thickBot="1">
      <c r="A19" s="1461" t="s">
        <v>1156</v>
      </c>
      <c r="B19" s="1477">
        <f>B20*(1+N19)</f>
        <v>405.524</v>
      </c>
      <c r="C19" s="1477">
        <f>C20*(1+O19)</f>
        <v>307.79840000000002</v>
      </c>
      <c r="D19" s="1477">
        <f>C19</f>
        <v>307.79840000000002</v>
      </c>
      <c r="E19" s="1477">
        <f>E20*(1+P19)</f>
        <v>574.67759999999998</v>
      </c>
      <c r="F19" s="1477">
        <f>F20*(1+Q19)</f>
        <v>270.20280000000002</v>
      </c>
      <c r="G19" s="3567"/>
      <c r="H19" s="1464">
        <v>1</v>
      </c>
      <c r="I19" s="1464">
        <v>3.45</v>
      </c>
      <c r="J19" s="1464">
        <v>1.92</v>
      </c>
      <c r="K19" s="1464">
        <v>3.92</v>
      </c>
      <c r="L19" s="1478">
        <v>1.58</v>
      </c>
      <c r="M19" s="1471"/>
      <c r="N19" s="1472">
        <f t="shared" si="118"/>
        <v>3.4500000000000003E-2</v>
      </c>
      <c r="O19" s="1473">
        <f t="shared" ref="O19:Q34" si="141">J19/100</f>
        <v>1.9199999999999998E-2</v>
      </c>
      <c r="P19" s="1473">
        <f t="shared" si="141"/>
        <v>3.9199999999999999E-2</v>
      </c>
      <c r="Q19" s="1473">
        <f t="shared" si="141"/>
        <v>1.5800000000000002E-2</v>
      </c>
      <c r="R19" s="1474"/>
      <c r="S19" s="1472">
        <f>B19/B20-1</f>
        <v>3.4499999999999975E-2</v>
      </c>
      <c r="T19" s="1473">
        <f t="shared" ref="T19:V19" si="142">C19/C20-1</f>
        <v>1.9200000000000106E-2</v>
      </c>
      <c r="U19" s="1473">
        <f t="shared" si="142"/>
        <v>1.9200000000000106E-2</v>
      </c>
      <c r="V19" s="1473">
        <f t="shared" si="142"/>
        <v>3.9199999999999902E-2</v>
      </c>
      <c r="W19" s="1782"/>
      <c r="X19" s="1780">
        <f>ROUND(SUMPRODUCT(PRODUCT(1+N19:N$30)),4)</f>
        <v>1.3180000000000001</v>
      </c>
      <c r="Y19" s="1780">
        <f>ROUND(SUMPRODUCT(PRODUCT(1+O19:O$30)),4)</f>
        <v>1.1966000000000001</v>
      </c>
      <c r="Z19" s="1780">
        <f t="shared" si="0"/>
        <v>1.1966000000000001</v>
      </c>
      <c r="AA19" s="1780">
        <f>ROUND(SUMPRODUCT(PRODUCT(1+P19:P$30)),4)</f>
        <v>1.36</v>
      </c>
      <c r="AB19" s="1780">
        <f>ROUND(SUMPRODUCT(PRODUCT(1+Q19:Q$30)),4)</f>
        <v>1.1733</v>
      </c>
      <c r="AC19" s="1782"/>
      <c r="AD19" s="1781">
        <f>ROUND(AVERAGE(I19:I$31)/100,4)</f>
        <v>2.3900000000000001E-2</v>
      </c>
      <c r="AE19" s="1781">
        <f>ROUND(AVERAGE(J19:J$31)/100,4)</f>
        <v>1.5699999999999999E-2</v>
      </c>
      <c r="AF19" s="1781">
        <f t="shared" si="1"/>
        <v>1.5699999999999999E-2</v>
      </c>
      <c r="AG19" s="1781">
        <f>ROUND(AVERAGE(K19:K$31)/100,4)</f>
        <v>2.6599999999999999E-2</v>
      </c>
      <c r="AH19" s="1781">
        <f>ROUND(AVERAGE(L19:L$31)/100,4)</f>
        <v>1.34E-2</v>
      </c>
    </row>
    <row r="20" spans="1:34">
      <c r="A20" s="1461" t="s">
        <v>154</v>
      </c>
      <c r="B20" s="1469">
        <v>392</v>
      </c>
      <c r="C20" s="1469">
        <v>302</v>
      </c>
      <c r="D20" s="1469">
        <f>C20</f>
        <v>302</v>
      </c>
      <c r="E20" s="1469">
        <v>553</v>
      </c>
      <c r="F20" s="1470">
        <v>266</v>
      </c>
      <c r="G20" s="3563">
        <v>2016</v>
      </c>
      <c r="H20" s="1462">
        <v>4</v>
      </c>
      <c r="I20" s="1462">
        <v>4.5599999999999996</v>
      </c>
      <c r="J20" s="1462">
        <v>2.15</v>
      </c>
      <c r="K20" s="1462">
        <v>5.32</v>
      </c>
      <c r="L20" s="1463">
        <v>1.57</v>
      </c>
      <c r="N20" s="1472">
        <f t="shared" si="118"/>
        <v>4.5599999999999995E-2</v>
      </c>
      <c r="O20" s="1473">
        <f t="shared" si="141"/>
        <v>2.1499999999999998E-2</v>
      </c>
      <c r="P20" s="1473">
        <f t="shared" si="141"/>
        <v>5.3200000000000004E-2</v>
      </c>
      <c r="Q20" s="1473">
        <f t="shared" si="141"/>
        <v>1.5700000000000002E-2</v>
      </c>
      <c r="R20" s="1474"/>
      <c r="S20" s="1475"/>
      <c r="T20" s="1476"/>
      <c r="U20" s="1476"/>
      <c r="V20" s="1476"/>
      <c r="X20" s="1459">
        <f>ROUND(SUMPRODUCT(PRODUCT(1+N20:N$30)),4)</f>
        <v>1.274</v>
      </c>
      <c r="Y20" s="1459">
        <f>ROUND(SUMPRODUCT(PRODUCT(1+O20:O$30)),4)</f>
        <v>1.1740999999999999</v>
      </c>
      <c r="Z20" s="1459">
        <f t="shared" si="0"/>
        <v>1.1740999999999999</v>
      </c>
      <c r="AA20" s="1459">
        <f>ROUND(SUMPRODUCT(PRODUCT(1+P20:P$30)),4)</f>
        <v>1.3087</v>
      </c>
      <c r="AB20" s="1459">
        <f>ROUND(SUMPRODUCT(PRODUCT(1+Q20:Q$30)),4)</f>
        <v>1.1551</v>
      </c>
      <c r="AD20" s="1460">
        <f>ROUND(AVERAGE(I20:I$31)/100,4)</f>
        <v>2.3E-2</v>
      </c>
      <c r="AE20" s="1460">
        <f>ROUND(AVERAGE(J20:J$31)/100,4)</f>
        <v>1.55E-2</v>
      </c>
      <c r="AF20" s="1460">
        <f t="shared" si="1"/>
        <v>1.55E-2</v>
      </c>
      <c r="AG20" s="1460">
        <f>ROUND(AVERAGE(K20:K$31)/100,4)</f>
        <v>2.5600000000000001E-2</v>
      </c>
      <c r="AH20" s="1460">
        <f>ROUND(AVERAGE(L20:L$31)/100,4)</f>
        <v>1.32E-2</v>
      </c>
    </row>
    <row r="21" spans="1:34">
      <c r="A21" s="1461" t="s">
        <v>153</v>
      </c>
      <c r="B21" s="1477">
        <f t="shared" ref="B21:C23" si="143">B20/(1+N20)</f>
        <v>374.90436113236416</v>
      </c>
      <c r="C21" s="1477">
        <f t="shared" si="143"/>
        <v>295.64366128242779</v>
      </c>
      <c r="D21" s="1477">
        <f t="shared" ref="D21:D80" si="144">C21</f>
        <v>295.64366128242779</v>
      </c>
      <c r="E21" s="1477">
        <f t="shared" ref="E21:F23" si="145">E20/(1+P20)</f>
        <v>525.06646410938095</v>
      </c>
      <c r="F21" s="1477">
        <f t="shared" si="145"/>
        <v>261.88835286009646</v>
      </c>
      <c r="G21" s="3558"/>
      <c r="H21" s="1464">
        <v>3</v>
      </c>
      <c r="I21" s="1464">
        <v>4.12</v>
      </c>
      <c r="J21" s="1464">
        <v>2</v>
      </c>
      <c r="K21" s="1464">
        <v>4.79</v>
      </c>
      <c r="L21" s="1478">
        <v>1.97</v>
      </c>
      <c r="N21" s="1472">
        <f t="shared" ref="N21:Q55" si="146">I21/100</f>
        <v>4.1200000000000001E-2</v>
      </c>
      <c r="O21" s="1473">
        <f t="shared" si="141"/>
        <v>0.02</v>
      </c>
      <c r="P21" s="1473">
        <f t="shared" si="141"/>
        <v>4.7899999999999998E-2</v>
      </c>
      <c r="Q21" s="1473">
        <f t="shared" si="141"/>
        <v>1.9699999999999999E-2</v>
      </c>
      <c r="R21" s="1474"/>
      <c r="S21" s="1472"/>
      <c r="T21" s="1473"/>
      <c r="U21" s="1473"/>
      <c r="V21" s="1473"/>
      <c r="X21" s="1459">
        <f>ROUND(SUMPRODUCT(PRODUCT(1+N21:N$30)),4)</f>
        <v>1.2184999999999999</v>
      </c>
      <c r="Y21" s="1459">
        <f>ROUND(SUMPRODUCT(PRODUCT(1+O21:O$30)),4)</f>
        <v>1.1494</v>
      </c>
      <c r="Z21" s="1459">
        <f t="shared" si="0"/>
        <v>1.1494</v>
      </c>
      <c r="AA21" s="1459">
        <f>ROUND(SUMPRODUCT(PRODUCT(1+P21:P$30)),4)</f>
        <v>1.2425999999999999</v>
      </c>
      <c r="AB21" s="1459">
        <f>ROUND(SUMPRODUCT(PRODUCT(1+Q21:Q$30)),4)</f>
        <v>1.1372</v>
      </c>
      <c r="AD21" s="1460">
        <f>ROUND(AVERAGE(I21:I$31)/100,4)</f>
        <v>2.0899999999999998E-2</v>
      </c>
      <c r="AE21" s="1460">
        <f>ROUND(AVERAGE(J21:J$31)/100,4)</f>
        <v>1.49E-2</v>
      </c>
      <c r="AF21" s="1460">
        <f t="shared" si="1"/>
        <v>1.49E-2</v>
      </c>
      <c r="AG21" s="1460">
        <f>ROUND(AVERAGE(K21:K$31)/100,4)</f>
        <v>2.3099999999999999E-2</v>
      </c>
      <c r="AH21" s="1460">
        <f>ROUND(AVERAGE(L21:L$31)/100,4)</f>
        <v>1.2999999999999999E-2</v>
      </c>
    </row>
    <row r="22" spans="1:34">
      <c r="A22" s="1461" t="s">
        <v>143</v>
      </c>
      <c r="B22" s="1477">
        <f t="shared" si="143"/>
        <v>360.06949782209392</v>
      </c>
      <c r="C22" s="1477">
        <f t="shared" si="143"/>
        <v>289.84672674747821</v>
      </c>
      <c r="D22" s="1477">
        <f t="shared" si="144"/>
        <v>289.84672674747821</v>
      </c>
      <c r="E22" s="1477">
        <f t="shared" si="145"/>
        <v>501.06543001181495</v>
      </c>
      <c r="F22" s="1477">
        <f t="shared" si="145"/>
        <v>256.82882500744967</v>
      </c>
      <c r="G22" s="3558"/>
      <c r="H22" s="1465">
        <v>2</v>
      </c>
      <c r="I22" s="1465">
        <v>3.85</v>
      </c>
      <c r="J22" s="1465">
        <v>1.95</v>
      </c>
      <c r="K22" s="1465">
        <v>4.4800000000000004</v>
      </c>
      <c r="L22" s="1479">
        <v>1.41</v>
      </c>
      <c r="N22" s="1472">
        <f t="shared" si="146"/>
        <v>3.85E-2</v>
      </c>
      <c r="O22" s="1473">
        <f t="shared" si="141"/>
        <v>1.95E-2</v>
      </c>
      <c r="P22" s="1473">
        <f t="shared" si="141"/>
        <v>4.4800000000000006E-2</v>
      </c>
      <c r="Q22" s="1473">
        <f t="shared" si="141"/>
        <v>1.41E-2</v>
      </c>
      <c r="R22" s="1474"/>
      <c r="S22" s="1472"/>
      <c r="T22" s="1473"/>
      <c r="U22" s="1473"/>
      <c r="V22" s="1473"/>
      <c r="X22" s="1459">
        <f>ROUND(SUMPRODUCT(PRODUCT(1+N22:N$30)),4)</f>
        <v>1.1702999999999999</v>
      </c>
      <c r="Y22" s="1459">
        <f>ROUND(SUMPRODUCT(PRODUCT(1+O22:O$30)),4)</f>
        <v>1.1269</v>
      </c>
      <c r="Z22" s="1459">
        <f t="shared" si="0"/>
        <v>1.1269</v>
      </c>
      <c r="AA22" s="1459">
        <f>ROUND(SUMPRODUCT(PRODUCT(1+P22:P$30)),4)</f>
        <v>1.1858</v>
      </c>
      <c r="AB22" s="1459">
        <f>ROUND(SUMPRODUCT(PRODUCT(1+Q22:Q$30)),4)</f>
        <v>1.1152</v>
      </c>
      <c r="AD22" s="1460">
        <f>ROUND(AVERAGE(I22:I$31)/100,4)</f>
        <v>1.89E-2</v>
      </c>
      <c r="AE22" s="1460">
        <f>ROUND(AVERAGE(J22:J$31)/100,4)</f>
        <v>1.44E-2</v>
      </c>
      <c r="AF22" s="1460">
        <f t="shared" si="1"/>
        <v>1.44E-2</v>
      </c>
      <c r="AG22" s="1460">
        <f>ROUND(AVERAGE(K22:K$31)/100,4)</f>
        <v>2.06E-2</v>
      </c>
      <c r="AH22" s="1460">
        <f>ROUND(AVERAGE(L22:L$31)/100,4)</f>
        <v>1.23E-2</v>
      </c>
    </row>
    <row r="23" spans="1:34" ht="13.5" thickBot="1">
      <c r="A23" s="1461" t="s">
        <v>152</v>
      </c>
      <c r="B23" s="1477">
        <f t="shared" si="143"/>
        <v>346.720748986128</v>
      </c>
      <c r="C23" s="1477">
        <f t="shared" si="143"/>
        <v>284.30282172386285</v>
      </c>
      <c r="D23" s="1477">
        <f t="shared" si="144"/>
        <v>284.30282172386285</v>
      </c>
      <c r="E23" s="1477">
        <f t="shared" si="145"/>
        <v>479.58023546306947</v>
      </c>
      <c r="F23" s="1477">
        <f t="shared" si="145"/>
        <v>253.25788877571213</v>
      </c>
      <c r="G23" s="3559"/>
      <c r="H23" s="1464">
        <v>1</v>
      </c>
      <c r="I23" s="1464">
        <v>4.09</v>
      </c>
      <c r="J23" s="1464">
        <v>2.93</v>
      </c>
      <c r="K23" s="1464">
        <v>4.54</v>
      </c>
      <c r="L23" s="1478">
        <v>1.48</v>
      </c>
      <c r="N23" s="1472">
        <f t="shared" si="146"/>
        <v>4.0899999999999999E-2</v>
      </c>
      <c r="O23" s="1473">
        <f t="shared" si="141"/>
        <v>2.9300000000000003E-2</v>
      </c>
      <c r="P23" s="1473">
        <f t="shared" si="141"/>
        <v>4.5400000000000003E-2</v>
      </c>
      <c r="Q23" s="1473">
        <f t="shared" si="141"/>
        <v>1.4800000000000001E-2</v>
      </c>
      <c r="R23" s="1474"/>
      <c r="S23" s="1480">
        <f>B23/B24-1</f>
        <v>4.1203450408792808E-2</v>
      </c>
      <c r="T23" s="1481">
        <f>C23/C24-1</f>
        <v>2.6363977342465095E-2</v>
      </c>
      <c r="U23" s="1481">
        <f>E23/E24-1</f>
        <v>4.4837114298626357E-2</v>
      </c>
      <c r="V23" s="1481">
        <f>F23/F24-1</f>
        <v>1.7099954922538574E-2</v>
      </c>
      <c r="X23" s="1459">
        <f>ROUND(SUMPRODUCT(PRODUCT(1+N23:N$30)),4)</f>
        <v>1.1269</v>
      </c>
      <c r="Y23" s="1459">
        <f>ROUND(SUMPRODUCT(PRODUCT(1+O23:O$30)),4)</f>
        <v>1.1052999999999999</v>
      </c>
      <c r="Z23" s="1459">
        <f t="shared" si="0"/>
        <v>1.1052999999999999</v>
      </c>
      <c r="AA23" s="1459">
        <f>ROUND(SUMPRODUCT(PRODUCT(1+P23:P$30)),4)</f>
        <v>1.1349</v>
      </c>
      <c r="AB23" s="1459">
        <f>ROUND(SUMPRODUCT(PRODUCT(1+Q23:Q$30)),4)</f>
        <v>1.0996999999999999</v>
      </c>
      <c r="AD23" s="1460">
        <f>ROUND(AVERAGE(I23:I$31)/100,4)</f>
        <v>1.67E-2</v>
      </c>
      <c r="AE23" s="1460">
        <f>ROUND(AVERAGE(J23:J$31)/100,4)</f>
        <v>1.38E-2</v>
      </c>
      <c r="AF23" s="1460">
        <f t="shared" si="1"/>
        <v>1.38E-2</v>
      </c>
      <c r="AG23" s="1460">
        <f>ROUND(AVERAGE(K23:K$31)/100,4)</f>
        <v>1.7899999999999999E-2</v>
      </c>
      <c r="AH23" s="1460">
        <f>ROUND(AVERAGE(L23:L$31)/100,4)</f>
        <v>1.21E-2</v>
      </c>
    </row>
    <row r="24" spans="1:34" ht="13.5" thickBot="1">
      <c r="A24" s="1461" t="s">
        <v>151</v>
      </c>
      <c r="B24" s="1469">
        <v>333</v>
      </c>
      <c r="C24" s="1469">
        <v>277</v>
      </c>
      <c r="D24" s="1469">
        <f t="shared" si="144"/>
        <v>277</v>
      </c>
      <c r="E24" s="1469">
        <v>459</v>
      </c>
      <c r="F24" s="1470">
        <v>249</v>
      </c>
      <c r="G24" s="3557">
        <v>2015</v>
      </c>
      <c r="H24" s="1482">
        <v>4</v>
      </c>
      <c r="I24" s="1482">
        <v>1.63</v>
      </c>
      <c r="J24" s="1482">
        <v>1.1100000000000001</v>
      </c>
      <c r="K24" s="1482">
        <v>1.77</v>
      </c>
      <c r="L24" s="1483">
        <v>1.89</v>
      </c>
      <c r="N24" s="1484">
        <f t="shared" si="146"/>
        <v>1.6299999999999999E-2</v>
      </c>
      <c r="O24" s="1485">
        <f t="shared" si="141"/>
        <v>1.11E-2</v>
      </c>
      <c r="P24" s="1485">
        <f t="shared" si="141"/>
        <v>1.77E-2</v>
      </c>
      <c r="Q24" s="1485">
        <f t="shared" si="141"/>
        <v>1.89E-2</v>
      </c>
      <c r="R24" s="1474"/>
      <c r="X24" s="1459">
        <f>ROUND(SUMPRODUCT(PRODUCT(1+N24:N$30)),4)</f>
        <v>1.0826</v>
      </c>
      <c r="Y24" s="1459">
        <f>ROUND(SUMPRODUCT(PRODUCT(1+O24:O$30)),4)</f>
        <v>1.0738000000000001</v>
      </c>
      <c r="Z24" s="1459">
        <f t="shared" si="0"/>
        <v>1.0738000000000001</v>
      </c>
      <c r="AA24" s="1459">
        <f>ROUND(SUMPRODUCT(PRODUCT(1+P24:P$30)),4)</f>
        <v>1.0855999999999999</v>
      </c>
      <c r="AB24" s="1459">
        <f>ROUND(SUMPRODUCT(PRODUCT(1+Q24:Q$30)),4)</f>
        <v>1.0837000000000001</v>
      </c>
      <c r="AD24" s="1460">
        <f>ROUND(AVERAGE(I24:I$31)/100,4)</f>
        <v>1.37E-2</v>
      </c>
      <c r="AE24" s="1460">
        <f>ROUND(AVERAGE(J24:J$31)/100,4)</f>
        <v>1.1900000000000001E-2</v>
      </c>
      <c r="AF24" s="1460">
        <f t="shared" si="1"/>
        <v>1.1900000000000001E-2</v>
      </c>
      <c r="AG24" s="1460">
        <f>ROUND(AVERAGE(K24:K$31)/100,4)</f>
        <v>1.4500000000000001E-2</v>
      </c>
      <c r="AH24" s="1460">
        <f>ROUND(AVERAGE(L24:L$31)/100,4)</f>
        <v>1.18E-2</v>
      </c>
    </row>
    <row r="25" spans="1:34">
      <c r="A25" s="1461" t="s">
        <v>150</v>
      </c>
      <c r="B25" s="1477">
        <f t="shared" ref="B25:C27" si="147">B24/(1+N24)</f>
        <v>327.65915576109415</v>
      </c>
      <c r="C25" s="1477">
        <f t="shared" si="147"/>
        <v>273.95905449510434</v>
      </c>
      <c r="D25" s="1477">
        <f t="shared" si="144"/>
        <v>273.95905449510434</v>
      </c>
      <c r="E25" s="1477">
        <f t="shared" ref="E25:F27" si="148">E24/(1+P24)</f>
        <v>451.01699911565294</v>
      </c>
      <c r="F25" s="1477">
        <f t="shared" si="148"/>
        <v>244.38119540681129</v>
      </c>
      <c r="G25" s="3558"/>
      <c r="H25" s="1487">
        <v>3</v>
      </c>
      <c r="I25" s="1487">
        <v>1.65</v>
      </c>
      <c r="J25" s="1487">
        <v>0.92</v>
      </c>
      <c r="K25" s="1487">
        <v>1.88</v>
      </c>
      <c r="L25" s="1488">
        <v>1.26</v>
      </c>
      <c r="N25" s="1472">
        <f t="shared" si="146"/>
        <v>1.6500000000000001E-2</v>
      </c>
      <c r="O25" s="1489">
        <f t="shared" si="141"/>
        <v>9.1999999999999998E-3</v>
      </c>
      <c r="P25" s="1489">
        <f t="shared" si="141"/>
        <v>1.8799999999999997E-2</v>
      </c>
      <c r="Q25" s="1489">
        <f t="shared" si="141"/>
        <v>1.26E-2</v>
      </c>
      <c r="R25" s="1474"/>
      <c r="S25" s="1472"/>
      <c r="T25" s="1473"/>
      <c r="U25" s="1473"/>
      <c r="V25" s="1473"/>
      <c r="X25" s="1459">
        <f>ROUND(SUMPRODUCT(PRODUCT(1+N25:N$30)),4)</f>
        <v>1.0651999999999999</v>
      </c>
      <c r="Y25" s="1459">
        <f>ROUND(SUMPRODUCT(PRODUCT(1+O25:O$30)),4)</f>
        <v>1.0621</v>
      </c>
      <c r="Z25" s="1459">
        <f t="shared" si="0"/>
        <v>1.0621</v>
      </c>
      <c r="AA25" s="1459">
        <f>ROUND(SUMPRODUCT(PRODUCT(1+P25:P$30)),4)</f>
        <v>1.0668</v>
      </c>
      <c r="AB25" s="1459">
        <f>ROUND(SUMPRODUCT(PRODUCT(1+Q25:Q$30)),4)</f>
        <v>1.0636000000000001</v>
      </c>
      <c r="AD25" s="1460">
        <f>ROUND(AVERAGE(I25:I$31)/100,4)</f>
        <v>1.3299999999999999E-2</v>
      </c>
      <c r="AE25" s="1460">
        <f>ROUND(AVERAGE(J25:J$31)/100,4)</f>
        <v>1.2E-2</v>
      </c>
      <c r="AF25" s="1460">
        <f t="shared" si="1"/>
        <v>1.2E-2</v>
      </c>
      <c r="AG25" s="1460">
        <f>ROUND(AVERAGE(K25:K$31)/100,4)</f>
        <v>1.4E-2</v>
      </c>
      <c r="AH25" s="1460">
        <f>ROUND(AVERAGE(L25:L$31)/100,4)</f>
        <v>1.0800000000000001E-2</v>
      </c>
    </row>
    <row r="26" spans="1:34">
      <c r="A26" s="1461" t="s">
        <v>149</v>
      </c>
      <c r="B26" s="1477">
        <f t="shared" si="147"/>
        <v>322.34053690220776</v>
      </c>
      <c r="C26" s="1477">
        <f t="shared" si="147"/>
        <v>271.46160770422546</v>
      </c>
      <c r="D26" s="1477">
        <f t="shared" si="144"/>
        <v>271.46160770422546</v>
      </c>
      <c r="E26" s="1477">
        <f t="shared" si="148"/>
        <v>442.69434542172456</v>
      </c>
      <c r="F26" s="1477">
        <f t="shared" si="148"/>
        <v>241.34030753190925</v>
      </c>
      <c r="G26" s="3558"/>
      <c r="H26" s="1465">
        <v>2</v>
      </c>
      <c r="I26" s="1465">
        <v>0.77</v>
      </c>
      <c r="J26" s="1465">
        <v>0.69</v>
      </c>
      <c r="K26" s="1465">
        <v>0.8</v>
      </c>
      <c r="L26" s="1479">
        <v>0.88</v>
      </c>
      <c r="N26" s="1472">
        <f t="shared" si="146"/>
        <v>7.7000000000000002E-3</v>
      </c>
      <c r="O26" s="1489">
        <f t="shared" si="141"/>
        <v>6.8999999999999999E-3</v>
      </c>
      <c r="P26" s="1489">
        <f t="shared" si="141"/>
        <v>8.0000000000000002E-3</v>
      </c>
      <c r="Q26" s="1489">
        <f t="shared" si="141"/>
        <v>8.8000000000000005E-3</v>
      </c>
      <c r="R26" s="1474"/>
      <c r="S26" s="1472"/>
      <c r="T26" s="1473"/>
      <c r="U26" s="1473"/>
      <c r="V26" s="1473"/>
      <c r="X26" s="1459">
        <f>ROUND(SUMPRODUCT(PRODUCT(1+N26:N$30)),4)</f>
        <v>1.048</v>
      </c>
      <c r="Y26" s="1459">
        <f>ROUND(SUMPRODUCT(PRODUCT(1+O26:O$30)),4)</f>
        <v>1.0524</v>
      </c>
      <c r="Z26" s="1459">
        <f t="shared" si="0"/>
        <v>1.0524</v>
      </c>
      <c r="AA26" s="1459">
        <f>ROUND(SUMPRODUCT(PRODUCT(1+P26:P$30)),4)</f>
        <v>1.0470999999999999</v>
      </c>
      <c r="AB26" s="1459">
        <f>ROUND(SUMPRODUCT(PRODUCT(1+Q26:Q$30)),4)</f>
        <v>1.0504</v>
      </c>
      <c r="AD26" s="1460">
        <f>ROUND(AVERAGE(I26:I$31)/100,4)</f>
        <v>1.2800000000000001E-2</v>
      </c>
      <c r="AE26" s="1460">
        <f>ROUND(AVERAGE(J26:J$31)/100,4)</f>
        <v>1.2500000000000001E-2</v>
      </c>
      <c r="AF26" s="1460">
        <f t="shared" si="1"/>
        <v>1.2500000000000001E-2</v>
      </c>
      <c r="AG26" s="1460">
        <f>ROUND(AVERAGE(K26:K$31)/100,4)</f>
        <v>1.32E-2</v>
      </c>
      <c r="AH26" s="1460">
        <f>ROUND(AVERAGE(L26:L$31)/100,4)</f>
        <v>1.0500000000000001E-2</v>
      </c>
    </row>
    <row r="27" spans="1:34">
      <c r="A27" s="1461" t="s">
        <v>148</v>
      </c>
      <c r="B27" s="1477">
        <f t="shared" si="147"/>
        <v>319.87748030386797</v>
      </c>
      <c r="C27" s="1477">
        <f t="shared" si="147"/>
        <v>269.60135833173649</v>
      </c>
      <c r="D27" s="1477">
        <f t="shared" si="144"/>
        <v>269.60135833173649</v>
      </c>
      <c r="E27" s="1477">
        <f t="shared" si="148"/>
        <v>439.18089823583784</v>
      </c>
      <c r="F27" s="1477">
        <f t="shared" si="148"/>
        <v>239.23503918706311</v>
      </c>
      <c r="G27" s="3559"/>
      <c r="H27" s="1464">
        <v>1</v>
      </c>
      <c r="I27" s="1464">
        <v>0.51</v>
      </c>
      <c r="J27" s="1464">
        <v>0.54</v>
      </c>
      <c r="K27" s="1464">
        <v>0.48</v>
      </c>
      <c r="L27" s="1478">
        <v>0.93</v>
      </c>
      <c r="N27" s="1480">
        <f t="shared" si="146"/>
        <v>5.1000000000000004E-3</v>
      </c>
      <c r="O27" s="1481">
        <f t="shared" si="141"/>
        <v>5.4000000000000003E-3</v>
      </c>
      <c r="P27" s="1481">
        <f t="shared" si="141"/>
        <v>4.7999999999999996E-3</v>
      </c>
      <c r="Q27" s="1481">
        <f t="shared" si="141"/>
        <v>9.300000000000001E-3</v>
      </c>
      <c r="R27" s="1474"/>
      <c r="S27" s="1480">
        <f>B27/B28-1</f>
        <v>5.9040261127922822E-3</v>
      </c>
      <c r="T27" s="1481">
        <f>C27/C28-1</f>
        <v>5.9752176557332781E-3</v>
      </c>
      <c r="U27" s="1481">
        <f>E27/E28-1</f>
        <v>4.9906138119859556E-3</v>
      </c>
      <c r="V27" s="1481">
        <f>F27/F28-1</f>
        <v>9.4305450930933787E-3</v>
      </c>
      <c r="X27" s="1459">
        <f>ROUND(SUMPRODUCT(PRODUCT(1+N27:N$30)),4)</f>
        <v>1.0399</v>
      </c>
      <c r="Y27" s="1459">
        <f>ROUND(SUMPRODUCT(PRODUCT(1+O27:O$30)),4)</f>
        <v>1.0451999999999999</v>
      </c>
      <c r="Z27" s="1459">
        <f t="shared" si="0"/>
        <v>1.0451999999999999</v>
      </c>
      <c r="AA27" s="1459">
        <f>ROUND(SUMPRODUCT(PRODUCT(1+P27:P$30)),4)</f>
        <v>1.0387999999999999</v>
      </c>
      <c r="AB27" s="1459">
        <f>ROUND(SUMPRODUCT(PRODUCT(1+Q27:Q$30)),4)</f>
        <v>1.0411999999999999</v>
      </c>
      <c r="AD27" s="1460">
        <f>ROUND(AVERAGE(I27:I$31)/100,4)</f>
        <v>1.38E-2</v>
      </c>
      <c r="AE27" s="1460">
        <f>ROUND(AVERAGE(J27:J$31)/100,4)</f>
        <v>1.3599999999999999E-2</v>
      </c>
      <c r="AF27" s="1460">
        <f t="shared" si="1"/>
        <v>1.3599999999999999E-2</v>
      </c>
      <c r="AG27" s="1460">
        <f>ROUND(AVERAGE(K27:K$31)/100,4)</f>
        <v>1.4200000000000001E-2</v>
      </c>
      <c r="AH27" s="1460">
        <f>ROUND(AVERAGE(L27:L$31)/100,4)</f>
        <v>1.0800000000000001E-2</v>
      </c>
    </row>
    <row r="28" spans="1:34" ht="13.5" thickBot="1">
      <c r="A28" s="1461" t="s">
        <v>147</v>
      </c>
      <c r="B28" s="1490">
        <v>318</v>
      </c>
      <c r="C28" s="1490">
        <v>268</v>
      </c>
      <c r="D28" s="1490">
        <f t="shared" si="144"/>
        <v>268</v>
      </c>
      <c r="E28" s="1490">
        <v>437</v>
      </c>
      <c r="F28" s="1491">
        <v>237</v>
      </c>
      <c r="G28" s="3557">
        <v>2014</v>
      </c>
      <c r="H28" s="1482">
        <v>4</v>
      </c>
      <c r="I28" s="1482">
        <v>0.21</v>
      </c>
      <c r="J28" s="1482">
        <v>0.41</v>
      </c>
      <c r="K28" s="1482">
        <v>0.12</v>
      </c>
      <c r="L28" s="1483">
        <v>0.89</v>
      </c>
      <c r="N28" s="1472">
        <f t="shared" si="146"/>
        <v>2.0999999999999999E-3</v>
      </c>
      <c r="O28" s="1473">
        <f t="shared" si="141"/>
        <v>4.0999999999999995E-3</v>
      </c>
      <c r="P28" s="1473">
        <f t="shared" si="141"/>
        <v>1.1999999999999999E-3</v>
      </c>
      <c r="Q28" s="1473">
        <f t="shared" si="141"/>
        <v>8.8999999999999999E-3</v>
      </c>
      <c r="R28" s="1474"/>
      <c r="S28" s="1475"/>
      <c r="T28" s="1476"/>
      <c r="U28" s="1476"/>
      <c r="V28" s="1476"/>
      <c r="X28" s="1459">
        <f>ROUND(SUMPRODUCT(PRODUCT(1+N28:N$30)),4)</f>
        <v>1.0347</v>
      </c>
      <c r="Y28" s="1459">
        <f>ROUND(SUMPRODUCT(PRODUCT(1+O28:O$30)),4)</f>
        <v>1.0395000000000001</v>
      </c>
      <c r="Z28" s="1459">
        <f t="shared" si="0"/>
        <v>1.0395000000000001</v>
      </c>
      <c r="AA28" s="1459">
        <f>ROUND(SUMPRODUCT(PRODUCT(1+P28:P$30)),4)</f>
        <v>1.0338000000000001</v>
      </c>
      <c r="AB28" s="1459">
        <f>ROUND(SUMPRODUCT(PRODUCT(1+Q28:Q$30)),4)</f>
        <v>1.0316000000000001</v>
      </c>
      <c r="AD28" s="1460">
        <f>ROUND(AVERAGE(I28:I$31)/100,4)</f>
        <v>1.6E-2</v>
      </c>
      <c r="AE28" s="1460">
        <f>ROUND(AVERAGE(J28:J$31)/100,4)</f>
        <v>1.5599999999999999E-2</v>
      </c>
      <c r="AF28" s="1460">
        <f t="shared" si="1"/>
        <v>1.5599999999999999E-2</v>
      </c>
      <c r="AG28" s="1460">
        <f>ROUND(AVERAGE(K28:K$31)/100,4)</f>
        <v>1.66E-2</v>
      </c>
      <c r="AH28" s="1460">
        <f>ROUND(AVERAGE(L28:L$31)/100,4)</f>
        <v>1.12E-2</v>
      </c>
    </row>
    <row r="29" spans="1:34">
      <c r="A29" s="1461" t="s">
        <v>146</v>
      </c>
      <c r="B29" s="1477">
        <f t="shared" ref="B29:C31" si="149">B28/(1+N28)</f>
        <v>317.33359944117353</v>
      </c>
      <c r="C29" s="1477">
        <f t="shared" si="149"/>
        <v>266.90568668459315</v>
      </c>
      <c r="D29" s="1477">
        <f t="shared" si="144"/>
        <v>266.90568668459315</v>
      </c>
      <c r="E29" s="1477">
        <f t="shared" ref="E29:F31" si="150">E28/(1+P28)</f>
        <v>436.47622852576905</v>
      </c>
      <c r="F29" s="1477">
        <f t="shared" si="150"/>
        <v>234.90930716622066</v>
      </c>
      <c r="G29" s="3558"/>
      <c r="H29" s="1492">
        <v>3</v>
      </c>
      <c r="I29" s="1492">
        <v>0.83</v>
      </c>
      <c r="J29" s="1492">
        <v>1.47</v>
      </c>
      <c r="K29" s="1492">
        <v>0.65</v>
      </c>
      <c r="L29" s="1493">
        <v>0.72</v>
      </c>
      <c r="N29" s="1472">
        <f t="shared" si="146"/>
        <v>8.3000000000000001E-3</v>
      </c>
      <c r="O29" s="1473">
        <f t="shared" si="141"/>
        <v>1.47E-2</v>
      </c>
      <c r="P29" s="1473">
        <f t="shared" si="141"/>
        <v>6.5000000000000006E-3</v>
      </c>
      <c r="Q29" s="1473">
        <f t="shared" si="141"/>
        <v>7.1999999999999998E-3</v>
      </c>
      <c r="R29" s="1474"/>
      <c r="S29" s="1472"/>
      <c r="T29" s="1473"/>
      <c r="U29" s="1473"/>
      <c r="V29" s="1473"/>
      <c r="X29" s="1459">
        <f>ROUND(SUMPRODUCT(PRODUCT(1+N29:N$30)),4)</f>
        <v>1.0325</v>
      </c>
      <c r="Y29" s="1459">
        <f>ROUND(SUMPRODUCT(PRODUCT(1+O29:O$30)),4)</f>
        <v>1.0353000000000001</v>
      </c>
      <c r="Z29" s="1459">
        <f t="shared" ref="Z29:Z30" si="151">Y29</f>
        <v>1.0353000000000001</v>
      </c>
      <c r="AA29" s="1459">
        <f>ROUND(SUMPRODUCT(PRODUCT(1+P29:P$30)),4)</f>
        <v>1.0326</v>
      </c>
      <c r="AB29" s="1459">
        <f>ROUND(SUMPRODUCT(PRODUCT(1+Q29:Q$30)),4)</f>
        <v>1.0225</v>
      </c>
      <c r="AD29" s="1460">
        <f>ROUND(AVERAGE(I29:I$31)/100,4)</f>
        <v>2.07E-2</v>
      </c>
      <c r="AE29" s="1460">
        <f>ROUND(AVERAGE(J29:J$31)/100,4)</f>
        <v>1.95E-2</v>
      </c>
      <c r="AF29" s="1460">
        <f t="shared" si="1"/>
        <v>1.95E-2</v>
      </c>
      <c r="AG29" s="1460">
        <f>ROUND(AVERAGE(K29:K$31)/100,4)</f>
        <v>2.1700000000000001E-2</v>
      </c>
      <c r="AH29" s="1460">
        <f>ROUND(AVERAGE(L29:L$31)/100,4)</f>
        <v>1.2E-2</v>
      </c>
    </row>
    <row r="30" spans="1:34" ht="13.5" thickBot="1">
      <c r="A30" s="1461" t="s">
        <v>145</v>
      </c>
      <c r="B30" s="1477">
        <f t="shared" si="149"/>
        <v>314.72141172386546</v>
      </c>
      <c r="C30" s="1477">
        <f t="shared" si="149"/>
        <v>263.03901319069001</v>
      </c>
      <c r="D30" s="1477">
        <f t="shared" si="144"/>
        <v>263.03901319069001</v>
      </c>
      <c r="E30" s="1477">
        <f t="shared" si="150"/>
        <v>433.65745506782821</v>
      </c>
      <c r="F30" s="1477">
        <f t="shared" si="150"/>
        <v>233.23005080045735</v>
      </c>
      <c r="G30" s="3558"/>
      <c r="H30" s="1482">
        <v>2</v>
      </c>
      <c r="I30" s="1482">
        <v>2.4</v>
      </c>
      <c r="J30" s="1482">
        <v>2.0299999999999998</v>
      </c>
      <c r="K30" s="1482">
        <v>2.59</v>
      </c>
      <c r="L30" s="1483">
        <v>1.52</v>
      </c>
      <c r="N30" s="1472">
        <f t="shared" si="146"/>
        <v>2.4E-2</v>
      </c>
      <c r="O30" s="1473">
        <f t="shared" si="141"/>
        <v>2.0299999999999999E-2</v>
      </c>
      <c r="P30" s="1473">
        <f t="shared" si="141"/>
        <v>2.5899999999999999E-2</v>
      </c>
      <c r="Q30" s="1473">
        <f t="shared" si="141"/>
        <v>1.52E-2</v>
      </c>
      <c r="R30" s="1474"/>
      <c r="S30" s="1472"/>
      <c r="T30" s="1473"/>
      <c r="U30" s="1473"/>
      <c r="V30" s="1473"/>
      <c r="X30" s="1459">
        <f>1+N30</f>
        <v>1.024</v>
      </c>
      <c r="Y30" s="1459">
        <f>1+O30</f>
        <v>1.0203</v>
      </c>
      <c r="Z30" s="1459">
        <f t="shared" si="151"/>
        <v>1.0203</v>
      </c>
      <c r="AA30" s="1459">
        <f>1+P30</f>
        <v>1.0259</v>
      </c>
      <c r="AB30" s="1459">
        <f>1+Q30</f>
        <v>1.0152000000000001</v>
      </c>
      <c r="AD30" s="1460">
        <f>ROUND(AVERAGE(I30:I$31)/100,4)</f>
        <v>2.69E-2</v>
      </c>
      <c r="AE30" s="1460">
        <f>ROUND(AVERAGE(J30:J$31)/100,4)</f>
        <v>2.1899999999999999E-2</v>
      </c>
      <c r="AF30" s="1460">
        <f t="shared" ref="AF30" si="152">AE30</f>
        <v>2.1899999999999999E-2</v>
      </c>
      <c r="AG30" s="1460">
        <f>ROUND(AVERAGE(K30:K$31)/100,4)</f>
        <v>2.9399999999999999E-2</v>
      </c>
      <c r="AH30" s="1460">
        <f>ROUND(AVERAGE(L30:L$31)/100,4)</f>
        <v>1.44E-2</v>
      </c>
    </row>
    <row r="31" spans="1:34" s="1498" customFormat="1" ht="13.5" thickBot="1">
      <c r="A31" s="1494" t="s">
        <v>144</v>
      </c>
      <c r="B31" s="1495">
        <f t="shared" si="149"/>
        <v>307.34512863658733</v>
      </c>
      <c r="C31" s="1495">
        <f t="shared" si="149"/>
        <v>257.80556031626975</v>
      </c>
      <c r="D31" s="1495">
        <f t="shared" si="144"/>
        <v>257.80556031626975</v>
      </c>
      <c r="E31" s="1495">
        <f t="shared" si="150"/>
        <v>422.70928459677179</v>
      </c>
      <c r="F31" s="1495">
        <f t="shared" si="150"/>
        <v>229.73803270336617</v>
      </c>
      <c r="G31" s="3559"/>
      <c r="H31" s="1496">
        <v>1</v>
      </c>
      <c r="I31" s="1496">
        <v>2.97</v>
      </c>
      <c r="J31" s="1496">
        <v>2.34</v>
      </c>
      <c r="K31" s="1496">
        <v>3.28</v>
      </c>
      <c r="L31" s="1497">
        <v>1.36</v>
      </c>
      <c r="N31" s="1499">
        <f t="shared" si="146"/>
        <v>2.9700000000000001E-2</v>
      </c>
      <c r="O31" s="1500">
        <f t="shared" si="141"/>
        <v>2.3399999999999997E-2</v>
      </c>
      <c r="P31" s="1500">
        <f t="shared" si="141"/>
        <v>3.2799999999999996E-2</v>
      </c>
      <c r="Q31" s="1500">
        <f t="shared" si="141"/>
        <v>1.3600000000000001E-2</v>
      </c>
      <c r="R31" s="1501"/>
      <c r="S31" s="1502">
        <f>B31/B32-1</f>
        <v>2.7910129219355539E-2</v>
      </c>
      <c r="T31" s="1503">
        <f>C31/C32-1</f>
        <v>2.3037937762975247E-2</v>
      </c>
      <c r="U31" s="1503">
        <f>E31/E32-1</f>
        <v>3.3519033243940788E-2</v>
      </c>
      <c r="V31" s="1503">
        <f>F31/F32-1</f>
        <v>1.2061818076502862E-2</v>
      </c>
      <c r="W31" s="1504" t="s">
        <v>1157</v>
      </c>
      <c r="X31" s="1505">
        <v>1</v>
      </c>
      <c r="Y31" s="1505">
        <v>1</v>
      </c>
      <c r="Z31" s="1505">
        <v>1</v>
      </c>
      <c r="AA31" s="1505">
        <v>1</v>
      </c>
      <c r="AB31" s="1505">
        <v>1</v>
      </c>
      <c r="AD31" s="1727">
        <f>I31/100</f>
        <v>2.9700000000000001E-2</v>
      </c>
      <c r="AE31" s="1727">
        <f>J31/100</f>
        <v>2.3399999999999997E-2</v>
      </c>
      <c r="AF31" s="1727">
        <f>AE31</f>
        <v>2.3399999999999997E-2</v>
      </c>
      <c r="AG31" s="1727">
        <f>K31/100</f>
        <v>3.2799999999999996E-2</v>
      </c>
      <c r="AH31" s="1727">
        <f>L31/100</f>
        <v>1.3600000000000001E-2</v>
      </c>
    </row>
    <row r="32" spans="1:34" ht="13.5" thickBot="1">
      <c r="A32" s="1461" t="s">
        <v>1158</v>
      </c>
      <c r="B32" s="1469">
        <v>299</v>
      </c>
      <c r="C32" s="1469">
        <v>252</v>
      </c>
      <c r="D32" s="1469">
        <f t="shared" si="144"/>
        <v>252</v>
      </c>
      <c r="E32" s="1469">
        <v>409</v>
      </c>
      <c r="F32" s="1470">
        <v>227</v>
      </c>
      <c r="G32" s="3564">
        <v>2013</v>
      </c>
      <c r="H32" s="1506">
        <v>4</v>
      </c>
      <c r="I32" s="1506">
        <v>1.83</v>
      </c>
      <c r="J32" s="1506">
        <v>1.68</v>
      </c>
      <c r="K32" s="1506">
        <v>1.97</v>
      </c>
      <c r="L32" s="1507">
        <v>0.87</v>
      </c>
      <c r="N32" s="1484">
        <f t="shared" si="146"/>
        <v>1.83E-2</v>
      </c>
      <c r="O32" s="1485">
        <f t="shared" si="141"/>
        <v>1.6799999999999999E-2</v>
      </c>
      <c r="P32" s="1485">
        <f t="shared" si="141"/>
        <v>1.9699999999999999E-2</v>
      </c>
      <c r="Q32" s="1485">
        <f t="shared" si="141"/>
        <v>8.6999999999999994E-3</v>
      </c>
      <c r="R32" s="1474"/>
      <c r="S32" s="1475"/>
      <c r="T32" s="1476"/>
      <c r="U32" s="1476"/>
      <c r="V32" s="1476"/>
      <c r="X32" s="1476"/>
      <c r="Y32" s="1476"/>
      <c r="Z32" s="1476"/>
    </row>
    <row r="33" spans="1:26">
      <c r="A33" s="1461" t="s">
        <v>1159</v>
      </c>
      <c r="B33" s="1477">
        <f t="shared" ref="B33:C35" si="153">B32/(1+N32)</f>
        <v>293.62663262299913</v>
      </c>
      <c r="C33" s="1477">
        <f t="shared" si="153"/>
        <v>247.83634933123525</v>
      </c>
      <c r="D33" s="1477">
        <f t="shared" si="144"/>
        <v>247.83634933123525</v>
      </c>
      <c r="E33" s="1477">
        <f t="shared" ref="E33:F35" si="154">E32/(1+P32)</f>
        <v>401.09836226341076</v>
      </c>
      <c r="F33" s="1477">
        <f t="shared" si="154"/>
        <v>225.04213343908003</v>
      </c>
      <c r="G33" s="3565"/>
      <c r="H33" s="1487">
        <v>3</v>
      </c>
      <c r="I33" s="1487">
        <v>1.86</v>
      </c>
      <c r="J33" s="1487">
        <v>1.72</v>
      </c>
      <c r="K33" s="1487">
        <v>1.98</v>
      </c>
      <c r="L33" s="1488">
        <v>0.88</v>
      </c>
      <c r="N33" s="1472">
        <f t="shared" si="146"/>
        <v>1.8600000000000002E-2</v>
      </c>
      <c r="O33" s="1489">
        <f t="shared" si="141"/>
        <v>1.72E-2</v>
      </c>
      <c r="P33" s="1489">
        <f t="shared" si="141"/>
        <v>1.9799999999999998E-2</v>
      </c>
      <c r="Q33" s="1489">
        <f t="shared" si="141"/>
        <v>8.8000000000000005E-3</v>
      </c>
      <c r="R33" s="1474"/>
      <c r="S33" s="1472"/>
      <c r="T33" s="1473"/>
      <c r="U33" s="1473"/>
      <c r="V33" s="1473"/>
    </row>
    <row r="34" spans="1:26">
      <c r="A34" s="1461" t="s">
        <v>1160</v>
      </c>
      <c r="B34" s="1477">
        <f t="shared" si="153"/>
        <v>288.2649053828776</v>
      </c>
      <c r="C34" s="1477">
        <f t="shared" si="153"/>
        <v>243.64564425013293</v>
      </c>
      <c r="D34" s="1477">
        <f t="shared" si="144"/>
        <v>243.64564425013293</v>
      </c>
      <c r="E34" s="1477">
        <f t="shared" si="154"/>
        <v>393.31080825986544</v>
      </c>
      <c r="F34" s="1477">
        <f t="shared" si="154"/>
        <v>223.07903790551154</v>
      </c>
      <c r="G34" s="3565"/>
      <c r="H34" s="1465">
        <v>2</v>
      </c>
      <c r="I34" s="1465">
        <v>2.04</v>
      </c>
      <c r="J34" s="1465">
        <v>2.33</v>
      </c>
      <c r="K34" s="1465">
        <v>2.0699999999999998</v>
      </c>
      <c r="L34" s="1479">
        <v>0.69</v>
      </c>
      <c r="N34" s="1472">
        <f t="shared" si="146"/>
        <v>2.0400000000000001E-2</v>
      </c>
      <c r="O34" s="1489">
        <f t="shared" si="141"/>
        <v>2.3300000000000001E-2</v>
      </c>
      <c r="P34" s="1489">
        <f t="shared" si="141"/>
        <v>2.07E-2</v>
      </c>
      <c r="Q34" s="1489">
        <f t="shared" si="141"/>
        <v>6.8999999999999999E-3</v>
      </c>
      <c r="R34" s="1474"/>
      <c r="S34" s="1472"/>
      <c r="T34" s="1473"/>
      <c r="U34" s="1473"/>
      <c r="V34" s="1473"/>
      <c r="X34" s="1508"/>
      <c r="Y34" s="1509"/>
    </row>
    <row r="35" spans="1:26">
      <c r="A35" s="1461" t="s">
        <v>1161</v>
      </c>
      <c r="B35" s="1477">
        <f t="shared" si="153"/>
        <v>282.50186729015837</v>
      </c>
      <c r="C35" s="1477">
        <f t="shared" si="153"/>
        <v>238.09796174155468</v>
      </c>
      <c r="D35" s="1477">
        <f t="shared" si="144"/>
        <v>238.09796174155468</v>
      </c>
      <c r="E35" s="1477">
        <f t="shared" si="154"/>
        <v>385.33438646014054</v>
      </c>
      <c r="F35" s="1477">
        <f t="shared" si="154"/>
        <v>221.55034055567739</v>
      </c>
      <c r="G35" s="3566"/>
      <c r="H35" s="1464">
        <v>1</v>
      </c>
      <c r="I35" s="1464">
        <v>1.67</v>
      </c>
      <c r="J35" s="1464">
        <v>1.31</v>
      </c>
      <c r="K35" s="1464">
        <v>1.85</v>
      </c>
      <c r="L35" s="1478">
        <v>0.96</v>
      </c>
      <c r="N35" s="1480">
        <f t="shared" si="146"/>
        <v>1.67E-2</v>
      </c>
      <c r="O35" s="1481">
        <f t="shared" si="146"/>
        <v>1.3100000000000001E-2</v>
      </c>
      <c r="P35" s="1481">
        <f t="shared" si="146"/>
        <v>1.8500000000000003E-2</v>
      </c>
      <c r="Q35" s="1481">
        <f t="shared" si="146"/>
        <v>9.5999999999999992E-3</v>
      </c>
      <c r="R35" s="1474"/>
      <c r="S35" s="1480">
        <f>B35/B36-1</f>
        <v>1.6193767230785472E-2</v>
      </c>
      <c r="T35" s="1481">
        <f>C35/C36-1</f>
        <v>1.7512657015190891E-2</v>
      </c>
      <c r="U35" s="1481">
        <f>E35/E36-1</f>
        <v>1.6713420739157048E-2</v>
      </c>
      <c r="V35" s="1481">
        <f>F35/F36-1</f>
        <v>7.0470025258062563E-3</v>
      </c>
      <c r="X35" s="1510"/>
      <c r="Y35" s="1460"/>
      <c r="Z35" s="1460"/>
    </row>
    <row r="36" spans="1:26" ht="13.5" thickBot="1">
      <c r="A36" s="1461" t="s">
        <v>1162</v>
      </c>
      <c r="B36" s="1511">
        <v>278</v>
      </c>
      <c r="C36" s="1511">
        <v>234</v>
      </c>
      <c r="D36" s="1511">
        <f t="shared" si="144"/>
        <v>234</v>
      </c>
      <c r="E36" s="1511">
        <v>379</v>
      </c>
      <c r="F36" s="1512">
        <v>220</v>
      </c>
      <c r="G36" s="3557">
        <v>2012</v>
      </c>
      <c r="H36" s="1482">
        <v>4</v>
      </c>
      <c r="I36" s="1482">
        <v>0.91</v>
      </c>
      <c r="J36" s="1482">
        <v>0.68</v>
      </c>
      <c r="K36" s="1482">
        <v>0.98</v>
      </c>
      <c r="L36" s="1483">
        <v>0.9</v>
      </c>
      <c r="N36" s="1472">
        <f t="shared" si="146"/>
        <v>9.1000000000000004E-3</v>
      </c>
      <c r="O36" s="1473">
        <f t="shared" si="146"/>
        <v>6.8000000000000005E-3</v>
      </c>
      <c r="P36" s="1473">
        <f t="shared" si="146"/>
        <v>9.7999999999999997E-3</v>
      </c>
      <c r="Q36" s="1473">
        <f t="shared" si="146"/>
        <v>9.0000000000000011E-3</v>
      </c>
      <c r="R36" s="1474"/>
      <c r="S36" s="1475"/>
      <c r="T36" s="1476"/>
      <c r="U36" s="1476"/>
      <c r="V36" s="1476"/>
      <c r="X36" s="1476"/>
      <c r="Y36" s="1476"/>
      <c r="Z36" s="1476"/>
    </row>
    <row r="37" spans="1:26">
      <c r="A37" s="1461" t="s">
        <v>1163</v>
      </c>
      <c r="B37" s="1477">
        <f>B36/(1+N36)</f>
        <v>275.49301357645425</v>
      </c>
      <c r="C37" s="1477">
        <f>C36/(1+O36)</f>
        <v>232.41954707985698</v>
      </c>
      <c r="D37" s="1477">
        <f t="shared" si="144"/>
        <v>232.41954707985698</v>
      </c>
      <c r="E37" s="1477">
        <f t="shared" ref="E37:F39" si="155">E36/(1+P36)</f>
        <v>375.32184591008121</v>
      </c>
      <c r="F37" s="1477">
        <f t="shared" si="155"/>
        <v>218.03766105054513</v>
      </c>
      <c r="G37" s="3558"/>
      <c r="H37" s="1487">
        <v>3</v>
      </c>
      <c r="I37" s="1487">
        <v>0.09</v>
      </c>
      <c r="J37" s="1487">
        <v>0.28999999999999998</v>
      </c>
      <c r="K37" s="1487">
        <v>-0.01</v>
      </c>
      <c r="L37" s="1488">
        <v>0.57999999999999996</v>
      </c>
      <c r="N37" s="1472">
        <f t="shared" si="146"/>
        <v>8.9999999999999998E-4</v>
      </c>
      <c r="O37" s="1473">
        <f t="shared" si="146"/>
        <v>2.8999999999999998E-3</v>
      </c>
      <c r="P37" s="1473">
        <f t="shared" si="146"/>
        <v>-1E-4</v>
      </c>
      <c r="Q37" s="1473">
        <f t="shared" si="146"/>
        <v>5.7999999999999996E-3</v>
      </c>
      <c r="R37" s="1474"/>
      <c r="S37" s="1472"/>
      <c r="T37" s="1473"/>
      <c r="U37" s="1473"/>
      <c r="V37" s="1473"/>
    </row>
    <row r="38" spans="1:26">
      <c r="A38" s="1461" t="s">
        <v>1164</v>
      </c>
      <c r="B38" s="1477">
        <f>B37/(1+N37)</f>
        <v>275.24529281292263</v>
      </c>
      <c r="C38" s="1477">
        <f>C37/(1+O37)</f>
        <v>231.74747938962707</v>
      </c>
      <c r="D38" s="1477">
        <f t="shared" si="144"/>
        <v>231.74747938962707</v>
      </c>
      <c r="E38" s="1477">
        <f t="shared" si="155"/>
        <v>375.35938184826603</v>
      </c>
      <c r="F38" s="1477">
        <f t="shared" si="155"/>
        <v>216.78033510692495</v>
      </c>
      <c r="G38" s="3558"/>
      <c r="H38" s="1465">
        <v>2</v>
      </c>
      <c r="I38" s="1465">
        <v>0.02</v>
      </c>
      <c r="J38" s="1465">
        <v>0.12</v>
      </c>
      <c r="K38" s="1465">
        <v>-0.08</v>
      </c>
      <c r="L38" s="1479">
        <v>1.24</v>
      </c>
      <c r="N38" s="1472">
        <f t="shared" si="146"/>
        <v>2.0000000000000001E-4</v>
      </c>
      <c r="O38" s="1473">
        <f t="shared" si="146"/>
        <v>1.1999999999999999E-3</v>
      </c>
      <c r="P38" s="1473">
        <f t="shared" si="146"/>
        <v>-8.0000000000000004E-4</v>
      </c>
      <c r="Q38" s="1473">
        <f t="shared" si="146"/>
        <v>1.24E-2</v>
      </c>
      <c r="R38" s="1474"/>
      <c r="S38" s="1472"/>
      <c r="T38" s="1473"/>
      <c r="U38" s="1473"/>
      <c r="V38" s="1473"/>
    </row>
    <row r="39" spans="1:26" ht="13.5" thickBot="1">
      <c r="A39" s="1461" t="s">
        <v>1165</v>
      </c>
      <c r="B39" s="1477">
        <f>B38/(1+N38)</f>
        <v>275.19025476197027</v>
      </c>
      <c r="C39" s="1513">
        <v>232</v>
      </c>
      <c r="D39" s="1513">
        <f t="shared" si="144"/>
        <v>232</v>
      </c>
      <c r="E39" s="1477">
        <f t="shared" si="155"/>
        <v>375.65990977608692</v>
      </c>
      <c r="F39" s="1477">
        <f t="shared" si="155"/>
        <v>214.12518283971252</v>
      </c>
      <c r="G39" s="3559"/>
      <c r="H39" s="1464">
        <v>1</v>
      </c>
      <c r="I39" s="1464">
        <v>0.02</v>
      </c>
      <c r="J39" s="1464">
        <v>0.13</v>
      </c>
      <c r="K39" s="1464">
        <v>-0.04</v>
      </c>
      <c r="L39" s="1478">
        <v>0.46</v>
      </c>
      <c r="N39" s="1472">
        <f t="shared" si="146"/>
        <v>2.0000000000000001E-4</v>
      </c>
      <c r="O39" s="1473">
        <f t="shared" si="146"/>
        <v>1.2999999999999999E-3</v>
      </c>
      <c r="P39" s="1473">
        <f t="shared" si="146"/>
        <v>-4.0000000000000002E-4</v>
      </c>
      <c r="Q39" s="1473">
        <f t="shared" si="146"/>
        <v>4.5999999999999999E-3</v>
      </c>
      <c r="R39" s="1474"/>
      <c r="S39" s="1480">
        <f>B39/B40-1</f>
        <v>6.9183549807361189E-4</v>
      </c>
      <c r="T39" s="1481">
        <f>C39/C40-1</f>
        <v>0</v>
      </c>
      <c r="U39" s="1481">
        <f>E39/E40-1</f>
        <v>-9.0449527636460303E-4</v>
      </c>
      <c r="V39" s="1481">
        <f>F39/F40-1</f>
        <v>5.2825485432512753E-3</v>
      </c>
      <c r="X39" s="1460"/>
      <c r="Y39" s="1460"/>
      <c r="Z39" s="1460"/>
    </row>
    <row r="40" spans="1:26" ht="13.5" thickBot="1">
      <c r="A40" s="1461" t="s">
        <v>1166</v>
      </c>
      <c r="B40" s="1469">
        <v>275</v>
      </c>
      <c r="C40" s="1469">
        <v>232</v>
      </c>
      <c r="D40" s="1469">
        <f t="shared" si="144"/>
        <v>232</v>
      </c>
      <c r="E40" s="1469">
        <v>376</v>
      </c>
      <c r="F40" s="1470">
        <v>213</v>
      </c>
      <c r="G40" s="3557">
        <v>2011</v>
      </c>
      <c r="H40" s="1482">
        <v>4</v>
      </c>
      <c r="I40" s="1482">
        <v>-0.2</v>
      </c>
      <c r="J40" s="1482">
        <v>0.04</v>
      </c>
      <c r="K40" s="1482">
        <v>-0.34</v>
      </c>
      <c r="L40" s="1483">
        <v>0.46</v>
      </c>
      <c r="N40" s="1484">
        <f t="shared" si="146"/>
        <v>-2E-3</v>
      </c>
      <c r="O40" s="1485">
        <f t="shared" si="146"/>
        <v>4.0000000000000002E-4</v>
      </c>
      <c r="P40" s="1485">
        <f t="shared" si="146"/>
        <v>-3.4000000000000002E-3</v>
      </c>
      <c r="Q40" s="1485">
        <f t="shared" si="146"/>
        <v>4.5999999999999999E-3</v>
      </c>
      <c r="R40" s="1474"/>
      <c r="S40" s="1475"/>
      <c r="T40" s="1476"/>
      <c r="U40" s="1476"/>
      <c r="V40" s="1476"/>
      <c r="X40" s="1476"/>
      <c r="Y40" s="1476"/>
      <c r="Z40" s="1476"/>
    </row>
    <row r="41" spans="1:26">
      <c r="A41" s="1461" t="s">
        <v>1167</v>
      </c>
      <c r="B41" s="1477">
        <f t="shared" ref="B41:C43" si="156">B40/(1+N40)</f>
        <v>275.55110220440883</v>
      </c>
      <c r="C41" s="1477">
        <f t="shared" si="156"/>
        <v>231.90723710515795</v>
      </c>
      <c r="D41" s="1477">
        <f t="shared" si="144"/>
        <v>231.90723710515795</v>
      </c>
      <c r="E41" s="1477">
        <f t="shared" ref="E41:F43" si="157">E40/(1+P40)</f>
        <v>377.28276138872161</v>
      </c>
      <c r="F41" s="1477">
        <f t="shared" si="157"/>
        <v>212.02468644236512</v>
      </c>
      <c r="G41" s="3558">
        <v>2011</v>
      </c>
      <c r="H41" s="1487">
        <v>3</v>
      </c>
      <c r="I41" s="1487">
        <v>0.13</v>
      </c>
      <c r="J41" s="1487">
        <v>0.75</v>
      </c>
      <c r="K41" s="1487">
        <v>-0.08</v>
      </c>
      <c r="L41" s="1488">
        <v>0.53</v>
      </c>
      <c r="N41" s="1472">
        <f t="shared" si="146"/>
        <v>1.2999999999999999E-3</v>
      </c>
      <c r="O41" s="1489">
        <f t="shared" si="146"/>
        <v>7.4999999999999997E-3</v>
      </c>
      <c r="P41" s="1489">
        <f t="shared" si="146"/>
        <v>-8.0000000000000004E-4</v>
      </c>
      <c r="Q41" s="1489">
        <f t="shared" si="146"/>
        <v>5.3E-3</v>
      </c>
      <c r="R41" s="1474"/>
      <c r="S41" s="1472"/>
      <c r="T41" s="1473"/>
      <c r="U41" s="1473"/>
      <c r="V41" s="1473"/>
    </row>
    <row r="42" spans="1:26">
      <c r="A42" s="1461" t="s">
        <v>1168</v>
      </c>
      <c r="B42" s="1477">
        <f t="shared" si="156"/>
        <v>275.19335084830601</v>
      </c>
      <c r="C42" s="1477">
        <f t="shared" si="156"/>
        <v>230.18088050139744</v>
      </c>
      <c r="D42" s="1477">
        <f t="shared" si="144"/>
        <v>230.18088050139744</v>
      </c>
      <c r="E42" s="1477">
        <f t="shared" si="157"/>
        <v>377.58482925212331</v>
      </c>
      <c r="F42" s="1477">
        <f t="shared" si="157"/>
        <v>210.90687997847917</v>
      </c>
      <c r="G42" s="3558">
        <v>2011</v>
      </c>
      <c r="H42" s="1465">
        <v>2</v>
      </c>
      <c r="I42" s="1465">
        <v>-0.4</v>
      </c>
      <c r="J42" s="1465">
        <v>0.17</v>
      </c>
      <c r="K42" s="1465">
        <v>-0.57999999999999996</v>
      </c>
      <c r="L42" s="1479">
        <v>-0.2</v>
      </c>
      <c r="N42" s="1472">
        <f t="shared" si="146"/>
        <v>-4.0000000000000001E-3</v>
      </c>
      <c r="O42" s="1489">
        <f t="shared" si="146"/>
        <v>1.7000000000000001E-3</v>
      </c>
      <c r="P42" s="1489">
        <f t="shared" si="146"/>
        <v>-5.7999999999999996E-3</v>
      </c>
      <c r="Q42" s="1489">
        <f t="shared" si="146"/>
        <v>-2E-3</v>
      </c>
      <c r="R42" s="1474"/>
      <c r="S42" s="1472"/>
      <c r="T42" s="1473"/>
      <c r="U42" s="1473"/>
      <c r="V42" s="1473"/>
    </row>
    <row r="43" spans="1:26" ht="13.5" thickBot="1">
      <c r="A43" s="1461" t="s">
        <v>1169</v>
      </c>
      <c r="B43" s="1477">
        <f t="shared" si="156"/>
        <v>276.29854502841971</v>
      </c>
      <c r="C43" s="1477">
        <f t="shared" si="156"/>
        <v>229.79023709833027</v>
      </c>
      <c r="D43" s="1477">
        <f t="shared" si="144"/>
        <v>229.79023709833027</v>
      </c>
      <c r="E43" s="1477">
        <f t="shared" si="157"/>
        <v>379.78759731655936</v>
      </c>
      <c r="F43" s="1477">
        <f t="shared" si="157"/>
        <v>211.32953905659235</v>
      </c>
      <c r="G43" s="3559">
        <v>2011</v>
      </c>
      <c r="H43" s="1464">
        <v>1</v>
      </c>
      <c r="I43" s="1464">
        <v>2.65</v>
      </c>
      <c r="J43" s="1464">
        <v>3.76</v>
      </c>
      <c r="K43" s="1464">
        <v>1.89</v>
      </c>
      <c r="L43" s="1478">
        <v>7.95</v>
      </c>
      <c r="N43" s="1480">
        <f t="shared" si="146"/>
        <v>2.6499999999999999E-2</v>
      </c>
      <c r="O43" s="1481">
        <f t="shared" si="146"/>
        <v>3.7599999999999995E-2</v>
      </c>
      <c r="P43" s="1481">
        <f t="shared" si="146"/>
        <v>1.89E-2</v>
      </c>
      <c r="Q43" s="1481">
        <f t="shared" si="146"/>
        <v>7.9500000000000001E-2</v>
      </c>
      <c r="R43" s="1474"/>
      <c r="S43" s="1480">
        <f>B43/B44-1</f>
        <v>2.713213765211786E-2</v>
      </c>
      <c r="T43" s="1481">
        <f>C43/C44-1</f>
        <v>3.9774828499231862E-2</v>
      </c>
      <c r="U43" s="1481">
        <f>E43/E44-1</f>
        <v>1.8197311840641772E-2</v>
      </c>
      <c r="V43" s="1481">
        <f>F43/F44-1</f>
        <v>7.8211933962205826E-2</v>
      </c>
      <c r="X43" s="1460"/>
      <c r="Y43" s="1460"/>
      <c r="Z43" s="1460"/>
    </row>
    <row r="44" spans="1:26" ht="13.5" thickBot="1">
      <c r="A44" s="1461" t="s">
        <v>1170</v>
      </c>
      <c r="B44" s="1469">
        <v>269</v>
      </c>
      <c r="C44" s="1469">
        <v>221</v>
      </c>
      <c r="D44" s="1469">
        <f t="shared" si="144"/>
        <v>221</v>
      </c>
      <c r="E44" s="1469">
        <v>373</v>
      </c>
      <c r="F44" s="1470">
        <v>196</v>
      </c>
      <c r="G44" s="3557">
        <v>2010</v>
      </c>
      <c r="H44" s="1482">
        <v>4</v>
      </c>
      <c r="I44" s="1482">
        <v>5.72</v>
      </c>
      <c r="J44" s="1482">
        <v>6.57</v>
      </c>
      <c r="K44" s="1482">
        <v>5.72</v>
      </c>
      <c r="L44" s="1483">
        <v>2.72</v>
      </c>
      <c r="N44" s="1472">
        <f t="shared" si="146"/>
        <v>5.7200000000000001E-2</v>
      </c>
      <c r="O44" s="1473">
        <f t="shared" si="146"/>
        <v>6.5700000000000008E-2</v>
      </c>
      <c r="P44" s="1473">
        <f t="shared" si="146"/>
        <v>5.7200000000000001E-2</v>
      </c>
      <c r="Q44" s="1473">
        <f t="shared" si="146"/>
        <v>2.7200000000000002E-2</v>
      </c>
      <c r="R44" s="1474"/>
      <c r="S44" s="1475"/>
      <c r="T44" s="1476"/>
      <c r="U44" s="1476"/>
      <c r="V44" s="1476"/>
      <c r="X44" s="1476"/>
      <c r="Y44" s="1476"/>
      <c r="Z44" s="1476"/>
    </row>
    <row r="45" spans="1:26">
      <c r="A45" s="1461" t="s">
        <v>1171</v>
      </c>
      <c r="B45" s="1477">
        <f t="shared" ref="B45:C47" si="158">B44/(1+N44)</f>
        <v>254.44570563753314</v>
      </c>
      <c r="C45" s="1477">
        <f t="shared" si="158"/>
        <v>207.37543398705074</v>
      </c>
      <c r="D45" s="1477">
        <f t="shared" si="144"/>
        <v>207.37543398705074</v>
      </c>
      <c r="E45" s="1477">
        <f t="shared" ref="E45:F47" si="159">E44/(1+P44)</f>
        <v>352.81876655315932</v>
      </c>
      <c r="F45" s="1477">
        <f t="shared" si="159"/>
        <v>190.809968847352</v>
      </c>
      <c r="G45" s="3558">
        <v>2010</v>
      </c>
      <c r="H45" s="1487">
        <v>3</v>
      </c>
      <c r="I45" s="1487">
        <v>4.7300000000000004</v>
      </c>
      <c r="J45" s="1487">
        <v>3.9</v>
      </c>
      <c r="K45" s="1487">
        <v>5.03</v>
      </c>
      <c r="L45" s="1488">
        <v>4.21</v>
      </c>
      <c r="N45" s="1472">
        <f t="shared" si="146"/>
        <v>4.7300000000000002E-2</v>
      </c>
      <c r="O45" s="1473">
        <f t="shared" si="146"/>
        <v>3.9E-2</v>
      </c>
      <c r="P45" s="1473">
        <f t="shared" si="146"/>
        <v>5.0300000000000004E-2</v>
      </c>
      <c r="Q45" s="1473">
        <f t="shared" si="146"/>
        <v>4.2099999999999999E-2</v>
      </c>
      <c r="R45" s="1474"/>
      <c r="S45" s="1472"/>
      <c r="T45" s="1473"/>
      <c r="U45" s="1473"/>
      <c r="V45" s="1473"/>
    </row>
    <row r="46" spans="1:26">
      <c r="A46" s="1461" t="s">
        <v>1172</v>
      </c>
      <c r="B46" s="1477">
        <f t="shared" si="158"/>
        <v>242.95398227588385</v>
      </c>
      <c r="C46" s="1477">
        <f t="shared" si="158"/>
        <v>199.59137053614126</v>
      </c>
      <c r="D46" s="1477">
        <f t="shared" si="144"/>
        <v>199.59137053614126</v>
      </c>
      <c r="E46" s="1477">
        <f t="shared" si="159"/>
        <v>335.92189522342125</v>
      </c>
      <c r="F46" s="1477">
        <f t="shared" si="159"/>
        <v>183.10139991109489</v>
      </c>
      <c r="G46" s="3558">
        <v>2010</v>
      </c>
      <c r="H46" s="1465">
        <v>2</v>
      </c>
      <c r="I46" s="1465">
        <v>4.6900000000000004</v>
      </c>
      <c r="J46" s="1465">
        <v>3.55</v>
      </c>
      <c r="K46" s="1465">
        <v>5.07</v>
      </c>
      <c r="L46" s="1479">
        <v>4.2300000000000004</v>
      </c>
      <c r="N46" s="1472">
        <f t="shared" si="146"/>
        <v>4.6900000000000004E-2</v>
      </c>
      <c r="O46" s="1473">
        <f t="shared" si="146"/>
        <v>3.5499999999999997E-2</v>
      </c>
      <c r="P46" s="1473">
        <f t="shared" si="146"/>
        <v>5.0700000000000002E-2</v>
      </c>
      <c r="Q46" s="1473">
        <f t="shared" si="146"/>
        <v>4.2300000000000004E-2</v>
      </c>
      <c r="R46" s="1474"/>
      <c r="S46" s="1472"/>
      <c r="T46" s="1473"/>
      <c r="U46" s="1473"/>
      <c r="V46" s="1473"/>
    </row>
    <row r="47" spans="1:26" ht="13.5" thickBot="1">
      <c r="A47" s="1461" t="s">
        <v>1173</v>
      </c>
      <c r="B47" s="1477">
        <f t="shared" si="158"/>
        <v>232.06990378821649</v>
      </c>
      <c r="C47" s="1477">
        <f t="shared" si="158"/>
        <v>192.74878854286936</v>
      </c>
      <c r="D47" s="1477">
        <f t="shared" si="144"/>
        <v>192.74878854286936</v>
      </c>
      <c r="E47" s="1477">
        <f t="shared" si="159"/>
        <v>319.71247284992984</v>
      </c>
      <c r="F47" s="1477">
        <f t="shared" si="159"/>
        <v>175.67053622862409</v>
      </c>
      <c r="G47" s="3559">
        <v>2010</v>
      </c>
      <c r="H47" s="1464">
        <v>1</v>
      </c>
      <c r="I47" s="1464">
        <v>5.4</v>
      </c>
      <c r="J47" s="1464">
        <v>3.2</v>
      </c>
      <c r="K47" s="1464">
        <v>6.16</v>
      </c>
      <c r="L47" s="1478">
        <v>4.51</v>
      </c>
      <c r="N47" s="1472">
        <f t="shared" si="146"/>
        <v>5.4000000000000006E-2</v>
      </c>
      <c r="O47" s="1473">
        <f t="shared" si="146"/>
        <v>3.2000000000000001E-2</v>
      </c>
      <c r="P47" s="1473">
        <f t="shared" si="146"/>
        <v>6.1600000000000002E-2</v>
      </c>
      <c r="Q47" s="1473">
        <f t="shared" si="146"/>
        <v>4.5100000000000001E-2</v>
      </c>
      <c r="R47" s="1474"/>
      <c r="S47" s="1480">
        <f>B47/B48-1</f>
        <v>5.4863199037347599E-2</v>
      </c>
      <c r="T47" s="1481">
        <f>C47/C48-1</f>
        <v>3.0742184721226584E-2</v>
      </c>
      <c r="U47" s="1481">
        <f>E47/E48-1</f>
        <v>6.2167683886810154E-2</v>
      </c>
      <c r="V47" s="1481">
        <f>F47/F48-1</f>
        <v>4.5657953741810031E-2</v>
      </c>
      <c r="X47" s="1460"/>
      <c r="Y47" s="1460"/>
      <c r="Z47" s="1460"/>
    </row>
    <row r="48" spans="1:26" ht="13.5" thickBot="1">
      <c r="A48" s="1461" t="s">
        <v>1174</v>
      </c>
      <c r="B48" s="1469">
        <v>220</v>
      </c>
      <c r="C48" s="1469">
        <v>187</v>
      </c>
      <c r="D48" s="1469">
        <f t="shared" si="144"/>
        <v>187</v>
      </c>
      <c r="E48" s="1469">
        <v>301</v>
      </c>
      <c r="F48" s="1470">
        <v>168</v>
      </c>
      <c r="G48" s="3557">
        <v>2009</v>
      </c>
      <c r="H48" s="1482">
        <v>4</v>
      </c>
      <c r="I48" s="1482">
        <v>2.2999999999999998</v>
      </c>
      <c r="J48" s="1482">
        <v>1.04</v>
      </c>
      <c r="K48" s="1482">
        <v>2.84</v>
      </c>
      <c r="L48" s="1483">
        <v>0.67</v>
      </c>
      <c r="N48" s="1484">
        <f t="shared" si="146"/>
        <v>2.3E-2</v>
      </c>
      <c r="O48" s="1485">
        <f t="shared" si="146"/>
        <v>1.04E-2</v>
      </c>
      <c r="P48" s="1485">
        <f t="shared" si="146"/>
        <v>2.8399999999999998E-2</v>
      </c>
      <c r="Q48" s="1485">
        <f t="shared" si="146"/>
        <v>6.7000000000000002E-3</v>
      </c>
      <c r="R48" s="1474"/>
      <c r="S48" s="1475"/>
      <c r="T48" s="1476"/>
      <c r="U48" s="1476"/>
      <c r="V48" s="1476"/>
      <c r="X48" s="1476"/>
      <c r="Y48" s="1476"/>
      <c r="Z48" s="1476"/>
    </row>
    <row r="49" spans="1:26">
      <c r="A49" s="1461" t="s">
        <v>1175</v>
      </c>
      <c r="B49" s="1477">
        <f t="shared" ref="B49:C51" si="160">B48/(1+N48)</f>
        <v>215.05376344086022</v>
      </c>
      <c r="C49" s="1477">
        <f t="shared" si="160"/>
        <v>185.0752177355503</v>
      </c>
      <c r="D49" s="1477">
        <f t="shared" si="144"/>
        <v>185.0752177355503</v>
      </c>
      <c r="E49" s="1477">
        <f t="shared" ref="E49:F51" si="161">E48/(1+P48)</f>
        <v>292.68767016725008</v>
      </c>
      <c r="F49" s="1477">
        <f t="shared" si="161"/>
        <v>166.88189132810174</v>
      </c>
      <c r="G49" s="3558">
        <v>2009</v>
      </c>
      <c r="H49" s="1487">
        <v>3</v>
      </c>
      <c r="I49" s="1487">
        <v>2.1</v>
      </c>
      <c r="J49" s="1487">
        <v>1.86</v>
      </c>
      <c r="K49" s="1487">
        <v>2.29</v>
      </c>
      <c r="L49" s="1488">
        <v>0.85</v>
      </c>
      <c r="N49" s="1472">
        <f t="shared" si="146"/>
        <v>2.1000000000000001E-2</v>
      </c>
      <c r="O49" s="1489">
        <f t="shared" si="146"/>
        <v>1.8600000000000002E-2</v>
      </c>
      <c r="P49" s="1489">
        <f t="shared" si="146"/>
        <v>2.29E-2</v>
      </c>
      <c r="Q49" s="1489">
        <f t="shared" si="146"/>
        <v>8.5000000000000006E-3</v>
      </c>
      <c r="R49" s="1474"/>
      <c r="S49" s="1472"/>
      <c r="T49" s="1473"/>
      <c r="U49" s="1473"/>
      <c r="V49" s="1473"/>
    </row>
    <row r="50" spans="1:26">
      <c r="A50" s="1461" t="s">
        <v>1176</v>
      </c>
      <c r="B50" s="1477">
        <f t="shared" si="160"/>
        <v>210.630522469011</v>
      </c>
      <c r="C50" s="1477">
        <f t="shared" si="160"/>
        <v>181.69567812247232</v>
      </c>
      <c r="D50" s="1477">
        <f t="shared" si="144"/>
        <v>181.69567812247232</v>
      </c>
      <c r="E50" s="1477">
        <f t="shared" si="161"/>
        <v>286.13517466736738</v>
      </c>
      <c r="F50" s="1477">
        <f t="shared" si="161"/>
        <v>165.47535084591149</v>
      </c>
      <c r="G50" s="3558">
        <v>2009</v>
      </c>
      <c r="H50" s="1465">
        <v>2</v>
      </c>
      <c r="I50" s="1465">
        <v>0.86</v>
      </c>
      <c r="J50" s="1465">
        <v>-1.1299999999999999</v>
      </c>
      <c r="K50" s="1465">
        <v>1.79</v>
      </c>
      <c r="L50" s="1479">
        <v>-2.0699999999999998</v>
      </c>
      <c r="N50" s="1472">
        <f t="shared" si="146"/>
        <v>8.6E-3</v>
      </c>
      <c r="O50" s="1489">
        <f t="shared" si="146"/>
        <v>-1.1299999999999999E-2</v>
      </c>
      <c r="P50" s="1489">
        <f t="shared" si="146"/>
        <v>1.7899999999999999E-2</v>
      </c>
      <c r="Q50" s="1489">
        <f t="shared" si="146"/>
        <v>-2.07E-2</v>
      </c>
      <c r="R50" s="1474"/>
      <c r="S50" s="1472"/>
      <c r="T50" s="1473"/>
      <c r="U50" s="1473"/>
      <c r="V50" s="1473"/>
    </row>
    <row r="51" spans="1:26">
      <c r="A51" s="1461" t="s">
        <v>1177</v>
      </c>
      <c r="B51" s="1477">
        <f t="shared" si="160"/>
        <v>208.83454537875372</v>
      </c>
      <c r="C51" s="1477">
        <f t="shared" si="160"/>
        <v>183.77230517090351</v>
      </c>
      <c r="D51" s="1477">
        <f t="shared" si="144"/>
        <v>183.77230517090351</v>
      </c>
      <c r="E51" s="1477">
        <f t="shared" si="161"/>
        <v>281.10342338870947</v>
      </c>
      <c r="F51" s="1477">
        <f t="shared" si="161"/>
        <v>168.97309388942256</v>
      </c>
      <c r="G51" s="3559">
        <v>2009</v>
      </c>
      <c r="H51" s="1464">
        <v>1</v>
      </c>
      <c r="I51" s="1464">
        <v>-2.64</v>
      </c>
      <c r="J51" s="1464">
        <v>-2.5299999999999998</v>
      </c>
      <c r="K51" s="1464">
        <v>-3.02</v>
      </c>
      <c r="L51" s="1478">
        <v>1.52</v>
      </c>
      <c r="N51" s="1480">
        <f t="shared" si="146"/>
        <v>-2.64E-2</v>
      </c>
      <c r="O51" s="1481">
        <f t="shared" si="146"/>
        <v>-2.53E-2</v>
      </c>
      <c r="P51" s="1481">
        <f t="shared" si="146"/>
        <v>-3.0200000000000001E-2</v>
      </c>
      <c r="Q51" s="1481">
        <f t="shared" si="146"/>
        <v>1.52E-2</v>
      </c>
      <c r="R51" s="1474"/>
      <c r="S51" s="1480">
        <f>B51/B52-1</f>
        <v>-2.4137638417038754E-2</v>
      </c>
      <c r="T51" s="1481">
        <f>C51/C52-1</f>
        <v>-2.248773845264096E-2</v>
      </c>
      <c r="U51" s="1481">
        <f>E51/E52-1</f>
        <v>-2.7323794502735366E-2</v>
      </c>
      <c r="V51" s="1481">
        <f>F51/F52-1</f>
        <v>1.7910204153148035E-2</v>
      </c>
      <c r="X51" s="1460"/>
      <c r="Y51" s="1460"/>
      <c r="Z51" s="1460"/>
    </row>
    <row r="52" spans="1:26" ht="13.5" thickBot="1">
      <c r="A52" s="1461" t="s">
        <v>1178</v>
      </c>
      <c r="B52" s="1511">
        <v>214</v>
      </c>
      <c r="C52" s="1511">
        <v>188</v>
      </c>
      <c r="D52" s="1511">
        <f t="shared" si="144"/>
        <v>188</v>
      </c>
      <c r="E52" s="1511">
        <v>289</v>
      </c>
      <c r="F52" s="1512">
        <v>166</v>
      </c>
      <c r="G52" s="3557">
        <v>2008</v>
      </c>
      <c r="H52" s="1482">
        <v>4</v>
      </c>
      <c r="I52" s="1482">
        <v>1.73</v>
      </c>
      <c r="J52" s="1482">
        <v>0.03</v>
      </c>
      <c r="K52" s="1482">
        <v>2.59</v>
      </c>
      <c r="L52" s="1483">
        <v>-1.66</v>
      </c>
      <c r="N52" s="1472">
        <f t="shared" si="146"/>
        <v>1.7299999999999999E-2</v>
      </c>
      <c r="O52" s="1473">
        <f t="shared" si="146"/>
        <v>2.9999999999999997E-4</v>
      </c>
      <c r="P52" s="1473">
        <f t="shared" si="146"/>
        <v>2.5899999999999999E-2</v>
      </c>
      <c r="Q52" s="1473">
        <f t="shared" si="146"/>
        <v>-1.66E-2</v>
      </c>
      <c r="R52" s="1474"/>
      <c r="S52" s="1475"/>
      <c r="T52" s="1476"/>
      <c r="U52" s="1476"/>
      <c r="V52" s="1476"/>
      <c r="X52" s="1476"/>
      <c r="Y52" s="1476"/>
      <c r="Z52" s="1476"/>
    </row>
    <row r="53" spans="1:26">
      <c r="A53" s="1461" t="s">
        <v>1179</v>
      </c>
      <c r="B53" s="1477">
        <f t="shared" ref="B53:C55" si="162">B52/(1+N52)</f>
        <v>210.36075887152265</v>
      </c>
      <c r="C53" s="1477">
        <f t="shared" si="162"/>
        <v>187.94361691492554</v>
      </c>
      <c r="D53" s="1477">
        <f t="shared" si="144"/>
        <v>187.94361691492554</v>
      </c>
      <c r="E53" s="1477">
        <f t="shared" ref="E53:F55" si="163">E52/(1+P52)</f>
        <v>281.70386977288234</v>
      </c>
      <c r="F53" s="1477">
        <f t="shared" si="163"/>
        <v>168.80211511083994</v>
      </c>
      <c r="G53" s="3558">
        <v>2008</v>
      </c>
      <c r="H53" s="1487">
        <v>3</v>
      </c>
      <c r="I53" s="1487">
        <v>1.96</v>
      </c>
      <c r="J53" s="1487">
        <v>2.36</v>
      </c>
      <c r="K53" s="1487">
        <v>1.82</v>
      </c>
      <c r="L53" s="1488">
        <v>2.2200000000000002</v>
      </c>
      <c r="N53" s="1472">
        <f t="shared" si="146"/>
        <v>1.9599999999999999E-2</v>
      </c>
      <c r="O53" s="1473">
        <f t="shared" si="146"/>
        <v>2.3599999999999999E-2</v>
      </c>
      <c r="P53" s="1473">
        <f t="shared" si="146"/>
        <v>1.8200000000000001E-2</v>
      </c>
      <c r="Q53" s="1473">
        <f t="shared" si="146"/>
        <v>2.2200000000000001E-2</v>
      </c>
      <c r="R53" s="1474"/>
      <c r="S53" s="1472"/>
      <c r="T53" s="1473"/>
      <c r="U53" s="1473"/>
      <c r="V53" s="1473"/>
    </row>
    <row r="54" spans="1:26">
      <c r="A54" s="1461" t="s">
        <v>1180</v>
      </c>
      <c r="B54" s="1477">
        <f t="shared" si="162"/>
        <v>206.31694671589116</v>
      </c>
      <c r="C54" s="1477">
        <f t="shared" si="162"/>
        <v>183.61041121036101</v>
      </c>
      <c r="D54" s="1477">
        <f t="shared" si="144"/>
        <v>183.61041121036101</v>
      </c>
      <c r="E54" s="1477">
        <f t="shared" si="163"/>
        <v>276.66850301795557</v>
      </c>
      <c r="F54" s="1477">
        <f t="shared" si="163"/>
        <v>165.1360938278614</v>
      </c>
      <c r="G54" s="3558">
        <v>2008</v>
      </c>
      <c r="H54" s="1465">
        <v>2</v>
      </c>
      <c r="I54" s="1465">
        <v>4.93</v>
      </c>
      <c r="J54" s="1465">
        <v>7.38</v>
      </c>
      <c r="K54" s="1465">
        <v>3.98</v>
      </c>
      <c r="L54" s="1479">
        <v>6.86</v>
      </c>
      <c r="N54" s="1472">
        <f t="shared" si="146"/>
        <v>4.9299999999999997E-2</v>
      </c>
      <c r="O54" s="1473">
        <f t="shared" si="146"/>
        <v>7.3800000000000004E-2</v>
      </c>
      <c r="P54" s="1473">
        <f t="shared" si="146"/>
        <v>3.9800000000000002E-2</v>
      </c>
      <c r="Q54" s="1473">
        <f t="shared" si="146"/>
        <v>6.8600000000000008E-2</v>
      </c>
      <c r="R54" s="1474"/>
      <c r="S54" s="1472"/>
      <c r="T54" s="1473"/>
      <c r="U54" s="1473"/>
      <c r="V54" s="1473"/>
    </row>
    <row r="55" spans="1:26" s="1517" customFormat="1" ht="13.5" thickBot="1">
      <c r="A55" s="1461" t="s">
        <v>1181</v>
      </c>
      <c r="B55" s="1514">
        <f t="shared" si="162"/>
        <v>196.62341248059772</v>
      </c>
      <c r="C55" s="1514">
        <f t="shared" si="162"/>
        <v>170.99125648199012</v>
      </c>
      <c r="D55" s="1514">
        <f t="shared" si="144"/>
        <v>170.99125648199012</v>
      </c>
      <c r="E55" s="1514">
        <f t="shared" si="163"/>
        <v>266.07857570490052</v>
      </c>
      <c r="F55" s="1514">
        <f t="shared" si="163"/>
        <v>154.53499328828505</v>
      </c>
      <c r="G55" s="3559">
        <v>2008</v>
      </c>
      <c r="H55" s="1515">
        <v>1</v>
      </c>
      <c r="I55" s="1515">
        <v>4.1399999999999997</v>
      </c>
      <c r="J55" s="1515">
        <v>3.45</v>
      </c>
      <c r="K55" s="1515">
        <v>4.95</v>
      </c>
      <c r="L55" s="1516">
        <v>4.82</v>
      </c>
      <c r="N55" s="1518">
        <f t="shared" si="146"/>
        <v>4.1399999999999999E-2</v>
      </c>
      <c r="O55" s="1519">
        <f t="shared" si="146"/>
        <v>3.4500000000000003E-2</v>
      </c>
      <c r="P55" s="1519">
        <f t="shared" si="146"/>
        <v>4.9500000000000002E-2</v>
      </c>
      <c r="Q55" s="1519">
        <f t="shared" si="146"/>
        <v>4.82E-2</v>
      </c>
      <c r="R55" s="1520"/>
      <c r="S55" s="1518">
        <f>B55/B56-1</f>
        <v>4.5869215322328349E-2</v>
      </c>
      <c r="T55" s="1519">
        <f>C55/C56-1</f>
        <v>3.6310645345394743E-2</v>
      </c>
      <c r="U55" s="1519">
        <f>E55/E56-1</f>
        <v>4.7553447657088688E-2</v>
      </c>
      <c r="V55" s="1519">
        <f>F55/F56-1</f>
        <v>4.4155360055980086E-2</v>
      </c>
      <c r="X55" s="1521"/>
      <c r="Y55" s="1521"/>
      <c r="Z55" s="1521"/>
    </row>
    <row r="56" spans="1:26" ht="13.5" thickBot="1">
      <c r="A56" s="1461" t="s">
        <v>1182</v>
      </c>
      <c r="B56" s="1469">
        <v>188</v>
      </c>
      <c r="C56" s="1469">
        <v>165</v>
      </c>
      <c r="D56" s="1469">
        <f t="shared" si="144"/>
        <v>165</v>
      </c>
      <c r="E56" s="1469">
        <v>254</v>
      </c>
      <c r="F56" s="1470">
        <v>148</v>
      </c>
      <c r="G56" s="3557">
        <v>2007</v>
      </c>
      <c r="H56" s="1522">
        <v>4</v>
      </c>
      <c r="I56" s="1522">
        <v>5.51</v>
      </c>
      <c r="J56" s="1522">
        <v>4.8899999999999997</v>
      </c>
      <c r="K56" s="1522">
        <v>6.43</v>
      </c>
      <c r="L56" s="1523">
        <v>5.36</v>
      </c>
      <c r="N56" s="1524">
        <f t="shared" ref="N56:O59" si="164">B56/B57-1</f>
        <v>4.1339718365245526E-2</v>
      </c>
      <c r="O56" s="1525">
        <f t="shared" si="164"/>
        <v>4.0324492593776018E-2</v>
      </c>
      <c r="P56" s="1525">
        <f t="shared" ref="P56:Q59" si="165">E56/E57-1</f>
        <v>6.1625555347990968E-2</v>
      </c>
      <c r="Q56" s="1525">
        <f t="shared" si="165"/>
        <v>4.6757569250590603E-2</v>
      </c>
      <c r="R56" s="1474"/>
      <c r="S56" s="1475"/>
      <c r="T56" s="1476"/>
      <c r="U56" s="1476"/>
      <c r="V56" s="1476"/>
      <c r="X56" s="1476"/>
      <c r="Y56" s="1476"/>
      <c r="Z56" s="1476"/>
    </row>
    <row r="57" spans="1:26">
      <c r="A57" s="1461" t="s">
        <v>1183</v>
      </c>
      <c r="B57" s="1477">
        <f t="shared" ref="B57:C59" si="166">B58+(B$56-B$60)*I57/SUM(I$56:I$59)</f>
        <v>180.5366651097618</v>
      </c>
      <c r="C57" s="1477">
        <f t="shared" si="166"/>
        <v>158.60435967302453</v>
      </c>
      <c r="D57" s="1477">
        <f t="shared" si="144"/>
        <v>158.60435967302453</v>
      </c>
      <c r="E57" s="1477">
        <f t="shared" ref="E57:F59" si="167">E58+(E$56-E$60)*K57/SUM(K$56:K$59)</f>
        <v>239.25573260785075</v>
      </c>
      <c r="F57" s="1477">
        <f t="shared" si="167"/>
        <v>141.38899430740037</v>
      </c>
      <c r="G57" s="3558">
        <v>2007</v>
      </c>
      <c r="H57" s="1487">
        <v>3</v>
      </c>
      <c r="I57" s="1487">
        <v>8.65</v>
      </c>
      <c r="J57" s="1487">
        <v>8.06</v>
      </c>
      <c r="K57" s="1487">
        <v>9.94</v>
      </c>
      <c r="L57" s="1488">
        <v>5.8</v>
      </c>
      <c r="N57" s="1524">
        <f t="shared" si="164"/>
        <v>6.940217571740015E-2</v>
      </c>
      <c r="O57" s="1525">
        <f t="shared" si="164"/>
        <v>7.1197482471153428E-2</v>
      </c>
      <c r="P57" s="1525">
        <f t="shared" si="165"/>
        <v>0.10529679922579582</v>
      </c>
      <c r="Q57" s="1525">
        <f t="shared" si="165"/>
        <v>5.3292245059512133E-2</v>
      </c>
      <c r="R57" s="1474"/>
      <c r="S57" s="1472"/>
      <c r="T57" s="1473"/>
      <c r="U57" s="1473"/>
      <c r="V57" s="1473"/>
      <c r="X57" s="1526"/>
      <c r="Y57" s="1526"/>
      <c r="Z57" s="1526"/>
    </row>
    <row r="58" spans="1:26">
      <c r="A58" s="1461" t="s">
        <v>1184</v>
      </c>
      <c r="B58" s="1477">
        <f t="shared" si="166"/>
        <v>168.82017748715555</v>
      </c>
      <c r="C58" s="1477">
        <f t="shared" si="166"/>
        <v>148.06267029972753</v>
      </c>
      <c r="D58" s="1477">
        <f t="shared" si="144"/>
        <v>148.06267029972753</v>
      </c>
      <c r="E58" s="1477">
        <f t="shared" si="167"/>
        <v>216.46288379323747</v>
      </c>
      <c r="F58" s="1477">
        <f t="shared" si="167"/>
        <v>134.23529411764704</v>
      </c>
      <c r="G58" s="3558">
        <v>2007</v>
      </c>
      <c r="H58" s="1465">
        <v>2</v>
      </c>
      <c r="I58" s="1465">
        <v>3.67</v>
      </c>
      <c r="J58" s="1465">
        <v>2.3199999999999998</v>
      </c>
      <c r="K58" s="1465">
        <v>5.0199999999999996</v>
      </c>
      <c r="L58" s="1479">
        <v>6.71</v>
      </c>
      <c r="N58" s="1524">
        <f t="shared" si="164"/>
        <v>3.0339138143848032E-2</v>
      </c>
      <c r="O58" s="1525">
        <f t="shared" si="164"/>
        <v>2.0922341588790472E-2</v>
      </c>
      <c r="P58" s="1525">
        <f t="shared" si="165"/>
        <v>5.6164796592717003E-2</v>
      </c>
      <c r="Q58" s="1525">
        <f t="shared" si="165"/>
        <v>6.5704536723887319E-2</v>
      </c>
      <c r="R58" s="1474"/>
      <c r="S58" s="1472"/>
      <c r="T58" s="1473"/>
      <c r="U58" s="1473"/>
      <c r="V58" s="1473"/>
      <c r="X58" s="1526"/>
      <c r="Y58" s="1526"/>
      <c r="Z58" s="1526"/>
    </row>
    <row r="59" spans="1:26">
      <c r="A59" s="1461" t="s">
        <v>1185</v>
      </c>
      <c r="B59" s="1477">
        <f t="shared" si="166"/>
        <v>163.84913591779542</v>
      </c>
      <c r="C59" s="1477">
        <f t="shared" si="166"/>
        <v>145.0283378746594</v>
      </c>
      <c r="D59" s="1477">
        <f t="shared" si="144"/>
        <v>145.0283378746594</v>
      </c>
      <c r="E59" s="1477">
        <f t="shared" si="167"/>
        <v>204.95180722891567</v>
      </c>
      <c r="F59" s="1477">
        <f t="shared" si="167"/>
        <v>125.95920303605313</v>
      </c>
      <c r="G59" s="3559">
        <v>2007</v>
      </c>
      <c r="H59" s="1464">
        <v>1</v>
      </c>
      <c r="I59" s="1464">
        <v>3.58</v>
      </c>
      <c r="J59" s="1464">
        <v>3.08</v>
      </c>
      <c r="K59" s="1464">
        <v>4.34</v>
      </c>
      <c r="L59" s="1478">
        <v>3.21</v>
      </c>
      <c r="N59" s="1527">
        <f t="shared" si="164"/>
        <v>3.0497710174814063E-2</v>
      </c>
      <c r="O59" s="1528">
        <f t="shared" si="164"/>
        <v>2.8569772160704998E-2</v>
      </c>
      <c r="P59" s="1528">
        <f t="shared" si="165"/>
        <v>5.1034908866234296E-2</v>
      </c>
      <c r="Q59" s="1528">
        <f t="shared" si="165"/>
        <v>3.245248390207478E-2</v>
      </c>
      <c r="R59" s="1474"/>
      <c r="S59" s="1480">
        <f>B59/B60-1</f>
        <v>3.0497710174814063E-2</v>
      </c>
      <c r="T59" s="1481">
        <f>C59/C60-1</f>
        <v>2.8569772160704998E-2</v>
      </c>
      <c r="U59" s="1481">
        <f>E59/E60-1</f>
        <v>5.1034908866234296E-2</v>
      </c>
      <c r="V59" s="1481">
        <f>F59/F60-1</f>
        <v>3.245248390207478E-2</v>
      </c>
      <c r="X59" s="1526"/>
      <c r="Y59" s="1526"/>
      <c r="Z59" s="1526"/>
    </row>
    <row r="60" spans="1:26" ht="13.5" thickBot="1">
      <c r="A60" s="1461" t="s">
        <v>1186</v>
      </c>
      <c r="B60" s="1490">
        <v>159</v>
      </c>
      <c r="C60" s="1490">
        <v>141</v>
      </c>
      <c r="D60" s="1490">
        <f t="shared" si="144"/>
        <v>141</v>
      </c>
      <c r="E60" s="1490">
        <v>195</v>
      </c>
      <c r="F60" s="1491">
        <v>122</v>
      </c>
      <c r="G60" s="3557">
        <v>2006</v>
      </c>
      <c r="H60" s="1482">
        <v>4</v>
      </c>
      <c r="I60" s="1482">
        <v>3.79</v>
      </c>
      <c r="J60" s="1482">
        <v>2.21</v>
      </c>
      <c r="K60" s="1482">
        <v>5.65</v>
      </c>
      <c r="L60" s="1483">
        <v>5.41</v>
      </c>
      <c r="N60" s="1524">
        <f t="shared" ref="N60:O63" si="168">I60/SUM(I$60:I$63)*(B$60/B$64-1)</f>
        <v>7.245466462748526E-2</v>
      </c>
      <c r="O60" s="1525">
        <f t="shared" si="168"/>
        <v>2.3237230038062766E-2</v>
      </c>
      <c r="P60" s="1525">
        <f t="shared" ref="P60:Q63" si="169">K60/SUM(K$60:K$63)*(E$60/E$64-1)</f>
        <v>0.16146893866323722</v>
      </c>
      <c r="Q60" s="1525">
        <f t="shared" si="169"/>
        <v>5.0755230321793784E-2</v>
      </c>
      <c r="R60" s="1474"/>
      <c r="S60" s="1475"/>
      <c r="T60" s="1476"/>
      <c r="U60" s="1476"/>
      <c r="V60" s="1476"/>
      <c r="X60" s="1526"/>
      <c r="Y60" s="1526"/>
      <c r="Z60" s="1526"/>
    </row>
    <row r="61" spans="1:26">
      <c r="A61" s="1461" t="s">
        <v>1187</v>
      </c>
      <c r="B61" s="1477">
        <f t="shared" ref="B61:C63" si="170">B62+(B$60-B$64)*I61/SUM(I$60:I$63)</f>
        <v>149.00125628140702</v>
      </c>
      <c r="C61" s="1477">
        <f t="shared" si="170"/>
        <v>137.95592286501378</v>
      </c>
      <c r="D61" s="1477">
        <f t="shared" si="144"/>
        <v>137.95592286501378</v>
      </c>
      <c r="E61" s="1477">
        <f t="shared" ref="E61:F63" si="171">E62+(E$60-E$64)*K61/SUM(K$60:K$63)</f>
        <v>169.97231450719823</v>
      </c>
      <c r="F61" s="1477">
        <f t="shared" si="171"/>
        <v>116.21390374331551</v>
      </c>
      <c r="G61" s="3558">
        <v>2006</v>
      </c>
      <c r="H61" s="1487">
        <v>3</v>
      </c>
      <c r="I61" s="1487">
        <v>0.92</v>
      </c>
      <c r="J61" s="1487">
        <v>1.08</v>
      </c>
      <c r="K61" s="1487">
        <v>0.73</v>
      </c>
      <c r="L61" s="1488">
        <v>1.08</v>
      </c>
      <c r="N61" s="1524">
        <f t="shared" si="168"/>
        <v>1.7587939698492462E-2</v>
      </c>
      <c r="O61" s="1525">
        <f t="shared" si="168"/>
        <v>1.1355750425840628E-2</v>
      </c>
      <c r="P61" s="1525">
        <f t="shared" si="169"/>
        <v>2.0862358446754544E-2</v>
      </c>
      <c r="Q61" s="1525">
        <f t="shared" si="169"/>
        <v>1.0132282578103011E-2</v>
      </c>
      <c r="R61" s="1474"/>
      <c r="S61" s="1472"/>
      <c r="T61" s="1473"/>
      <c r="U61" s="1473"/>
      <c r="V61" s="1473"/>
      <c r="X61" s="1526"/>
      <c r="Y61" s="1526"/>
      <c r="Z61" s="1526"/>
    </row>
    <row r="62" spans="1:26">
      <c r="A62" s="1461" t="s">
        <v>1188</v>
      </c>
      <c r="B62" s="1477">
        <f t="shared" si="170"/>
        <v>146.57412060301507</v>
      </c>
      <c r="C62" s="1477">
        <f t="shared" si="170"/>
        <v>136.46831955922866</v>
      </c>
      <c r="D62" s="1477">
        <f t="shared" si="144"/>
        <v>136.46831955922866</v>
      </c>
      <c r="E62" s="1477">
        <f t="shared" si="171"/>
        <v>166.73864894795128</v>
      </c>
      <c r="F62" s="1477">
        <f t="shared" si="171"/>
        <v>115.05882352941177</v>
      </c>
      <c r="G62" s="3558">
        <v>2006</v>
      </c>
      <c r="H62" s="1465">
        <v>2</v>
      </c>
      <c r="I62" s="1465">
        <v>0.96</v>
      </c>
      <c r="J62" s="1465">
        <v>0.25</v>
      </c>
      <c r="K62" s="1465">
        <v>1.9</v>
      </c>
      <c r="L62" s="1479">
        <v>0.95</v>
      </c>
      <c r="N62" s="1524">
        <f t="shared" si="168"/>
        <v>1.8352632728861701E-2</v>
      </c>
      <c r="O62" s="1525">
        <f t="shared" si="168"/>
        <v>2.6286459319075526E-3</v>
      </c>
      <c r="P62" s="1525">
        <f t="shared" si="169"/>
        <v>5.4299289107991269E-2</v>
      </c>
      <c r="Q62" s="1525">
        <f t="shared" si="169"/>
        <v>8.9126559714794995E-3</v>
      </c>
      <c r="R62" s="1474"/>
      <c r="S62" s="1472"/>
      <c r="T62" s="1473"/>
      <c r="U62" s="1473"/>
      <c r="V62" s="1473"/>
      <c r="X62" s="1526"/>
      <c r="Y62" s="1526"/>
      <c r="Z62" s="1526"/>
    </row>
    <row r="63" spans="1:26">
      <c r="A63" s="1461" t="s">
        <v>1189</v>
      </c>
      <c r="B63" s="1477">
        <f t="shared" si="170"/>
        <v>144.04145728643215</v>
      </c>
      <c r="C63" s="1477">
        <f t="shared" si="170"/>
        <v>136.12396694214877</v>
      </c>
      <c r="D63" s="1477">
        <f t="shared" si="144"/>
        <v>136.12396694214877</v>
      </c>
      <c r="E63" s="1477">
        <f t="shared" si="171"/>
        <v>158.32225913621264</v>
      </c>
      <c r="F63" s="1477">
        <f t="shared" si="171"/>
        <v>114.04278074866311</v>
      </c>
      <c r="G63" s="3559">
        <v>2006</v>
      </c>
      <c r="H63" s="1464">
        <v>1</v>
      </c>
      <c r="I63" s="1464">
        <v>2.29</v>
      </c>
      <c r="J63" s="1464">
        <v>3.72</v>
      </c>
      <c r="K63" s="1464">
        <v>0.75</v>
      </c>
      <c r="L63" s="1478">
        <v>0.04</v>
      </c>
      <c r="N63" s="1527">
        <f t="shared" si="168"/>
        <v>4.3778675988638847E-2</v>
      </c>
      <c r="O63" s="1528">
        <f t="shared" si="168"/>
        <v>3.9114251466784385E-2</v>
      </c>
      <c r="P63" s="1528">
        <f t="shared" si="169"/>
        <v>2.1433929911049188E-2</v>
      </c>
      <c r="Q63" s="1528">
        <f t="shared" si="169"/>
        <v>3.7526972511492629E-4</v>
      </c>
      <c r="R63" s="1474"/>
      <c r="S63" s="1480">
        <f>B63/B64-1</f>
        <v>4.3778675988638716E-2</v>
      </c>
      <c r="T63" s="1481">
        <f>C63/C64-1</f>
        <v>3.91142514667846E-2</v>
      </c>
      <c r="U63" s="1481">
        <f>E63/E64-1</f>
        <v>2.143392991104931E-2</v>
      </c>
      <c r="V63" s="1481">
        <f>F63/F64-1</f>
        <v>3.7526972511492396E-4</v>
      </c>
      <c r="X63" s="1526"/>
      <c r="Y63" s="1526"/>
      <c r="Z63" s="1526"/>
    </row>
    <row r="64" spans="1:26" ht="13.5" thickBot="1">
      <c r="A64" s="1461" t="s">
        <v>1190</v>
      </c>
      <c r="B64" s="1490">
        <v>138</v>
      </c>
      <c r="C64" s="1490">
        <v>131</v>
      </c>
      <c r="D64" s="1490">
        <f t="shared" si="144"/>
        <v>131</v>
      </c>
      <c r="E64" s="1490">
        <v>155</v>
      </c>
      <c r="F64" s="1491">
        <v>114</v>
      </c>
      <c r="G64" s="3557">
        <v>2005</v>
      </c>
      <c r="H64" s="1482">
        <v>4</v>
      </c>
      <c r="I64" s="1482">
        <v>3.29</v>
      </c>
      <c r="J64" s="1482">
        <v>1.44</v>
      </c>
      <c r="K64" s="1482">
        <v>0.66</v>
      </c>
      <c r="L64" s="1483">
        <v>7.78</v>
      </c>
      <c r="N64" s="1524">
        <f t="shared" ref="N64:O67" si="172">I64/SUM(I$64:I$67)*(B$64/B$68-1)</f>
        <v>9.9404603216919935E-2</v>
      </c>
      <c r="O64" s="1525">
        <f t="shared" si="172"/>
        <v>4.7636550760861554E-2</v>
      </c>
      <c r="P64" s="1525">
        <f t="shared" ref="P64:Q67" si="173">K64/SUM(K$64:K$67)*(E$64/E$68-1)</f>
        <v>8.3756345177664976E-2</v>
      </c>
      <c r="Q64" s="1525">
        <f t="shared" si="173"/>
        <v>5.2148766661559584E-2</v>
      </c>
      <c r="R64" s="1474"/>
      <c r="S64" s="1475"/>
      <c r="T64" s="1476"/>
      <c r="U64" s="1476"/>
      <c r="V64" s="1476"/>
      <c r="X64" s="1526"/>
      <c r="Y64" s="1526"/>
      <c r="Z64" s="1526"/>
    </row>
    <row r="65" spans="1:26">
      <c r="A65" s="1461" t="s">
        <v>1191</v>
      </c>
      <c r="B65" s="1477">
        <f t="shared" ref="B65:C67" si="174">B66+(B$64-B$68)*I65/SUM(I$64:I$67)</f>
        <v>125.9720430107527</v>
      </c>
      <c r="C65" s="1477">
        <f t="shared" si="174"/>
        <v>125.1883408071749</v>
      </c>
      <c r="D65" s="1477">
        <f t="shared" si="144"/>
        <v>125.1883408071749</v>
      </c>
      <c r="E65" s="1477">
        <f t="shared" ref="E65:F67" si="175">E66+(E$64-E$68)*K65/SUM(K$64:K$67)</f>
        <v>144.61421319796952</v>
      </c>
      <c r="F65" s="1477">
        <f t="shared" si="175"/>
        <v>108.42008196721311</v>
      </c>
      <c r="G65" s="3558">
        <v>2005</v>
      </c>
      <c r="H65" s="1487">
        <v>3</v>
      </c>
      <c r="I65" s="1487">
        <v>0.46</v>
      </c>
      <c r="J65" s="1487">
        <v>0.32</v>
      </c>
      <c r="K65" s="1487">
        <v>0.42</v>
      </c>
      <c r="L65" s="1488">
        <v>0.64</v>
      </c>
      <c r="N65" s="1524">
        <f t="shared" si="172"/>
        <v>1.3898515951301874E-2</v>
      </c>
      <c r="O65" s="1525">
        <f t="shared" si="172"/>
        <v>1.0585900169080346E-2</v>
      </c>
      <c r="P65" s="1525">
        <f t="shared" si="173"/>
        <v>5.3299492385786795E-2</v>
      </c>
      <c r="Q65" s="1525">
        <f t="shared" si="173"/>
        <v>4.2898728359123568E-3</v>
      </c>
      <c r="R65" s="1474"/>
      <c r="S65" s="1472"/>
      <c r="T65" s="1473"/>
      <c r="U65" s="1473"/>
      <c r="V65" s="1473"/>
      <c r="X65" s="1526"/>
      <c r="Y65" s="1526"/>
      <c r="Z65" s="1526"/>
    </row>
    <row r="66" spans="1:26">
      <c r="A66" s="1461" t="s">
        <v>1192</v>
      </c>
      <c r="B66" s="1477">
        <f t="shared" si="174"/>
        <v>124.29032258064517</v>
      </c>
      <c r="C66" s="1477">
        <f t="shared" si="174"/>
        <v>123.8968609865471</v>
      </c>
      <c r="D66" s="1477">
        <f t="shared" si="144"/>
        <v>123.8968609865471</v>
      </c>
      <c r="E66" s="1477">
        <f t="shared" si="175"/>
        <v>138.00507614213197</v>
      </c>
      <c r="F66" s="1477">
        <f t="shared" si="175"/>
        <v>107.96106557377048</v>
      </c>
      <c r="G66" s="3558">
        <v>2005</v>
      </c>
      <c r="H66" s="1465">
        <v>2</v>
      </c>
      <c r="I66" s="1465">
        <v>0.47</v>
      </c>
      <c r="J66" s="1465">
        <v>0.1</v>
      </c>
      <c r="K66" s="1465">
        <v>0.52</v>
      </c>
      <c r="L66" s="1479">
        <v>0.79</v>
      </c>
      <c r="N66" s="1524">
        <f t="shared" si="172"/>
        <v>1.420065760241713E-2</v>
      </c>
      <c r="O66" s="1525">
        <f t="shared" si="172"/>
        <v>3.3080938028376083E-3</v>
      </c>
      <c r="P66" s="1525">
        <f t="shared" si="173"/>
        <v>6.598984771573603E-2</v>
      </c>
      <c r="Q66" s="1525">
        <f t="shared" si="173"/>
        <v>5.2953117818293153E-3</v>
      </c>
      <c r="R66" s="1474"/>
      <c r="S66" s="1472"/>
      <c r="T66" s="1473"/>
      <c r="U66" s="1473"/>
      <c r="V66" s="1473"/>
      <c r="X66" s="1526"/>
      <c r="Y66" s="1526"/>
      <c r="Z66" s="1526"/>
    </row>
    <row r="67" spans="1:26">
      <c r="A67" s="1461" t="s">
        <v>1193</v>
      </c>
      <c r="B67" s="1477">
        <f t="shared" si="174"/>
        <v>122.57204301075269</v>
      </c>
      <c r="C67" s="1477">
        <f t="shared" si="174"/>
        <v>123.4932735426009</v>
      </c>
      <c r="D67" s="1477">
        <f t="shared" si="144"/>
        <v>123.4932735426009</v>
      </c>
      <c r="E67" s="1477">
        <f t="shared" si="175"/>
        <v>129.82233502538071</v>
      </c>
      <c r="F67" s="1477">
        <f t="shared" si="175"/>
        <v>107.39446721311475</v>
      </c>
      <c r="G67" s="3559">
        <v>2005</v>
      </c>
      <c r="H67" s="1464">
        <v>1</v>
      </c>
      <c r="I67" s="1464">
        <v>0.43</v>
      </c>
      <c r="J67" s="1464">
        <v>0.37</v>
      </c>
      <c r="K67" s="1464">
        <v>0.37</v>
      </c>
      <c r="L67" s="1478">
        <v>0.55000000000000004</v>
      </c>
      <c r="N67" s="1527">
        <f t="shared" si="172"/>
        <v>1.2992090997956099E-2</v>
      </c>
      <c r="O67" s="1528">
        <f t="shared" si="172"/>
        <v>1.2239947070499151E-2</v>
      </c>
      <c r="P67" s="1528">
        <f t="shared" si="173"/>
        <v>4.6954314720812178E-2</v>
      </c>
      <c r="Q67" s="1528">
        <f t="shared" si="173"/>
        <v>3.6866094683621815E-3</v>
      </c>
      <c r="R67" s="1474"/>
      <c r="S67" s="1480">
        <f>B67/B68-1</f>
        <v>1.2992090997956174E-2</v>
      </c>
      <c r="T67" s="1481">
        <f>C67/C68-1</f>
        <v>1.2239947070499246E-2</v>
      </c>
      <c r="U67" s="1481">
        <f>E67/E68-1</f>
        <v>4.695431472081224E-2</v>
      </c>
      <c r="V67" s="1481">
        <f>F67/F68-1</f>
        <v>3.6866094683620787E-3</v>
      </c>
      <c r="X67" s="1526"/>
      <c r="Y67" s="1526"/>
      <c r="Z67" s="1526"/>
    </row>
    <row r="68" spans="1:26" ht="13.5" thickBot="1">
      <c r="A68" s="1461" t="s">
        <v>1194</v>
      </c>
      <c r="B68" s="1511">
        <v>121</v>
      </c>
      <c r="C68" s="1511">
        <v>122</v>
      </c>
      <c r="D68" s="1511">
        <f t="shared" si="144"/>
        <v>122</v>
      </c>
      <c r="E68" s="1511">
        <v>124</v>
      </c>
      <c r="F68" s="1512">
        <v>107</v>
      </c>
      <c r="G68" s="3557">
        <v>2004</v>
      </c>
      <c r="H68" s="1482">
        <v>4</v>
      </c>
      <c r="I68" s="1482">
        <v>0.33</v>
      </c>
      <c r="J68" s="1482">
        <v>0.5</v>
      </c>
      <c r="K68" s="1482">
        <v>0.5</v>
      </c>
      <c r="L68" s="1483">
        <v>0</v>
      </c>
      <c r="N68" s="1524">
        <f t="shared" ref="N68:O71" si="176">I68/SUM(I$68:I$71)*(B$68/B$72-1)</f>
        <v>1.3391770148526898E-2</v>
      </c>
      <c r="O68" s="1525">
        <f t="shared" si="176"/>
        <v>1.063264221158958E-2</v>
      </c>
      <c r="P68" s="1525">
        <f t="shared" ref="P68:Q71" si="177">K68/SUM(K$68:K$71)*(E$68/E$72-1)</f>
        <v>2.2244466688911134E-2</v>
      </c>
      <c r="Q68" s="1525">
        <f t="shared" si="177"/>
        <v>0</v>
      </c>
      <c r="R68" s="1474"/>
      <c r="S68" s="1475"/>
      <c r="T68" s="1476"/>
      <c r="U68" s="1476"/>
      <c r="V68" s="1476"/>
      <c r="X68" s="1526"/>
      <c r="Y68" s="1526"/>
      <c r="Z68" s="1526"/>
    </row>
    <row r="69" spans="1:26">
      <c r="A69" s="1461" t="s">
        <v>1195</v>
      </c>
      <c r="B69" s="1477">
        <f t="shared" ref="B69:C71" si="178">B70+(B$68-B$72)*I69/SUM(I$68:I$71)</f>
        <v>119.51351351351352</v>
      </c>
      <c r="C69" s="1477">
        <f t="shared" si="178"/>
        <v>120.7878787878788</v>
      </c>
      <c r="D69" s="1477">
        <f t="shared" si="144"/>
        <v>120.7878787878788</v>
      </c>
      <c r="E69" s="1477">
        <f t="shared" ref="E69:F71" si="179">E70+(E$68-E$72)*K69/SUM(K$68:K$71)</f>
        <v>121.5975975975976</v>
      </c>
      <c r="F69" s="1477">
        <f t="shared" si="179"/>
        <v>107</v>
      </c>
      <c r="G69" s="3558">
        <v>2004</v>
      </c>
      <c r="H69" s="1487">
        <v>3</v>
      </c>
      <c r="I69" s="1487">
        <v>0.56000000000000005</v>
      </c>
      <c r="J69" s="1487">
        <v>0.8</v>
      </c>
      <c r="K69" s="1487">
        <v>0.83</v>
      </c>
      <c r="L69" s="1488">
        <v>0.06</v>
      </c>
      <c r="N69" s="1524">
        <f t="shared" si="176"/>
        <v>2.2725428130833527E-2</v>
      </c>
      <c r="O69" s="1525">
        <f t="shared" si="176"/>
        <v>1.7012227538543329E-2</v>
      </c>
      <c r="P69" s="1525">
        <f t="shared" si="177"/>
        <v>3.6925814703592477E-2</v>
      </c>
      <c r="Q69" s="1525">
        <f t="shared" si="177"/>
        <v>2.8846153846153744E-2</v>
      </c>
      <c r="R69" s="1474"/>
      <c r="S69" s="1472"/>
      <c r="T69" s="1473"/>
      <c r="U69" s="1473"/>
      <c r="V69" s="1473"/>
      <c r="X69" s="1526"/>
      <c r="Y69" s="1526"/>
      <c r="Z69" s="1526"/>
    </row>
    <row r="70" spans="1:26">
      <c r="A70" s="1461" t="s">
        <v>1196</v>
      </c>
      <c r="B70" s="1477">
        <f t="shared" si="178"/>
        <v>116.99099099099099</v>
      </c>
      <c r="C70" s="1477">
        <f t="shared" si="178"/>
        <v>118.84848484848486</v>
      </c>
      <c r="D70" s="1477">
        <f t="shared" si="144"/>
        <v>118.84848484848486</v>
      </c>
      <c r="E70" s="1477">
        <f t="shared" si="179"/>
        <v>117.60960960960961</v>
      </c>
      <c r="F70" s="1477">
        <f t="shared" si="179"/>
        <v>104</v>
      </c>
      <c r="G70" s="3558">
        <v>2004</v>
      </c>
      <c r="H70" s="1465">
        <v>2</v>
      </c>
      <c r="I70" s="1465">
        <v>1</v>
      </c>
      <c r="J70" s="1465">
        <v>1.5</v>
      </c>
      <c r="K70" s="1465">
        <v>1.5</v>
      </c>
      <c r="L70" s="1479">
        <v>0</v>
      </c>
      <c r="N70" s="1524">
        <f t="shared" si="176"/>
        <v>4.0581121662202721E-2</v>
      </c>
      <c r="O70" s="1525">
        <f t="shared" si="176"/>
        <v>3.1897926634768738E-2</v>
      </c>
      <c r="P70" s="1525">
        <f t="shared" si="177"/>
        <v>6.6733400066733395E-2</v>
      </c>
      <c r="Q70" s="1525">
        <f t="shared" si="177"/>
        <v>0</v>
      </c>
      <c r="R70" s="1474"/>
      <c r="S70" s="1472"/>
      <c r="T70" s="1473"/>
      <c r="U70" s="1473"/>
      <c r="V70" s="1473"/>
      <c r="X70" s="1526"/>
      <c r="Y70" s="1526"/>
      <c r="Z70" s="1526"/>
    </row>
    <row r="71" spans="1:26" s="1517" customFormat="1" ht="13.5" thickBot="1">
      <c r="A71" s="1461" t="s">
        <v>1197</v>
      </c>
      <c r="B71" s="1514">
        <f t="shared" si="178"/>
        <v>112.48648648648648</v>
      </c>
      <c r="C71" s="1514">
        <f t="shared" si="178"/>
        <v>115.21212121212122</v>
      </c>
      <c r="D71" s="1514">
        <f t="shared" si="144"/>
        <v>115.21212121212122</v>
      </c>
      <c r="E71" s="1514">
        <f t="shared" si="179"/>
        <v>110.4024024024024</v>
      </c>
      <c r="F71" s="1514">
        <f t="shared" si="179"/>
        <v>104</v>
      </c>
      <c r="G71" s="3559">
        <v>2004</v>
      </c>
      <c r="H71" s="1515">
        <v>1</v>
      </c>
      <c r="I71" s="1515">
        <v>0.33</v>
      </c>
      <c r="J71" s="1515">
        <v>0.5</v>
      </c>
      <c r="K71" s="1515">
        <v>0.5</v>
      </c>
      <c r="L71" s="1516">
        <v>0</v>
      </c>
      <c r="N71" s="1529">
        <f t="shared" si="176"/>
        <v>1.3391770148526898E-2</v>
      </c>
      <c r="O71" s="1530">
        <f t="shared" si="176"/>
        <v>1.063264221158958E-2</v>
      </c>
      <c r="P71" s="1530">
        <f t="shared" si="177"/>
        <v>2.2244466688911134E-2</v>
      </c>
      <c r="Q71" s="1530">
        <f t="shared" si="177"/>
        <v>0</v>
      </c>
      <c r="R71" s="1520"/>
      <c r="S71" s="1518">
        <f>B71/B72-1</f>
        <v>1.3391770148526883E-2</v>
      </c>
      <c r="T71" s="1519">
        <f>C71/C72-1</f>
        <v>1.063264221158966E-2</v>
      </c>
      <c r="U71" s="1519">
        <f>E71/E72-1</f>
        <v>2.2244466688911224E-2</v>
      </c>
      <c r="V71" s="1519">
        <f>F71/F72-1</f>
        <v>0</v>
      </c>
      <c r="X71" s="1531"/>
      <c r="Y71" s="1531"/>
      <c r="Z71" s="1531"/>
    </row>
    <row r="72" spans="1:26" ht="13.5" thickBot="1">
      <c r="A72" s="1461" t="s">
        <v>1198</v>
      </c>
      <c r="B72" s="1532">
        <v>111</v>
      </c>
      <c r="C72" s="1532">
        <v>114</v>
      </c>
      <c r="D72" s="1532">
        <f t="shared" si="144"/>
        <v>114</v>
      </c>
      <c r="E72" s="1532">
        <v>108</v>
      </c>
      <c r="F72" s="1533">
        <v>104</v>
      </c>
      <c r="G72" s="3557">
        <v>2003</v>
      </c>
      <c r="H72" s="1522">
        <v>4</v>
      </c>
      <c r="I72" s="1534"/>
      <c r="J72" s="1534"/>
      <c r="K72" s="1534"/>
      <c r="L72" s="1534"/>
      <c r="N72" s="1535"/>
      <c r="O72" s="1534"/>
      <c r="P72" s="1534"/>
      <c r="Q72" s="1534"/>
      <c r="S72" s="1535"/>
      <c r="T72" s="1534"/>
      <c r="U72" s="1534"/>
      <c r="V72" s="1534"/>
      <c r="X72" s="1526"/>
      <c r="Y72" s="1526"/>
      <c r="Z72" s="1526"/>
    </row>
    <row r="73" spans="1:26">
      <c r="A73" s="1461" t="s">
        <v>1199</v>
      </c>
      <c r="B73" s="1536">
        <f t="shared" ref="B73:C75" si="180">B74+(B$72-B$76)/4</f>
        <v>109.75</v>
      </c>
      <c r="C73" s="1536">
        <f t="shared" si="180"/>
        <v>112.25</v>
      </c>
      <c r="D73" s="1536">
        <f t="shared" si="144"/>
        <v>112.25</v>
      </c>
      <c r="E73" s="1536">
        <f t="shared" ref="E73:F75" si="181">E74+(E$72-E$76)/4</f>
        <v>107.25</v>
      </c>
      <c r="F73" s="1536">
        <f t="shared" si="181"/>
        <v>103.5</v>
      </c>
      <c r="G73" s="3558">
        <v>2003</v>
      </c>
      <c r="H73" s="1487">
        <v>3</v>
      </c>
      <c r="I73" s="1534"/>
      <c r="J73" s="1534"/>
      <c r="K73" s="1534"/>
      <c r="L73" s="1534"/>
      <c r="X73" s="1526"/>
      <c r="Y73" s="1526"/>
      <c r="Z73" s="1526"/>
    </row>
    <row r="74" spans="1:26">
      <c r="A74" s="1461" t="s">
        <v>1200</v>
      </c>
      <c r="B74" s="1536">
        <f t="shared" si="180"/>
        <v>108.5</v>
      </c>
      <c r="C74" s="1536">
        <f t="shared" si="180"/>
        <v>110.5</v>
      </c>
      <c r="D74" s="1536">
        <f t="shared" si="144"/>
        <v>110.5</v>
      </c>
      <c r="E74" s="1536">
        <f t="shared" si="181"/>
        <v>106.5</v>
      </c>
      <c r="F74" s="1536">
        <f t="shared" si="181"/>
        <v>103</v>
      </c>
      <c r="G74" s="3558">
        <v>2003</v>
      </c>
      <c r="H74" s="1465">
        <v>2</v>
      </c>
      <c r="I74" s="1534"/>
      <c r="J74" s="1534"/>
      <c r="K74" s="1534"/>
      <c r="L74" s="1534"/>
      <c r="X74" s="1526"/>
      <c r="Y74" s="1526"/>
      <c r="Z74" s="1526"/>
    </row>
    <row r="75" spans="1:26" ht="13.5" thickBot="1">
      <c r="A75" s="1461" t="s">
        <v>1201</v>
      </c>
      <c r="B75" s="1536">
        <f t="shared" si="180"/>
        <v>107.25</v>
      </c>
      <c r="C75" s="1536">
        <f t="shared" si="180"/>
        <v>108.75</v>
      </c>
      <c r="D75" s="1536">
        <f t="shared" si="144"/>
        <v>108.75</v>
      </c>
      <c r="E75" s="1536">
        <f t="shared" si="181"/>
        <v>105.75</v>
      </c>
      <c r="F75" s="1536">
        <f t="shared" si="181"/>
        <v>102.5</v>
      </c>
      <c r="G75" s="3559">
        <v>2003</v>
      </c>
      <c r="H75" s="1537">
        <v>1</v>
      </c>
      <c r="I75" s="1534"/>
      <c r="J75" s="1534"/>
      <c r="K75" s="1534"/>
      <c r="L75" s="1534"/>
      <c r="S75" s="1472"/>
      <c r="T75" s="1473"/>
      <c r="U75" s="1473"/>
      <c r="X75" s="1526"/>
      <c r="Y75" s="1526"/>
      <c r="Z75" s="1526"/>
    </row>
    <row r="76" spans="1:26" ht="13.5" thickBot="1">
      <c r="A76" s="1461" t="s">
        <v>1202</v>
      </c>
      <c r="B76" s="1538">
        <v>106</v>
      </c>
      <c r="C76" s="1538">
        <v>107</v>
      </c>
      <c r="D76" s="1538">
        <f t="shared" si="144"/>
        <v>107</v>
      </c>
      <c r="E76" s="1538">
        <v>105</v>
      </c>
      <c r="F76" s="1539">
        <v>102</v>
      </c>
      <c r="G76" s="3557">
        <v>2002</v>
      </c>
      <c r="H76" s="1482">
        <v>4</v>
      </c>
      <c r="I76" s="1534"/>
      <c r="J76" s="1534"/>
      <c r="K76" s="1534"/>
      <c r="L76" s="1534"/>
      <c r="N76" s="1535"/>
      <c r="O76" s="1534"/>
      <c r="P76" s="1534"/>
      <c r="Q76" s="1534"/>
      <c r="S76" s="1535"/>
      <c r="T76" s="1534"/>
      <c r="U76" s="1534"/>
      <c r="V76" s="1534"/>
      <c r="X76" s="1526"/>
      <c r="Y76" s="1526"/>
      <c r="Z76" s="1526"/>
    </row>
    <row r="77" spans="1:26">
      <c r="A77" s="1461" t="s">
        <v>1203</v>
      </c>
      <c r="B77" s="1536">
        <f t="shared" ref="B77:C79" si="182">B78+(B$76-B$80)/4</f>
        <v>105</v>
      </c>
      <c r="C77" s="1536">
        <f t="shared" si="182"/>
        <v>106</v>
      </c>
      <c r="D77" s="1536">
        <f t="shared" si="144"/>
        <v>106</v>
      </c>
      <c r="E77" s="1536">
        <f t="shared" ref="E77:F79" si="183">E78+(E$76-E$80)/4</f>
        <v>104.5</v>
      </c>
      <c r="F77" s="1536">
        <f t="shared" si="183"/>
        <v>101.5</v>
      </c>
      <c r="G77" s="3558">
        <v>2002</v>
      </c>
      <c r="H77" s="1487">
        <v>3</v>
      </c>
      <c r="I77" s="1534"/>
      <c r="J77" s="1534"/>
      <c r="K77" s="1534"/>
      <c r="L77" s="1534"/>
      <c r="X77" s="1526"/>
      <c r="Y77" s="1526"/>
      <c r="Z77" s="1526"/>
    </row>
    <row r="78" spans="1:26">
      <c r="A78" s="1461" t="s">
        <v>1204</v>
      </c>
      <c r="B78" s="1536">
        <f t="shared" si="182"/>
        <v>104</v>
      </c>
      <c r="C78" s="1536">
        <f t="shared" si="182"/>
        <v>105</v>
      </c>
      <c r="D78" s="1536">
        <f t="shared" si="144"/>
        <v>105</v>
      </c>
      <c r="E78" s="1536">
        <f t="shared" si="183"/>
        <v>104</v>
      </c>
      <c r="F78" s="1536">
        <f t="shared" si="183"/>
        <v>101</v>
      </c>
      <c r="G78" s="3558">
        <v>2002</v>
      </c>
      <c r="H78" s="1465">
        <v>2</v>
      </c>
      <c r="I78" s="1534"/>
      <c r="J78" s="1534"/>
      <c r="K78" s="1534"/>
      <c r="L78" s="1534"/>
      <c r="X78" s="1526"/>
      <c r="Y78" s="1526"/>
      <c r="Z78" s="1526"/>
    </row>
    <row r="79" spans="1:26" s="1498" customFormat="1" ht="13.5" thickBot="1">
      <c r="A79" s="1494" t="s">
        <v>1205</v>
      </c>
      <c r="B79" s="1540">
        <f t="shared" si="182"/>
        <v>103</v>
      </c>
      <c r="C79" s="1540">
        <f t="shared" si="182"/>
        <v>104</v>
      </c>
      <c r="D79" s="1540">
        <f t="shared" si="144"/>
        <v>104</v>
      </c>
      <c r="E79" s="1540">
        <f t="shared" si="183"/>
        <v>103.5</v>
      </c>
      <c r="F79" s="1540">
        <f t="shared" si="183"/>
        <v>100.5</v>
      </c>
      <c r="G79" s="3559">
        <v>2002</v>
      </c>
      <c r="H79" s="1541">
        <v>1</v>
      </c>
      <c r="I79" s="1542"/>
      <c r="J79" s="1542"/>
      <c r="K79" s="1542"/>
      <c r="L79" s="1542"/>
      <c r="N79" s="1543"/>
      <c r="S79" s="1543"/>
      <c r="X79" s="1544"/>
      <c r="Y79" s="1544"/>
      <c r="Z79" s="1544"/>
    </row>
    <row r="80" spans="1:26" ht="13.5" thickBot="1">
      <c r="B80" s="1545">
        <v>102</v>
      </c>
      <c r="C80" s="1546">
        <v>103</v>
      </c>
      <c r="D80" s="1546">
        <f t="shared" si="144"/>
        <v>103</v>
      </c>
      <c r="E80" s="1546">
        <v>103</v>
      </c>
      <c r="F80" s="1547">
        <v>100</v>
      </c>
      <c r="I80" s="1534"/>
      <c r="J80" s="1534"/>
      <c r="K80" s="1534"/>
      <c r="L80" s="1534"/>
      <c r="N80" s="1535"/>
      <c r="O80" s="1534"/>
      <c r="P80" s="1534"/>
      <c r="Q80" s="1534"/>
      <c r="S80" s="1535"/>
      <c r="T80" s="1534"/>
      <c r="U80" s="1534"/>
      <c r="V80" s="1534"/>
      <c r="X80" s="1476"/>
      <c r="Y80" s="1476"/>
      <c r="Z80" s="1476"/>
    </row>
    <row r="82" spans="1:22" s="1549" customFormat="1">
      <c r="A82" s="1548" t="s">
        <v>1206</v>
      </c>
      <c r="G82" s="1550"/>
      <c r="N82" s="1550"/>
      <c r="S82" s="1550"/>
    </row>
    <row r="83" spans="1:22" s="1549" customFormat="1">
      <c r="A83" s="1549" t="s">
        <v>1207</v>
      </c>
      <c r="G83" s="1550"/>
      <c r="N83" s="1550"/>
      <c r="S83" s="1550"/>
    </row>
    <row r="84" spans="1:22" s="1549" customFormat="1">
      <c r="A84" s="1549" t="s">
        <v>1208</v>
      </c>
      <c r="G84" s="1550"/>
      <c r="I84" s="1551"/>
      <c r="J84" s="1551"/>
      <c r="K84" s="1551"/>
      <c r="L84" s="1551"/>
      <c r="N84" s="1552"/>
      <c r="O84" s="1551"/>
      <c r="P84" s="1551"/>
      <c r="Q84" s="1551"/>
      <c r="S84" s="1552"/>
      <c r="T84" s="1551"/>
      <c r="U84" s="1551"/>
      <c r="V84" s="1551"/>
    </row>
    <row r="85" spans="1:22" s="1549" customFormat="1">
      <c r="A85" s="1549" t="s">
        <v>1209</v>
      </c>
      <c r="G85" s="1550"/>
      <c r="N85" s="1550"/>
      <c r="S85" s="1550"/>
    </row>
    <row r="92" spans="1:22" ht="13.5" thickBot="1"/>
    <row r="93" spans="1:22">
      <c r="G93" s="1471"/>
      <c r="S93" s="1553" t="s">
        <v>1210</v>
      </c>
      <c r="T93" s="1554" t="s">
        <v>1211</v>
      </c>
      <c r="U93" s="1554" t="s">
        <v>1212</v>
      </c>
      <c r="V93" s="1554" t="s">
        <v>1213</v>
      </c>
    </row>
    <row r="94" spans="1:22">
      <c r="G94" s="1471"/>
      <c r="N94" s="1475"/>
      <c r="O94" s="1476"/>
      <c r="P94" s="1476"/>
      <c r="Q94" s="1476"/>
      <c r="S94" s="1555">
        <v>2006</v>
      </c>
      <c r="T94" s="1556">
        <v>15.1</v>
      </c>
      <c r="U94" s="1556">
        <v>7.43</v>
      </c>
      <c r="V94" s="1556">
        <v>26.26</v>
      </c>
    </row>
    <row r="95" spans="1:22">
      <c r="G95" s="1471"/>
      <c r="N95" s="1475"/>
      <c r="O95" s="1476"/>
      <c r="P95" s="1476"/>
      <c r="Q95" s="1476"/>
      <c r="S95" s="1557">
        <v>2005</v>
      </c>
      <c r="T95" s="1558">
        <v>13.9</v>
      </c>
      <c r="U95" s="1558">
        <v>7.49</v>
      </c>
      <c r="V95" s="1558">
        <v>24.92</v>
      </c>
    </row>
    <row r="96" spans="1:22">
      <c r="G96" s="1471"/>
      <c r="N96" s="1475"/>
      <c r="O96" s="1476"/>
      <c r="P96" s="1476"/>
      <c r="Q96" s="1476"/>
      <c r="S96" s="1555">
        <v>2004</v>
      </c>
      <c r="T96" s="1556">
        <v>9.48</v>
      </c>
      <c r="U96" s="1556">
        <v>7.2</v>
      </c>
      <c r="V96" s="1556">
        <v>14.68</v>
      </c>
    </row>
    <row r="97" spans="7:22">
      <c r="G97" s="1471"/>
      <c r="N97" s="1475"/>
      <c r="O97" s="1476"/>
      <c r="P97" s="1476"/>
      <c r="Q97" s="1476"/>
      <c r="S97" s="1557">
        <v>2003</v>
      </c>
      <c r="T97" s="1558">
        <v>4.5</v>
      </c>
      <c r="U97" s="1558">
        <v>6.12</v>
      </c>
      <c r="V97" s="1558">
        <v>2.34</v>
      </c>
    </row>
    <row r="98" spans="7:22" ht="13.5" thickBot="1">
      <c r="G98" s="1471"/>
      <c r="N98" s="1475"/>
      <c r="O98" s="1476"/>
      <c r="P98" s="1476"/>
      <c r="Q98" s="1476"/>
      <c r="S98" s="1559">
        <v>2002</v>
      </c>
      <c r="T98" s="1560">
        <v>3.59</v>
      </c>
      <c r="U98" s="1560">
        <v>4.54</v>
      </c>
      <c r="V98" s="1560">
        <v>2.5499999999999998</v>
      </c>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row r="114" spans="7:19">
      <c r="G114" s="1471"/>
      <c r="N114" s="1475"/>
      <c r="O114" s="1476"/>
      <c r="P114" s="1476"/>
      <c r="Q114" s="1476"/>
      <c r="S114" s="1471"/>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2.75"/>
  <cols>
    <col min="1" max="1" width="11.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569" t="s">
        <v>3000</v>
      </c>
      <c r="D1" s="3570"/>
      <c r="E1" s="3570"/>
      <c r="F1" s="3570"/>
      <c r="G1" s="3570"/>
      <c r="H1" s="3570"/>
      <c r="I1" s="3570"/>
      <c r="J1" s="3570"/>
      <c r="K1" s="3570"/>
      <c r="L1" s="3570"/>
      <c r="M1" s="3570"/>
      <c r="N1" s="3570"/>
      <c r="O1" s="3570"/>
      <c r="P1" s="3570"/>
      <c r="Q1" s="3570"/>
      <c r="R1" s="3570"/>
      <c r="S1" s="3571"/>
      <c r="T1" s="1204" t="s">
        <v>3001</v>
      </c>
    </row>
    <row r="2" spans="1:45" s="707" customFormat="1">
      <c r="A2" s="1205"/>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3009</v>
      </c>
      <c r="B17" s="2903" t="s">
        <v>3010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4" t="s">
        <v>3011</v>
      </c>
      <c r="E19" s="1784"/>
      <c r="F19" s="1784"/>
      <c r="G19" s="1784"/>
      <c r="H19" s="1280"/>
      <c r="I19" s="168"/>
      <c r="J19" s="168"/>
      <c r="K19" s="168"/>
      <c r="L19" s="168"/>
      <c r="M19" s="168"/>
      <c r="N19" s="168"/>
      <c r="O19" s="168"/>
      <c r="P19" s="168"/>
      <c r="Q19" s="168"/>
      <c r="R19" s="788"/>
      <c r="S19" s="138"/>
    </row>
    <row r="20" spans="1:45" ht="16.5" thickBot="1">
      <c r="A20" s="715" t="s">
        <v>3012</v>
      </c>
      <c r="B20" s="338" t="e">
        <f ca="1">IF(D20="——",S22,S22-F20)</f>
        <v>#REF!</v>
      </c>
      <c r="C20" s="168"/>
      <c r="D20" s="2905" t="s">
        <v>3013</v>
      </c>
      <c r="E20" s="1785"/>
      <c r="F20" s="1204" t="e">
        <f ca="1">SUMIF(INDIRECT("'"&amp;H20&amp;"'"&amp;"!A:A"),"承租人权益价值",INDIRECT("'"&amp;H20&amp;"'"&amp;"!c:c"))</f>
        <v>#REF!</v>
      </c>
      <c r="G20" s="1204" t="s">
        <v>3014</v>
      </c>
      <c r="H20" s="2906"/>
      <c r="I20" s="168"/>
      <c r="J20" s="168"/>
      <c r="K20" s="168"/>
      <c r="L20" s="168"/>
      <c r="M20" s="168"/>
      <c r="N20" s="168"/>
      <c r="O20" s="168"/>
      <c r="P20" s="168"/>
      <c r="Q20" s="168"/>
      <c r="R20" s="788"/>
      <c r="S20" s="138"/>
    </row>
    <row r="21" spans="1:45" ht="15.75">
      <c r="A21" s="715" t="s">
        <v>3015</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415" t="s">
        <v>33</v>
      </c>
      <c r="D22" s="3416"/>
      <c r="E22" s="3416"/>
      <c r="F22" s="3416"/>
      <c r="G22" s="3416"/>
      <c r="H22" s="3416"/>
      <c r="I22" s="3416"/>
      <c r="J22" s="3416"/>
      <c r="K22" s="3416"/>
      <c r="L22" s="3416"/>
      <c r="M22" s="3416"/>
      <c r="N22" s="3416"/>
      <c r="O22" s="3416"/>
      <c r="P22" s="3416"/>
      <c r="Q22" s="3568"/>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xr:uid="{00000000-0002-0000-3200-000000000000}">
      <formula1>一修多修正项2</formula1>
    </dataValidation>
    <dataValidation type="list" allowBlank="1" showInputMessage="1" showErrorMessage="1" sqref="F24:F524" xr:uid="{00000000-0002-0000-3200-000001000000}">
      <formula1>一修多修正项3</formula1>
    </dataValidation>
    <dataValidation type="list" allowBlank="1" showInputMessage="1" showErrorMessage="1" sqref="H24:H524" xr:uid="{00000000-0002-0000-3200-000002000000}">
      <formula1>一修多修正项4</formula1>
    </dataValidation>
    <dataValidation type="list" allowBlank="1" showInputMessage="1" showErrorMessage="1" sqref="J24:J524" xr:uid="{00000000-0002-0000-3200-000003000000}">
      <formula1>一修多修正项5</formula1>
    </dataValidation>
    <dataValidation type="list" allowBlank="1" showInputMessage="1" showErrorMessage="1" sqref="L24:L524" xr:uid="{00000000-0002-0000-3200-000004000000}">
      <formula1>一修多修正项6</formula1>
    </dataValidation>
    <dataValidation type="list" allowBlank="1" showInputMessage="1" showErrorMessage="1" sqref="N24:N524" xr:uid="{00000000-0002-0000-3200-000005000000}">
      <formula1>一修多修正项7</formula1>
    </dataValidation>
    <dataValidation type="list" allowBlank="1" showInputMessage="1" showErrorMessage="1" sqref="P24:P524" xr:uid="{00000000-0002-0000-3200-000006000000}">
      <formula1>一修多修正项8</formula1>
    </dataValidation>
    <dataValidation type="list" allowBlank="1" showInputMessage="1" showErrorMessage="1" sqref="D20" xr:uid="{00000000-0002-0000-3200-000007000000}">
      <formula1>"需扣减承租人权益,——"</formula1>
    </dataValidation>
    <dataValidation type="list" allowBlank="1" showInputMessage="1" showErrorMessage="1" sqref="H20" xr:uid="{00000000-0002-0000-3200-000008000000}">
      <formula1>估价方法</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C52</f>
        <v>34198</v>
      </c>
      <c r="C2" s="2" t="s">
        <v>133</v>
      </c>
      <c r="D2" s="243"/>
      <c r="E2" s="243"/>
      <c r="F2" s="243"/>
      <c r="G2" s="243"/>
    </row>
    <row r="3" spans="1:7" s="244" customFormat="1" ht="18" customHeight="1" thickBot="1">
      <c r="A3" s="247" t="s">
        <v>85</v>
      </c>
      <c r="B3" s="248">
        <f>ROUND(B2*10000/'数据-汇总表'!E3,0)</f>
        <v>29087</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159</v>
      </c>
      <c r="D9" s="1032">
        <f>'数据-汇总表'!E5</f>
        <v>9952.6299999999992</v>
      </c>
      <c r="E9" s="269">
        <f>'数据-取费表'!B27</f>
        <v>160</v>
      </c>
      <c r="F9" s="265"/>
      <c r="G9" s="270"/>
    </row>
    <row r="10" spans="1:7" s="258" customFormat="1" ht="13.5" customHeight="1">
      <c r="A10" s="950" t="s">
        <v>801</v>
      </c>
      <c r="B10" s="268" t="s">
        <v>94</v>
      </c>
      <c r="C10" s="269">
        <f>ROUND(D10*E10/10000,0)</f>
        <v>36</v>
      </c>
      <c r="D10" s="1032">
        <f>'数据-汇总表'!E6</f>
        <v>1804.5599999999995</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235</v>
      </c>
      <c r="D19" s="1036">
        <f>'数据-汇总表'!E3</f>
        <v>11757.189999999999</v>
      </c>
      <c r="E19" s="255">
        <f>'数据-取费表'!B31</f>
        <v>200</v>
      </c>
      <c r="F19" s="275"/>
      <c r="G19" s="1" t="s">
        <v>1070</v>
      </c>
    </row>
    <row r="20" spans="1:7" s="258" customFormat="1" ht="13.5" customHeight="1">
      <c r="A20" s="948" t="s">
        <v>1053</v>
      </c>
      <c r="B20" s="254" t="s">
        <v>104</v>
      </c>
      <c r="C20" s="276">
        <f>ROUND((C5+C19)*F20,0)</f>
        <v>417</v>
      </c>
      <c r="D20" s="276"/>
      <c r="E20" s="276"/>
      <c r="F20" s="277">
        <f>'数据-取费表'!B37</f>
        <v>0.02</v>
      </c>
      <c r="G20" s="1289" t="s">
        <v>1064</v>
      </c>
    </row>
    <row r="21" spans="1:7" s="258" customFormat="1" ht="13.5" customHeight="1">
      <c r="A21" s="948" t="s">
        <v>1055</v>
      </c>
      <c r="B21" s="254" t="s">
        <v>105</v>
      </c>
      <c r="C21" s="279">
        <f>F21</f>
        <v>0</v>
      </c>
      <c r="D21" s="280" t="s">
        <v>126</v>
      </c>
      <c r="E21" s="276"/>
      <c r="F21" s="277">
        <f>'数据-取费表'!B38</f>
        <v>0</v>
      </c>
      <c r="G21" s="278" t="s">
        <v>106</v>
      </c>
    </row>
    <row r="22" spans="1:7" s="258" customFormat="1" ht="13.5" customHeight="1">
      <c r="A22" s="948" t="s">
        <v>786</v>
      </c>
      <c r="B22" s="254" t="s">
        <v>107</v>
      </c>
      <c r="C22" s="1354">
        <f>ROUND(SUM(C23:C25),0)</f>
        <v>1652</v>
      </c>
      <c r="D22" s="279">
        <f>C26</f>
        <v>0</v>
      </c>
      <c r="E22" s="280" t="s">
        <v>126</v>
      </c>
      <c r="F22" s="281">
        <f>'数据-取费表'!B40</f>
        <v>3.85E-2</v>
      </c>
      <c r="G22" s="1289" t="str">
        <f>IF('数据-取费表'!B22&lt;=1,"单利计息","复利计息")</f>
        <v>复利计息</v>
      </c>
    </row>
    <row r="23" spans="1:7" s="258" customFormat="1" ht="13.5" customHeight="1">
      <c r="A23" s="951" t="s">
        <v>794</v>
      </c>
      <c r="B23" s="259" t="s">
        <v>1057</v>
      </c>
      <c r="C23" s="1355">
        <f>ROUND(IF('数据-取费表'!B22&lt;=1,C5*F22*'数据-取费表'!B23,C5*(POWER((1+F22),'数据-取费表'!B23)-1)),0)</f>
        <v>1618</v>
      </c>
      <c r="D23" s="282"/>
      <c r="E23" s="282"/>
      <c r="F23" s="283"/>
      <c r="G23" s="284" t="s">
        <v>108</v>
      </c>
    </row>
    <row r="24" spans="1:7" s="258" customFormat="1" ht="13.5" customHeight="1">
      <c r="A24" s="951" t="s">
        <v>792</v>
      </c>
      <c r="B24" s="259" t="s">
        <v>1052</v>
      </c>
      <c r="C24" s="1355">
        <f>ROUND(IF('数据-取费表'!B22&lt;=1,C19*F22*('数据-取费表'!B19/2+'数据-取费表'!B21),C19*(POWER((1+F22),('数据-取费表'!B19/2+'数据-取费表'!B21))-1)),0)</f>
        <v>18</v>
      </c>
      <c r="D24" s="282"/>
      <c r="E24" s="282"/>
      <c r="F24" s="283"/>
      <c r="G24" s="284" t="s">
        <v>109</v>
      </c>
    </row>
    <row r="25" spans="1:7" s="258" customFormat="1" ht="24">
      <c r="A25" s="951" t="s">
        <v>793</v>
      </c>
      <c r="B25" s="259" t="s">
        <v>1054</v>
      </c>
      <c r="C25" s="1355">
        <f>ROUND(IF('数据-取费表'!B22&lt;=1,C20*F22*'数据-取费表'!B23/2,C20*(POWER((1+F22),'数据-取费表'!B23/2)-1)),0)</f>
        <v>16</v>
      </c>
      <c r="D25" s="282"/>
      <c r="E25" s="285"/>
      <c r="F25" s="283"/>
      <c r="G25" s="286" t="s">
        <v>110</v>
      </c>
    </row>
    <row r="26" spans="1:7" s="258" customFormat="1">
      <c r="A26" s="951" t="s">
        <v>795</v>
      </c>
      <c r="B26" s="259" t="s">
        <v>1056</v>
      </c>
      <c r="C26" s="282">
        <f>ROUND(IF('数据-取费表'!B22&lt;=1,F21*F22*'数据-取费表'!B23/2,F21*(POWER((1+F22),'数据-取费表'!B23/2)-1)),4)</f>
        <v>0</v>
      </c>
      <c r="D26" s="282"/>
      <c r="E26" s="285"/>
      <c r="F26" s="283"/>
      <c r="G26" s="287"/>
    </row>
    <row r="27" spans="1:7" s="258" customFormat="1" ht="24.75">
      <c r="A27" s="948" t="s">
        <v>787</v>
      </c>
      <c r="B27" s="288" t="s">
        <v>112</v>
      </c>
      <c r="C27" s="289">
        <f>C28</f>
        <v>638</v>
      </c>
      <c r="D27" s="279">
        <f>C29</f>
        <v>0</v>
      </c>
      <c r="E27" s="280" t="s">
        <v>126</v>
      </c>
      <c r="F27" s="290">
        <f>'数据-取费表'!Q16</f>
        <v>0.03</v>
      </c>
      <c r="G27" s="291" t="s">
        <v>1065</v>
      </c>
    </row>
    <row r="28" spans="1:7" s="258" customFormat="1" ht="13.5" customHeight="1">
      <c r="A28" s="951" t="s">
        <v>794</v>
      </c>
      <c r="B28" s="292" t="s">
        <v>1058</v>
      </c>
      <c r="C28" s="293">
        <f>ROUND((C5+C19+C20)*F27*'数据-取费表'!B21/'数据-取费表'!B20,0)</f>
        <v>638</v>
      </c>
      <c r="D28" s="279"/>
      <c r="E28" s="280"/>
      <c r="F28" s="290"/>
      <c r="G28" s="291"/>
    </row>
    <row r="29" spans="1:7" s="258" customFormat="1" ht="13.5" customHeight="1">
      <c r="A29" s="951" t="s">
        <v>792</v>
      </c>
      <c r="B29" s="292" t="s">
        <v>1059</v>
      </c>
      <c r="C29" s="282">
        <f>ROUND(C21*F27*'数据-取费表'!B21/'数据-取费表'!B20,4)</f>
        <v>0</v>
      </c>
      <c r="D29" s="279"/>
      <c r="E29" s="280"/>
      <c r="F29" s="290"/>
      <c r="G29" s="291"/>
    </row>
    <row r="30" spans="1:7" s="258" customFormat="1" ht="13.5" customHeight="1">
      <c r="A30" s="948" t="s">
        <v>788</v>
      </c>
      <c r="B30" s="254" t="s">
        <v>58</v>
      </c>
      <c r="C30" s="279">
        <f>F30</f>
        <v>0.09</v>
      </c>
      <c r="D30" s="280" t="s">
        <v>127</v>
      </c>
      <c r="E30" s="285"/>
      <c r="F30" s="281">
        <f>'数据-取费表'!B41</f>
        <v>0.09</v>
      </c>
      <c r="G30" s="278" t="s">
        <v>113</v>
      </c>
    </row>
    <row r="31" spans="1:7" ht="16.5" customHeight="1">
      <c r="A31" s="253">
        <v>1</v>
      </c>
      <c r="B31" s="254" t="s">
        <v>128</v>
      </c>
      <c r="C31" s="255">
        <f>ROUND((C5+C19+C20+C22+C27)/(1-C21-D22-D27-C30/(1+'数据-取费表'!B42)),0)</f>
        <v>25672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7176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6198</v>
      </c>
      <c r="D34" s="261"/>
      <c r="E34" s="264"/>
      <c r="F34" s="301">
        <f>IF('数据-取费表'!B24=0,1,'数据-取费表'!N16)</f>
        <v>1</v>
      </c>
      <c r="G34" s="263" t="s">
        <v>116</v>
      </c>
    </row>
    <row r="35" spans="1:7" ht="13.5" customHeight="1">
      <c r="A35" s="951" t="s">
        <v>796</v>
      </c>
      <c r="B35" s="259" t="s">
        <v>60</v>
      </c>
      <c r="C35" s="264">
        <f>ROUND(C34*F35,0)</f>
        <v>186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276</v>
      </c>
      <c r="D36" s="264"/>
      <c r="E36" s="264"/>
      <c r="F36" s="303">
        <f>'数据-取费表'!B34</f>
        <v>0.05</v>
      </c>
      <c r="G36" s="304" t="s">
        <v>62</v>
      </c>
    </row>
    <row r="37" spans="1:7" s="302" customFormat="1" ht="13.5" customHeight="1">
      <c r="A37" s="951" t="s">
        <v>798</v>
      </c>
      <c r="B37" s="259" t="s">
        <v>118</v>
      </c>
      <c r="C37" s="293">
        <f>ROUND(E37*D37*F34/10000,0)</f>
        <v>423</v>
      </c>
      <c r="D37" s="261">
        <f>'数据-汇总表'!E3</f>
        <v>11757.189999999999</v>
      </c>
      <c r="E37" s="293">
        <f>'数据-取费表'!B35</f>
        <v>360</v>
      </c>
      <c r="F37" s="303"/>
      <c r="G37" s="305" t="s">
        <v>119</v>
      </c>
    </row>
    <row r="38" spans="1:7" ht="13.5" customHeight="1">
      <c r="A38" s="951" t="s">
        <v>799</v>
      </c>
      <c r="B38" s="259" t="s">
        <v>63</v>
      </c>
      <c r="C38" s="264">
        <f>ROUND(C34*F38,0)</f>
        <v>93</v>
      </c>
      <c r="D38" s="264"/>
      <c r="E38" s="264"/>
      <c r="F38" s="303">
        <f>'数据-取费表'!B36</f>
        <v>1.4999999999999999E-2</v>
      </c>
      <c r="G38" s="263" t="s">
        <v>117</v>
      </c>
    </row>
    <row r="39" spans="1:7" s="258" customFormat="1" ht="13.5" customHeight="1">
      <c r="A39" s="948" t="s">
        <v>783</v>
      </c>
      <c r="B39" s="254" t="s">
        <v>104</v>
      </c>
      <c r="C39" s="276">
        <f>ROUND(C33*F20,0)</f>
        <v>144</v>
      </c>
      <c r="D39" s="276"/>
      <c r="E39" s="276"/>
      <c r="F39" s="277"/>
      <c r="G39" s="1289" t="s">
        <v>1067</v>
      </c>
    </row>
    <row r="40" spans="1:7" s="258" customFormat="1" ht="13.5" customHeight="1">
      <c r="A40" s="948" t="s">
        <v>784</v>
      </c>
      <c r="B40" s="254" t="s">
        <v>105</v>
      </c>
      <c r="C40" s="306">
        <f>F21</f>
        <v>0</v>
      </c>
      <c r="D40" s="280" t="s">
        <v>129</v>
      </c>
      <c r="E40" s="276"/>
      <c r="F40" s="277"/>
      <c r="G40" s="278" t="s">
        <v>120</v>
      </c>
    </row>
    <row r="41" spans="1:7" s="258" customFormat="1" ht="13.5" customHeight="1">
      <c r="A41" s="948" t="s">
        <v>785</v>
      </c>
      <c r="B41" s="254" t="s">
        <v>107</v>
      </c>
      <c r="C41" s="276">
        <f>ROUND(SUM(C42:C43),0)</f>
        <v>282</v>
      </c>
      <c r="D41" s="279">
        <f>C44</f>
        <v>0</v>
      </c>
      <c r="E41" s="280" t="s">
        <v>129</v>
      </c>
      <c r="F41" s="281"/>
      <c r="G41" s="1289" t="str">
        <f>IF('数据-取费表'!B22&lt;=1,"单利计息","复利计息")</f>
        <v>复利计息</v>
      </c>
    </row>
    <row r="42" spans="1:7" ht="13.5" customHeight="1">
      <c r="A42" s="951" t="s">
        <v>794</v>
      </c>
      <c r="B42" s="259" t="s">
        <v>1057</v>
      </c>
      <c r="C42" s="282">
        <f>ROUND(IF('数据-取费表'!B22&lt;=1,C33*F22*'数据-取费表'!B21/2,C33*(POWER((1+F22),'数据-取费表'!B21/2)-1)),0)</f>
        <v>276</v>
      </c>
      <c r="D42" s="282"/>
      <c r="E42" s="282"/>
      <c r="F42" s="283"/>
      <c r="G42" s="3438" t="s">
        <v>121</v>
      </c>
    </row>
    <row r="43" spans="1:7" ht="13.5" customHeight="1">
      <c r="A43" s="951" t="s">
        <v>792</v>
      </c>
      <c r="B43" s="259" t="s">
        <v>1060</v>
      </c>
      <c r="C43" s="282">
        <f>ROUND(IF('数据-取费表'!B22&lt;=1,C39*F22*'数据-取费表'!B21/2,C39*(POWER((1+F22),'数据-取费表'!B21/2)-1)),0)</f>
        <v>6</v>
      </c>
      <c r="D43" s="282"/>
      <c r="E43" s="282"/>
      <c r="F43" s="283"/>
      <c r="G43" s="3439"/>
    </row>
    <row r="44" spans="1:7" ht="13.5" customHeight="1">
      <c r="A44" s="951" t="s">
        <v>793</v>
      </c>
      <c r="B44" s="259" t="s">
        <v>1062</v>
      </c>
      <c r="C44" s="282">
        <f>ROUND(IF('数据-取费表'!B22&lt;=1,C40*F22*'数据-取费表'!B21/2,C40*(POWER((1+F22),'数据-取费表'!B21/2)-1)),4)</f>
        <v>0</v>
      </c>
      <c r="D44" s="282"/>
      <c r="E44" s="282"/>
      <c r="F44" s="283"/>
      <c r="G44" s="3440"/>
    </row>
    <row r="45" spans="1:7" s="258" customFormat="1" ht="13.5" customHeight="1">
      <c r="A45" s="948" t="s">
        <v>786</v>
      </c>
      <c r="B45" s="288" t="s">
        <v>112</v>
      </c>
      <c r="C45" s="289">
        <f>C46</f>
        <v>220</v>
      </c>
      <c r="D45" s="279">
        <f>C47</f>
        <v>0</v>
      </c>
      <c r="E45" s="280" t="s">
        <v>129</v>
      </c>
      <c r="F45" s="290"/>
      <c r="G45" s="291" t="s">
        <v>1068</v>
      </c>
    </row>
    <row r="46" spans="1:7" s="258" customFormat="1" ht="13.5" customHeight="1">
      <c r="A46" s="951" t="s">
        <v>794</v>
      </c>
      <c r="B46" s="292" t="s">
        <v>1061</v>
      </c>
      <c r="C46" s="293">
        <f>ROUND((C33+C39)*F27,0)</f>
        <v>220</v>
      </c>
      <c r="D46" s="307"/>
      <c r="E46" s="280"/>
      <c r="F46" s="290"/>
      <c r="G46" s="291"/>
    </row>
    <row r="47" spans="1:7" s="258" customFormat="1" ht="13.5" customHeight="1">
      <c r="A47" s="951" t="s">
        <v>792</v>
      </c>
      <c r="B47" s="292" t="s">
        <v>1063</v>
      </c>
      <c r="C47" s="282">
        <f>ROUND(C40*F27,4)</f>
        <v>0</v>
      </c>
      <c r="D47" s="307"/>
      <c r="E47" s="280"/>
      <c r="F47" s="290"/>
      <c r="G47" s="291"/>
    </row>
    <row r="48" spans="1:7" s="258" customFormat="1" ht="13.5" customHeight="1">
      <c r="A48" s="948" t="s">
        <v>787</v>
      </c>
      <c r="B48" s="254" t="s">
        <v>122</v>
      </c>
      <c r="C48" s="306">
        <f>F30</f>
        <v>0.09</v>
      </c>
      <c r="D48" s="280" t="s">
        <v>130</v>
      </c>
      <c r="E48" s="276"/>
      <c r="F48" s="281"/>
      <c r="G48" s="278" t="s">
        <v>123</v>
      </c>
    </row>
    <row r="49" spans="1:7" ht="16.5" customHeight="1">
      <c r="A49" s="948" t="s">
        <v>788</v>
      </c>
      <c r="B49" s="254" t="s">
        <v>131</v>
      </c>
      <c r="C49" s="276">
        <f>ROUND((C33+C39+C41+C45)/(1-C40-D41-D45-C48/(1+'数据-取费表'!B42)),0)</f>
        <v>8526</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ROUND(C49*F50,0)</f>
        <v>8526</v>
      </c>
      <c r="D51" s="276"/>
      <c r="E51" s="276"/>
      <c r="F51" s="308"/>
      <c r="G51" s="278" t="s">
        <v>64</v>
      </c>
    </row>
    <row r="52" spans="1:7" s="252" customFormat="1" ht="16.5" thickBot="1">
      <c r="A52" s="309" t="s">
        <v>65</v>
      </c>
      <c r="B52" s="310"/>
      <c r="C52" s="311">
        <f>C31+C51</f>
        <v>34198</v>
      </c>
      <c r="D52" s="310"/>
      <c r="E52" s="310"/>
      <c r="F52" s="310"/>
      <c r="G52" s="312"/>
    </row>
    <row r="55" spans="1:7" ht="15">
      <c r="B55" s="314" t="s">
        <v>66</v>
      </c>
      <c r="C55" s="315"/>
    </row>
    <row r="56" spans="1:7">
      <c r="B56" s="317" t="s">
        <v>67</v>
      </c>
      <c r="C56" s="318">
        <f>ROUND(C51/C52,3)</f>
        <v>0.249</v>
      </c>
    </row>
    <row r="57" spans="1:7">
      <c r="B57" s="317" t="s">
        <v>68</v>
      </c>
      <c r="C57" s="319">
        <f>1-C56</f>
        <v>0.751</v>
      </c>
    </row>
  </sheetData>
  <mergeCells count="1">
    <mergeCell ref="G42:G44"/>
  </mergeCells>
  <phoneticPr fontId="19" type="noConversion"/>
  <dataValidations count="2">
    <dataValidation type="list" allowBlank="1" showInputMessage="1" showErrorMessage="1" sqref="G19" xr:uid="{00000000-0002-0000-3300-000000000000}">
      <formula1>"已包含在土地取得成本中,未包含在土地取得成本中"</formula1>
    </dataValidation>
    <dataValidation type="list" allowBlank="1" showInputMessage="1" showErrorMessage="1" sqref="G8" xr:uid="{00000000-0002-0000-33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S344"/>
  <sheetViews>
    <sheetView workbookViewId="0">
      <selection activeCell="G224" sqref="G224"/>
    </sheetView>
  </sheetViews>
  <sheetFormatPr defaultColWidth="9" defaultRowHeight="13.5"/>
  <cols>
    <col min="1" max="1" width="12.625" style="855" customWidth="1"/>
    <col min="2" max="5" width="10.125" style="813" customWidth="1"/>
    <col min="6" max="6" width="9" style="813"/>
    <col min="7" max="8" width="9" style="828"/>
    <col min="9" max="16384" width="9" style="813"/>
  </cols>
  <sheetData>
    <row r="1" spans="1:19">
      <c r="A1" s="3572" t="s">
        <v>156</v>
      </c>
      <c r="B1" s="3572"/>
      <c r="C1" s="3572"/>
      <c r="D1" s="3572"/>
      <c r="E1" s="3572"/>
      <c r="F1" s="357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573" t="s">
        <v>169</v>
      </c>
      <c r="B2" s="3573"/>
      <c r="C2" s="3573"/>
      <c r="D2" s="3573"/>
      <c r="E2" s="3573"/>
      <c r="F2" s="357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57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57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344"/>
  <sheetViews>
    <sheetView workbookViewId="0">
      <selection activeCell="F6" sqref="F6"/>
    </sheetView>
  </sheetViews>
  <sheetFormatPr defaultColWidth="8.875" defaultRowHeight="13.5"/>
  <cols>
    <col min="1" max="1" width="12.625" style="855" customWidth="1"/>
    <col min="2" max="2" width="10.125" style="813" customWidth="1"/>
  </cols>
  <sheetData>
    <row r="1" spans="1:6">
      <c r="A1" s="3572" t="s">
        <v>867</v>
      </c>
      <c r="B1" s="357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24.75" thickBot="1">
      <c r="A72" s="840" t="s">
        <v>137</v>
      </c>
      <c r="B72" s="834" t="s">
        <v>881</v>
      </c>
      <c r="C72" s="1077"/>
      <c r="D72" s="1077"/>
      <c r="E72" s="1077"/>
      <c r="F72" s="1065">
        <v>0.05</v>
      </c>
    </row>
    <row r="73" spans="1:6" ht="24.75" thickBot="1">
      <c r="A73" s="840" t="s">
        <v>137</v>
      </c>
      <c r="B73" s="834" t="s">
        <v>882</v>
      </c>
      <c r="C73" s="1077"/>
      <c r="D73" s="1077"/>
      <c r="E73" s="1077"/>
      <c r="F73" s="1065">
        <v>0.05</v>
      </c>
    </row>
    <row r="74" spans="1:6" ht="24.75" thickBot="1">
      <c r="A74" s="840" t="s">
        <v>137</v>
      </c>
      <c r="B74" s="834" t="s">
        <v>883</v>
      </c>
      <c r="C74" s="1077"/>
      <c r="D74" s="1077"/>
      <c r="E74" s="1077"/>
      <c r="F74" s="1065">
        <v>0.05</v>
      </c>
    </row>
    <row r="75" spans="1:6" ht="24.7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24.7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24.7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63"/>
  <sheetViews>
    <sheetView workbookViewId="0">
      <selection activeCell="I1" sqref="I1"/>
    </sheetView>
  </sheetViews>
  <sheetFormatPr defaultColWidth="8.875" defaultRowHeight="13.5"/>
  <cols>
    <col min="1" max="1" width="4.875" style="1638" customWidth="1"/>
    <col min="2" max="2" width="13.1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125" style="1644" customWidth="1"/>
    <col min="9" max="9" width="9" style="1644"/>
    <col min="10" max="10" width="9.375" style="1644" bestFit="1" customWidth="1"/>
    <col min="11" max="11" width="4" style="1638" customWidth="1"/>
    <col min="12" max="12" width="5.125" style="1644" customWidth="1"/>
    <col min="13" max="13" width="13.875" style="1644" customWidth="1"/>
    <col min="14" max="256" width="9" style="1644"/>
    <col min="257" max="257" width="4.875" style="1635" customWidth="1"/>
    <col min="258" max="258" width="13.1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875" style="1635" customWidth="1"/>
    <col min="270" max="512" width="9" style="1635"/>
    <col min="513" max="513" width="4.875" style="1635" customWidth="1"/>
    <col min="514" max="514" width="13.1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875" style="1635" customWidth="1"/>
    <col min="526" max="768" width="9" style="1635"/>
    <col min="769" max="769" width="4.875" style="1635" customWidth="1"/>
    <col min="770" max="770" width="13.1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875" style="1635" customWidth="1"/>
    <col min="782" max="1024" width="9" style="1635"/>
    <col min="1025" max="1025" width="4.875" style="1635" customWidth="1"/>
    <col min="1026" max="1026" width="13.1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875" style="1635" customWidth="1"/>
    <col min="1038" max="1280" width="9" style="1635"/>
    <col min="1281" max="1281" width="4.875" style="1635" customWidth="1"/>
    <col min="1282" max="1282" width="13.1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875" style="1635" customWidth="1"/>
    <col min="1294" max="1536" width="9" style="1635"/>
    <col min="1537" max="1537" width="4.875" style="1635" customWidth="1"/>
    <col min="1538" max="1538" width="13.1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875" style="1635" customWidth="1"/>
    <col min="1550" max="1792" width="9" style="1635"/>
    <col min="1793" max="1793" width="4.875" style="1635" customWidth="1"/>
    <col min="1794" max="1794" width="13.1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875" style="1635" customWidth="1"/>
    <col min="1806" max="2048" width="9" style="1635"/>
    <col min="2049" max="2049" width="4.875" style="1635" customWidth="1"/>
    <col min="2050" max="2050" width="13.1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875" style="1635" customWidth="1"/>
    <col min="2062" max="2304" width="9" style="1635"/>
    <col min="2305" max="2305" width="4.875" style="1635" customWidth="1"/>
    <col min="2306" max="2306" width="13.1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875" style="1635" customWidth="1"/>
    <col min="2318" max="2560" width="9" style="1635"/>
    <col min="2561" max="2561" width="4.875" style="1635" customWidth="1"/>
    <col min="2562" max="2562" width="13.1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875" style="1635" customWidth="1"/>
    <col min="2574" max="2816" width="9" style="1635"/>
    <col min="2817" max="2817" width="4.875" style="1635" customWidth="1"/>
    <col min="2818" max="2818" width="13.1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875" style="1635" customWidth="1"/>
    <col min="2830" max="3072" width="9" style="1635"/>
    <col min="3073" max="3073" width="4.875" style="1635" customWidth="1"/>
    <col min="3074" max="3074" width="13.1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875" style="1635" customWidth="1"/>
    <col min="3086" max="3328" width="9" style="1635"/>
    <col min="3329" max="3329" width="4.875" style="1635" customWidth="1"/>
    <col min="3330" max="3330" width="13.1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875" style="1635" customWidth="1"/>
    <col min="3342" max="3584" width="9" style="1635"/>
    <col min="3585" max="3585" width="4.875" style="1635" customWidth="1"/>
    <col min="3586" max="3586" width="13.1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875" style="1635" customWidth="1"/>
    <col min="3598" max="3840" width="9" style="1635"/>
    <col min="3841" max="3841" width="4.875" style="1635" customWidth="1"/>
    <col min="3842" max="3842" width="13.1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875" style="1635" customWidth="1"/>
    <col min="3854" max="4096" width="9" style="1635"/>
    <col min="4097" max="4097" width="4.875" style="1635" customWidth="1"/>
    <col min="4098" max="4098" width="13.1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875" style="1635" customWidth="1"/>
    <col min="4110" max="4352" width="9" style="1635"/>
    <col min="4353" max="4353" width="4.875" style="1635" customWidth="1"/>
    <col min="4354" max="4354" width="13.1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875" style="1635" customWidth="1"/>
    <col min="4366" max="4608" width="9" style="1635"/>
    <col min="4609" max="4609" width="4.875" style="1635" customWidth="1"/>
    <col min="4610" max="4610" width="13.1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875" style="1635" customWidth="1"/>
    <col min="4622" max="4864" width="9" style="1635"/>
    <col min="4865" max="4865" width="4.875" style="1635" customWidth="1"/>
    <col min="4866" max="4866" width="13.1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875" style="1635" customWidth="1"/>
    <col min="4878" max="5120" width="9" style="1635"/>
    <col min="5121" max="5121" width="4.875" style="1635" customWidth="1"/>
    <col min="5122" max="5122" width="13.1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875" style="1635" customWidth="1"/>
    <col min="5134" max="5376" width="9" style="1635"/>
    <col min="5377" max="5377" width="4.875" style="1635" customWidth="1"/>
    <col min="5378" max="5378" width="13.1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875" style="1635" customWidth="1"/>
    <col min="5390" max="5632" width="9" style="1635"/>
    <col min="5633" max="5633" width="4.875" style="1635" customWidth="1"/>
    <col min="5634" max="5634" width="13.1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875" style="1635" customWidth="1"/>
    <col min="5646" max="5888" width="9" style="1635"/>
    <col min="5889" max="5889" width="4.875" style="1635" customWidth="1"/>
    <col min="5890" max="5890" width="13.1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875" style="1635" customWidth="1"/>
    <col min="5902" max="6144" width="9" style="1635"/>
    <col min="6145" max="6145" width="4.875" style="1635" customWidth="1"/>
    <col min="6146" max="6146" width="13.1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875" style="1635" customWidth="1"/>
    <col min="6158" max="6400" width="9" style="1635"/>
    <col min="6401" max="6401" width="4.875" style="1635" customWidth="1"/>
    <col min="6402" max="6402" width="13.1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875" style="1635" customWidth="1"/>
    <col min="6414" max="6656" width="9" style="1635"/>
    <col min="6657" max="6657" width="4.875" style="1635" customWidth="1"/>
    <col min="6658" max="6658" width="13.1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875" style="1635" customWidth="1"/>
    <col min="6670" max="6912" width="9" style="1635"/>
    <col min="6913" max="6913" width="4.875" style="1635" customWidth="1"/>
    <col min="6914" max="6914" width="13.1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875" style="1635" customWidth="1"/>
    <col min="6926" max="7168" width="9" style="1635"/>
    <col min="7169" max="7169" width="4.875" style="1635" customWidth="1"/>
    <col min="7170" max="7170" width="13.1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875" style="1635" customWidth="1"/>
    <col min="7182" max="7424" width="9" style="1635"/>
    <col min="7425" max="7425" width="4.875" style="1635" customWidth="1"/>
    <col min="7426" max="7426" width="13.1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875" style="1635" customWidth="1"/>
    <col min="7438" max="7680" width="9" style="1635"/>
    <col min="7681" max="7681" width="4.875" style="1635" customWidth="1"/>
    <col min="7682" max="7682" width="13.1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875" style="1635" customWidth="1"/>
    <col min="7694" max="7936" width="9" style="1635"/>
    <col min="7937" max="7937" width="4.875" style="1635" customWidth="1"/>
    <col min="7938" max="7938" width="13.1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875" style="1635" customWidth="1"/>
    <col min="7950" max="8192" width="9" style="1635"/>
    <col min="8193" max="8193" width="4.875" style="1635" customWidth="1"/>
    <col min="8194" max="8194" width="13.1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875" style="1635" customWidth="1"/>
    <col min="8206" max="8448" width="9" style="1635"/>
    <col min="8449" max="8449" width="4.875" style="1635" customWidth="1"/>
    <col min="8450" max="8450" width="13.1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875" style="1635" customWidth="1"/>
    <col min="8462" max="8704" width="9" style="1635"/>
    <col min="8705" max="8705" width="4.875" style="1635" customWidth="1"/>
    <col min="8706" max="8706" width="13.1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875" style="1635" customWidth="1"/>
    <col min="8718" max="8960" width="9" style="1635"/>
    <col min="8961" max="8961" width="4.875" style="1635" customWidth="1"/>
    <col min="8962" max="8962" width="13.1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875" style="1635" customWidth="1"/>
    <col min="8974" max="9216" width="9" style="1635"/>
    <col min="9217" max="9217" width="4.875" style="1635" customWidth="1"/>
    <col min="9218" max="9218" width="13.1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875" style="1635" customWidth="1"/>
    <col min="9230" max="9472" width="9" style="1635"/>
    <col min="9473" max="9473" width="4.875" style="1635" customWidth="1"/>
    <col min="9474" max="9474" width="13.1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875" style="1635" customWidth="1"/>
    <col min="9486" max="9728" width="9" style="1635"/>
    <col min="9729" max="9729" width="4.875" style="1635" customWidth="1"/>
    <col min="9730" max="9730" width="13.1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875" style="1635" customWidth="1"/>
    <col min="9742" max="9984" width="9" style="1635"/>
    <col min="9985" max="9985" width="4.875" style="1635" customWidth="1"/>
    <col min="9986" max="9986" width="13.1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875" style="1635" customWidth="1"/>
    <col min="9998" max="10240" width="9" style="1635"/>
    <col min="10241" max="10241" width="4.875" style="1635" customWidth="1"/>
    <col min="10242" max="10242" width="13.1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875" style="1635" customWidth="1"/>
    <col min="10254" max="10496" width="9" style="1635"/>
    <col min="10497" max="10497" width="4.875" style="1635" customWidth="1"/>
    <col min="10498" max="10498" width="13.1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875" style="1635" customWidth="1"/>
    <col min="10510" max="10752" width="9" style="1635"/>
    <col min="10753" max="10753" width="4.875" style="1635" customWidth="1"/>
    <col min="10754" max="10754" width="13.1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875" style="1635" customWidth="1"/>
    <col min="10766" max="11008" width="9" style="1635"/>
    <col min="11009" max="11009" width="4.875" style="1635" customWidth="1"/>
    <col min="11010" max="11010" width="13.1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875" style="1635" customWidth="1"/>
    <col min="11022" max="11264" width="9" style="1635"/>
    <col min="11265" max="11265" width="4.875" style="1635" customWidth="1"/>
    <col min="11266" max="11266" width="13.1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875" style="1635" customWidth="1"/>
    <col min="11278" max="11520" width="9" style="1635"/>
    <col min="11521" max="11521" width="4.875" style="1635" customWidth="1"/>
    <col min="11522" max="11522" width="13.1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875" style="1635" customWidth="1"/>
    <col min="11534" max="11776" width="9" style="1635"/>
    <col min="11777" max="11777" width="4.875" style="1635" customWidth="1"/>
    <col min="11778" max="11778" width="13.1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875" style="1635" customWidth="1"/>
    <col min="11790" max="12032" width="9" style="1635"/>
    <col min="12033" max="12033" width="4.875" style="1635" customWidth="1"/>
    <col min="12034" max="12034" width="13.1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875" style="1635" customWidth="1"/>
    <col min="12046" max="12288" width="9" style="1635"/>
    <col min="12289" max="12289" width="4.875" style="1635" customWidth="1"/>
    <col min="12290" max="12290" width="13.1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875" style="1635" customWidth="1"/>
    <col min="12302" max="12544" width="9" style="1635"/>
    <col min="12545" max="12545" width="4.875" style="1635" customWidth="1"/>
    <col min="12546" max="12546" width="13.1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875" style="1635" customWidth="1"/>
    <col min="12558" max="12800" width="9" style="1635"/>
    <col min="12801" max="12801" width="4.875" style="1635" customWidth="1"/>
    <col min="12802" max="12802" width="13.1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875" style="1635" customWidth="1"/>
    <col min="12814" max="13056" width="9" style="1635"/>
    <col min="13057" max="13057" width="4.875" style="1635" customWidth="1"/>
    <col min="13058" max="13058" width="13.1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875" style="1635" customWidth="1"/>
    <col min="13070" max="13312" width="9" style="1635"/>
    <col min="13313" max="13313" width="4.875" style="1635" customWidth="1"/>
    <col min="13314" max="13314" width="13.1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875" style="1635" customWidth="1"/>
    <col min="13326" max="13568" width="9" style="1635"/>
    <col min="13569" max="13569" width="4.875" style="1635" customWidth="1"/>
    <col min="13570" max="13570" width="13.1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875" style="1635" customWidth="1"/>
    <col min="13582" max="13824" width="9" style="1635"/>
    <col min="13825" max="13825" width="4.875" style="1635" customWidth="1"/>
    <col min="13826" max="13826" width="13.1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875" style="1635" customWidth="1"/>
    <col min="13838" max="14080" width="9" style="1635"/>
    <col min="14081" max="14081" width="4.875" style="1635" customWidth="1"/>
    <col min="14082" max="14082" width="13.1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875" style="1635" customWidth="1"/>
    <col min="14094" max="14336" width="9" style="1635"/>
    <col min="14337" max="14337" width="4.875" style="1635" customWidth="1"/>
    <col min="14338" max="14338" width="13.1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875" style="1635" customWidth="1"/>
    <col min="14350" max="14592" width="9" style="1635"/>
    <col min="14593" max="14593" width="4.875" style="1635" customWidth="1"/>
    <col min="14594" max="14594" width="13.1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875" style="1635" customWidth="1"/>
    <col min="14606" max="14848" width="9" style="1635"/>
    <col min="14849" max="14849" width="4.875" style="1635" customWidth="1"/>
    <col min="14850" max="14850" width="13.1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875" style="1635" customWidth="1"/>
    <col min="14862" max="15104" width="9" style="1635"/>
    <col min="15105" max="15105" width="4.875" style="1635" customWidth="1"/>
    <col min="15106" max="15106" width="13.1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875" style="1635" customWidth="1"/>
    <col min="15118" max="15360" width="9" style="1635"/>
    <col min="15361" max="15361" width="4.875" style="1635" customWidth="1"/>
    <col min="15362" max="15362" width="13.1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875" style="1635" customWidth="1"/>
    <col min="15374" max="15616" width="9" style="1635"/>
    <col min="15617" max="15617" width="4.875" style="1635" customWidth="1"/>
    <col min="15618" max="15618" width="13.1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875" style="1635" customWidth="1"/>
    <col min="15630" max="15872" width="9" style="1635"/>
    <col min="15873" max="15873" width="4.875" style="1635" customWidth="1"/>
    <col min="15874" max="15874" width="13.1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875" style="1635" customWidth="1"/>
    <col min="15886" max="16128" width="9" style="1635"/>
    <col min="16129" max="16129" width="4.875" style="1635" customWidth="1"/>
    <col min="16130" max="16130" width="13.1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875" style="1635" customWidth="1"/>
    <col min="16142" max="16384" width="9" style="1635"/>
  </cols>
  <sheetData>
    <row r="1" spans="1:257" s="1699" customFormat="1" ht="14.25" thickBot="1">
      <c r="A1" s="1693"/>
      <c r="B1" s="1700" t="s">
        <v>1295</v>
      </c>
      <c r="C1" s="1694">
        <f>项目基本情况!D3</f>
        <v>44425</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17"/>
  <sheetViews>
    <sheetView workbookViewId="0">
      <selection activeCell="K25" sqref="K25"/>
    </sheetView>
  </sheetViews>
  <sheetFormatPr defaultColWidth="8.875"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0" orientation="portrait" horizontalDpi="0" verticalDpi="0" copies="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12"/>
  <sheetViews>
    <sheetView workbookViewId="0">
      <selection activeCell="M14" sqref="M14"/>
    </sheetView>
  </sheetViews>
  <sheetFormatPr defaultRowHeight="13.5"/>
  <cols>
    <col min="2" max="2" width="11.125" bestFit="1" customWidth="1"/>
    <col min="3" max="3" width="10.625" customWidth="1"/>
    <col min="4" max="4" width="10" bestFit="1" customWidth="1"/>
    <col min="5" max="6" width="8.875" bestFit="1" customWidth="1"/>
    <col min="7" max="7" width="10" bestFit="1" customWidth="1"/>
    <col min="8" max="8" width="12" customWidth="1"/>
    <col min="9" max="9" width="10" bestFit="1" customWidth="1"/>
  </cols>
  <sheetData>
    <row r="1" spans="1:9" ht="15">
      <c r="A1" s="3307" t="s">
        <v>3289</v>
      </c>
      <c r="B1" s="3307" t="s">
        <v>3290</v>
      </c>
      <c r="C1" s="3307"/>
      <c r="D1" s="3307"/>
      <c r="E1" s="3307"/>
      <c r="F1" s="3307"/>
      <c r="G1" s="3307" t="s">
        <v>3291</v>
      </c>
      <c r="H1" s="3307"/>
      <c r="I1" s="3307"/>
    </row>
    <row r="2" spans="1:9" ht="42.75">
      <c r="A2" s="3307"/>
      <c r="B2" s="3205" t="s">
        <v>3292</v>
      </c>
      <c r="C2" s="3205" t="s">
        <v>3293</v>
      </c>
      <c r="D2" s="3205" t="s">
        <v>3294</v>
      </c>
      <c r="E2" s="3205" t="s">
        <v>3295</v>
      </c>
      <c r="F2" s="3205" t="s">
        <v>3296</v>
      </c>
      <c r="G2" s="3205" t="s">
        <v>3297</v>
      </c>
      <c r="H2" s="3205" t="s">
        <v>3298</v>
      </c>
      <c r="I2" s="3205" t="s">
        <v>3299</v>
      </c>
    </row>
    <row r="3" spans="1:9" ht="15">
      <c r="A3" s="3205" t="s">
        <v>3288</v>
      </c>
      <c r="B3" s="3205">
        <v>5783.53</v>
      </c>
      <c r="C3" s="3205" t="s">
        <v>3284</v>
      </c>
      <c r="D3" s="3205" t="s">
        <v>3284</v>
      </c>
      <c r="E3" s="3205" t="s">
        <v>3284</v>
      </c>
      <c r="F3" s="3205" t="s">
        <v>3284</v>
      </c>
      <c r="G3" s="3307">
        <v>5372.47</v>
      </c>
      <c r="H3" s="3205">
        <v>478.66</v>
      </c>
      <c r="I3" s="3205" t="s">
        <v>3285</v>
      </c>
    </row>
    <row r="4" spans="1:9" ht="15">
      <c r="A4" s="3205" t="s">
        <v>3286</v>
      </c>
      <c r="B4" s="3205">
        <v>5807.95</v>
      </c>
      <c r="C4" s="3205" t="s">
        <v>3284</v>
      </c>
      <c r="D4" s="3205" t="s">
        <v>3284</v>
      </c>
      <c r="E4" s="3205" t="s">
        <v>3284</v>
      </c>
      <c r="F4" s="3205" t="s">
        <v>3284</v>
      </c>
      <c r="G4" s="3307"/>
      <c r="H4" s="3205">
        <v>471</v>
      </c>
      <c r="I4" s="3205" t="s">
        <v>3285</v>
      </c>
    </row>
    <row r="5" spans="1:9" ht="15">
      <c r="A5" s="3205" t="s">
        <v>3287</v>
      </c>
      <c r="B5" s="3205">
        <v>5269.79</v>
      </c>
      <c r="C5" s="3205" t="s">
        <v>3284</v>
      </c>
      <c r="D5" s="3205" t="s">
        <v>3284</v>
      </c>
      <c r="E5" s="3205" t="s">
        <v>3284</v>
      </c>
      <c r="F5" s="3205" t="s">
        <v>3284</v>
      </c>
      <c r="G5" s="3307"/>
      <c r="H5" s="3205">
        <v>556.34</v>
      </c>
      <c r="I5" s="3205" t="s">
        <v>3285</v>
      </c>
    </row>
    <row r="6" spans="1:9" ht="15">
      <c r="A6" s="3205" t="s">
        <v>3274</v>
      </c>
      <c r="B6" s="3205">
        <v>8444.6</v>
      </c>
      <c r="C6" s="3205" t="s">
        <v>3284</v>
      </c>
      <c r="D6" s="3205" t="s">
        <v>3284</v>
      </c>
      <c r="E6" s="3205" t="s">
        <v>3284</v>
      </c>
      <c r="F6" s="3205" t="s">
        <v>3284</v>
      </c>
      <c r="G6" s="3307"/>
      <c r="H6" s="3205">
        <v>111.03</v>
      </c>
      <c r="I6" s="3205" t="s">
        <v>3285</v>
      </c>
    </row>
    <row r="7" spans="1:9" ht="15">
      <c r="A7" s="3205" t="s">
        <v>3275</v>
      </c>
      <c r="B7" s="3205">
        <v>4749.8900000000003</v>
      </c>
      <c r="C7" s="3205" t="s">
        <v>3284</v>
      </c>
      <c r="D7" s="3205" t="s">
        <v>3284</v>
      </c>
      <c r="E7" s="3205" t="s">
        <v>3284</v>
      </c>
      <c r="F7" s="3205" t="s">
        <v>3284</v>
      </c>
      <c r="G7" s="3307"/>
      <c r="H7" s="3205" t="s">
        <v>3284</v>
      </c>
      <c r="I7" s="3205" t="s">
        <v>3285</v>
      </c>
    </row>
    <row r="8" spans="1:9" ht="15">
      <c r="A8" s="3205" t="s">
        <v>3276</v>
      </c>
      <c r="B8" s="3205">
        <v>7491.36</v>
      </c>
      <c r="C8" s="3205" t="s">
        <v>3284</v>
      </c>
      <c r="D8" s="3205" t="s">
        <v>3284</v>
      </c>
      <c r="E8" s="3205" t="s">
        <v>3284</v>
      </c>
      <c r="F8" s="3205" t="s">
        <v>3284</v>
      </c>
      <c r="G8" s="3307"/>
      <c r="H8" s="3205">
        <v>292.74</v>
      </c>
      <c r="I8" s="3205" t="s">
        <v>3285</v>
      </c>
    </row>
    <row r="9" spans="1:9" ht="15">
      <c r="A9" s="3205" t="s">
        <v>3277</v>
      </c>
      <c r="B9" s="3205">
        <v>9952.6299999999992</v>
      </c>
      <c r="C9" s="3205">
        <v>72.33</v>
      </c>
      <c r="D9" s="3205" t="s">
        <v>3284</v>
      </c>
      <c r="E9" s="3205" t="s">
        <v>3284</v>
      </c>
      <c r="F9" s="3205" t="s">
        <v>3284</v>
      </c>
      <c r="G9" s="3307"/>
      <c r="H9" s="3205" t="s">
        <v>3284</v>
      </c>
      <c r="I9" s="3205">
        <v>1133.31</v>
      </c>
    </row>
    <row r="10" spans="1:9" ht="15">
      <c r="A10" s="3205" t="s">
        <v>3278</v>
      </c>
      <c r="B10" s="3205" t="s">
        <v>3284</v>
      </c>
      <c r="C10" s="3205" t="s">
        <v>3284</v>
      </c>
      <c r="D10" s="3205">
        <v>1009.44</v>
      </c>
      <c r="E10" s="3205">
        <v>101.89</v>
      </c>
      <c r="F10" s="3205">
        <v>20.170000000000002</v>
      </c>
      <c r="G10" s="3307"/>
      <c r="H10" s="3205" t="s">
        <v>3284</v>
      </c>
      <c r="I10" s="3205" t="s">
        <v>3285</v>
      </c>
    </row>
    <row r="11" spans="1:9" ht="15">
      <c r="A11" s="3205" t="s">
        <v>3300</v>
      </c>
      <c r="B11" s="3205">
        <f>SUM(B3:B10)</f>
        <v>47499.75</v>
      </c>
      <c r="C11" s="3205">
        <f t="shared" ref="C11:I11" si="0">SUM(C3:C10)</f>
        <v>72.33</v>
      </c>
      <c r="D11" s="3205">
        <f t="shared" si="0"/>
        <v>1009.44</v>
      </c>
      <c r="E11" s="3205">
        <f t="shared" si="0"/>
        <v>101.89</v>
      </c>
      <c r="F11" s="3205">
        <f t="shared" si="0"/>
        <v>20.170000000000002</v>
      </c>
      <c r="G11" s="3205">
        <f t="shared" si="0"/>
        <v>5372.47</v>
      </c>
      <c r="H11" s="3205">
        <f t="shared" si="0"/>
        <v>1909.77</v>
      </c>
      <c r="I11" s="3205">
        <f t="shared" si="0"/>
        <v>1133.31</v>
      </c>
    </row>
    <row r="12" spans="1:9" ht="14.25">
      <c r="A12" s="3206" t="s">
        <v>3301</v>
      </c>
      <c r="B12" s="3306">
        <f>SUM(B11:F11)</f>
        <v>48703.58</v>
      </c>
      <c r="C12" s="3306"/>
      <c r="D12" s="3306"/>
      <c r="E12" s="3306"/>
      <c r="F12" s="3306"/>
      <c r="G12" s="3306">
        <f>SUM(G11:I11)</f>
        <v>8415.5499999999993</v>
      </c>
      <c r="H12" s="3306"/>
      <c r="I12" s="3306"/>
    </row>
  </sheetData>
  <mergeCells count="6">
    <mergeCell ref="A1:A2"/>
    <mergeCell ref="B12:F12"/>
    <mergeCell ref="G12:I12"/>
    <mergeCell ref="G3:G10"/>
    <mergeCell ref="B1:F1"/>
    <mergeCell ref="G1:I1"/>
  </mergeCells>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243" t="s">
        <v>1656</v>
      </c>
      <c r="B1" s="3243"/>
      <c r="C1" s="3243"/>
      <c r="D1" s="3243"/>
    </row>
    <row r="2" spans="1:4" ht="18">
      <c r="A2" s="3244" t="s">
        <v>1640</v>
      </c>
      <c r="B2" s="3244"/>
      <c r="C2" s="3244"/>
      <c r="D2" s="3244"/>
    </row>
    <row r="3" spans="1:4" ht="18.75">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8">
      <c r="A6" s="3244" t="s">
        <v>1646</v>
      </c>
      <c r="B6" s="3244"/>
      <c r="C6" s="3244"/>
      <c r="D6" s="3244"/>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245" t="s">
        <v>1649</v>
      </c>
      <c r="B11" s="3237"/>
      <c r="C11" s="3237"/>
      <c r="D11" s="3237"/>
    </row>
    <row r="12" spans="1:4" ht="15.75">
      <c r="A12" s="32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2"/>
      <c r="C12" s="3242"/>
      <c r="D12" s="3242"/>
    </row>
    <row r="13" spans="1:4" ht="30" customHeight="1">
      <c r="A13" s="3237" t="str">
        <f>IF(项目基本情况!B8="抵押","3.抵押双方在办理抵押登记手续时，应使用本公司出具的正式《房地产评估报告》，特提醒报告使用者注意。","——")</f>
        <v>——</v>
      </c>
      <c r="B13" s="3242"/>
      <c r="C13" s="3242"/>
      <c r="D13" s="3242"/>
    </row>
    <row r="14" spans="1:4" ht="15.75" customHeight="1">
      <c r="A14" s="3237" t="str">
        <f>IF(项目基本情况!B8="抵押","4.本次评估估价师所知悉的法定优先受偿款情况说明如下：","——")</f>
        <v>——</v>
      </c>
      <c r="B14" s="3242"/>
      <c r="C14" s="3242"/>
      <c r="D14" s="3242"/>
    </row>
    <row r="15" spans="1:4" ht="42" customHeight="1">
      <c r="A15" s="3237" t="str">
        <f>IF(项目基本情况!B8="抵押","（1）"&amp;CONCATENATE(项目基本情况!L20,项目基本情况!L21,项目基本情况!L22),"——")</f>
        <v>——</v>
      </c>
      <c r="B15" s="3237"/>
      <c r="C15" s="3237"/>
      <c r="D15" s="3237"/>
    </row>
    <row r="16" spans="1:4" ht="30" customHeight="1">
      <c r="A16" s="3239" t="s">
        <v>1650</v>
      </c>
      <c r="B16" s="3239"/>
      <c r="C16" s="3239"/>
      <c r="D16" s="3239"/>
    </row>
    <row r="17" spans="1:4" ht="144" customHeight="1">
      <c r="A17" s="3239" t="s">
        <v>1651</v>
      </c>
      <c r="B17" s="3239"/>
      <c r="C17" s="3239"/>
      <c r="D17" s="3239"/>
    </row>
    <row r="18" spans="1:4" ht="15.75" customHeight="1">
      <c r="A18" s="3237" t="str">
        <f>IF(项目基本情况!B8="抵押",结果表!K120,"——")</f>
        <v>——</v>
      </c>
      <c r="B18" s="3237"/>
      <c r="C18" s="3237"/>
      <c r="D18" s="3237"/>
    </row>
    <row r="19" spans="1:4" ht="46.5" customHeight="1">
      <c r="A19" s="32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7"/>
      <c r="C19" s="3237"/>
      <c r="D19" s="3237"/>
    </row>
    <row r="20" spans="1:4" ht="57.75" customHeight="1">
      <c r="A20" s="32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7"/>
      <c r="C20" s="3237"/>
      <c r="D20" s="3237"/>
    </row>
    <row r="21" spans="1:4" ht="57.75" customHeight="1">
      <c r="A21" s="32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0"/>
      <c r="C21" s="3240"/>
      <c r="D21" s="3240"/>
    </row>
    <row r="22" spans="1:4" ht="18.75" customHeight="1">
      <c r="A22" s="3241" t="s">
        <v>1652</v>
      </c>
      <c r="B22" s="3241"/>
      <c r="C22" s="3241"/>
      <c r="D22" s="3241"/>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238">
        <v>42551</v>
      </c>
      <c r="D31" s="32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23" sqref="B23:C23"/>
      <selection pane="bottomLeft" activeCell="B23" sqref="B23:C23"/>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251" t="s">
        <v>1663</v>
      </c>
      <c r="B15" s="3246" t="s">
        <v>136</v>
      </c>
      <c r="C15" s="3247"/>
    </row>
    <row r="16" spans="1:7" ht="13.5">
      <c r="A16" s="3252"/>
      <c r="B16" s="3246" t="s">
        <v>69</v>
      </c>
      <c r="C16" s="3247"/>
    </row>
    <row r="17" spans="1:3" ht="13.5">
      <c r="A17" s="3252"/>
      <c r="B17" s="3249" t="s">
        <v>1664</v>
      </c>
      <c r="C17" s="1991" t="s">
        <v>1663</v>
      </c>
    </row>
    <row r="18" spans="1:3" ht="13.5">
      <c r="A18" s="3252"/>
      <c r="B18" s="3249"/>
      <c r="C18" s="1991" t="s">
        <v>1665</v>
      </c>
    </row>
    <row r="19" spans="1:3" ht="13.5">
      <c r="A19" s="3252"/>
      <c r="B19" s="3249"/>
      <c r="C19" s="1991" t="s">
        <v>1666</v>
      </c>
    </row>
    <row r="20" spans="1:3" ht="13.5">
      <c r="A20" s="3253"/>
      <c r="B20" s="3248" t="s">
        <v>1667</v>
      </c>
      <c r="C20" s="3247"/>
    </row>
    <row r="21" spans="1:3" ht="13.5">
      <c r="A21" s="1992" t="s">
        <v>1668</v>
      </c>
      <c r="B21" s="1993"/>
      <c r="C21" s="1994"/>
    </row>
    <row r="22" spans="1:3" ht="13.5">
      <c r="A22" s="3250" t="s">
        <v>1669</v>
      </c>
      <c r="B22" s="3248" t="s">
        <v>1670</v>
      </c>
      <c r="C22" s="3247"/>
    </row>
    <row r="23" spans="1:3" ht="13.5">
      <c r="A23" s="3250"/>
      <c r="B23" s="3248" t="s">
        <v>1671</v>
      </c>
      <c r="C23" s="3247"/>
    </row>
    <row r="24" spans="1:3" ht="13.5">
      <c r="A24" s="3250"/>
      <c r="B24" s="3248" t="s">
        <v>1672</v>
      </c>
      <c r="C24" s="3247"/>
    </row>
    <row r="25" spans="1:3" ht="13.5">
      <c r="A25" s="3250"/>
      <c r="B25" s="3249" t="s">
        <v>1673</v>
      </c>
      <c r="C25" s="1991" t="s">
        <v>1674</v>
      </c>
    </row>
    <row r="26" spans="1:3" ht="13.5">
      <c r="A26" s="3250"/>
      <c r="B26" s="3249"/>
      <c r="C26" s="1991" t="s">
        <v>1675</v>
      </c>
    </row>
    <row r="27" spans="1:3" ht="13.5">
      <c r="A27" s="3250"/>
      <c r="B27" s="3249"/>
      <c r="C27" s="1991" t="s">
        <v>1676</v>
      </c>
    </row>
    <row r="28" spans="1:3" ht="13.5">
      <c r="A28" s="3250"/>
      <c r="B28" s="3249"/>
      <c r="C28" s="1991" t="s">
        <v>1677</v>
      </c>
    </row>
    <row r="29" spans="1:3" ht="13.5">
      <c r="A29" s="3250"/>
      <c r="B29" s="3249"/>
      <c r="C29" s="1991" t="s">
        <v>1678</v>
      </c>
    </row>
    <row r="30" spans="1:3" ht="13.5">
      <c r="A30" s="3250"/>
      <c r="B30" s="3249"/>
      <c r="C30" s="1991" t="s">
        <v>1679</v>
      </c>
    </row>
    <row r="31" spans="1:3" ht="13.5">
      <c r="A31" s="3250"/>
      <c r="B31" s="3249"/>
      <c r="C31" s="1991" t="s">
        <v>1680</v>
      </c>
    </row>
    <row r="32" spans="1:3" ht="13.5">
      <c r="A32" s="3250"/>
      <c r="B32" s="3249"/>
      <c r="C32" s="1991" t="s">
        <v>1681</v>
      </c>
    </row>
    <row r="33" spans="1:3" ht="13.5">
      <c r="A33" s="3250"/>
      <c r="B33" s="3249"/>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23" sqref="B23:C23"/>
    </sheetView>
  </sheetViews>
  <sheetFormatPr defaultColWidth="22.625" defaultRowHeight="24" customHeight="1"/>
  <cols>
    <col min="1" max="2" width="22.625" style="1015"/>
    <col min="3" max="3" width="32.125" style="1015" customWidth="1"/>
    <col min="4" max="5" width="22.625" style="1015"/>
    <col min="6" max="6" width="25.625" style="1015" customWidth="1"/>
    <col min="7" max="16384" width="22.625" style="1015"/>
  </cols>
  <sheetData>
    <row r="2" spans="1:6" ht="24" customHeight="1">
      <c r="A2" s="1017" t="s">
        <v>825</v>
      </c>
      <c r="B2" s="1018">
        <f ca="1">TODAY()</f>
        <v>44462</v>
      </c>
      <c r="C2" s="1019" t="s">
        <v>826</v>
      </c>
      <c r="D2" s="1019"/>
    </row>
    <row r="3" spans="1:6" ht="24" customHeight="1">
      <c r="A3" s="1020" t="s">
        <v>827</v>
      </c>
      <c r="B3" s="1021" t="s">
        <v>828</v>
      </c>
      <c r="C3" s="2339" t="s">
        <v>829</v>
      </c>
      <c r="D3" s="2342" t="s">
        <v>830</v>
      </c>
      <c r="E3" s="1022" t="s">
        <v>831</v>
      </c>
      <c r="F3" s="1021" t="s">
        <v>829</v>
      </c>
    </row>
    <row r="4" spans="1:6" ht="24" customHeight="1">
      <c r="A4" s="1702" t="s">
        <v>832</v>
      </c>
      <c r="B4" s="1022">
        <f ca="1">IF(C4&lt;B2,"已过期",1119970066)</f>
        <v>1119970066</v>
      </c>
      <c r="C4" s="2922">
        <v>44876</v>
      </c>
      <c r="D4" s="2343" t="s">
        <v>832</v>
      </c>
      <c r="E4" s="1022">
        <f ca="1">IF(F4&lt;B2,"已过期",96010014)</f>
        <v>96010014</v>
      </c>
      <c r="F4" s="1030">
        <v>47118</v>
      </c>
    </row>
    <row r="5" spans="1:6" ht="24" customHeight="1">
      <c r="A5" s="1702"/>
      <c r="B5" s="1022"/>
      <c r="C5" s="2340"/>
      <c r="D5" s="2343"/>
      <c r="E5" s="1022"/>
      <c r="F5" s="1030"/>
    </row>
    <row r="6" spans="1:6" ht="24" customHeight="1">
      <c r="A6" s="1702" t="s">
        <v>833</v>
      </c>
      <c r="B6" s="1022">
        <f ca="1">IF(C6&lt;B2,"已过期",1119970111)</f>
        <v>1119970111</v>
      </c>
      <c r="C6" s="2340">
        <v>44876</v>
      </c>
      <c r="D6" s="2343" t="s">
        <v>833</v>
      </c>
      <c r="E6" s="1022">
        <f ca="1">IF(F6&lt;B2,"已过期",94010078)</f>
        <v>94010078</v>
      </c>
      <c r="F6" s="1030">
        <v>46387</v>
      </c>
    </row>
    <row r="7" spans="1:6" ht="24" customHeight="1">
      <c r="A7" s="1702" t="s">
        <v>834</v>
      </c>
      <c r="B7" s="1022" t="str">
        <f ca="1">IF(C7&lt;B2,"已过期",1120050019)</f>
        <v>已过期</v>
      </c>
      <c r="C7" s="2340">
        <v>44395</v>
      </c>
      <c r="D7" s="2343" t="s">
        <v>834</v>
      </c>
      <c r="E7" s="1022">
        <f ca="1">IF(F7&lt;B2,"已过期",2002110030)</f>
        <v>2002110030</v>
      </c>
      <c r="F7" s="1030">
        <v>46387</v>
      </c>
    </row>
    <row r="8" spans="1:6" ht="24" customHeight="1">
      <c r="A8" s="1702" t="s">
        <v>835</v>
      </c>
      <c r="B8" s="1022">
        <f ca="1">IF(C8&lt;B2,"已过期",1120000080)</f>
        <v>1120000080</v>
      </c>
      <c r="C8" s="2922">
        <v>44876</v>
      </c>
      <c r="D8" s="2343" t="s">
        <v>835</v>
      </c>
      <c r="E8" s="1022">
        <f ca="1">IF(F8&lt;B2,"已过期",2000110082)</f>
        <v>2000110082</v>
      </c>
      <c r="F8" s="1030">
        <v>46387</v>
      </c>
    </row>
    <row r="9" spans="1:6" ht="24" customHeight="1">
      <c r="A9" s="1702" t="s">
        <v>836</v>
      </c>
      <c r="B9" s="1022">
        <f ca="1">IF(C9&lt;B2,"已过期",1419970001)</f>
        <v>1419970001</v>
      </c>
      <c r="C9" s="2922">
        <v>44899</v>
      </c>
      <c r="D9" s="2343" t="s">
        <v>836</v>
      </c>
      <c r="E9" s="1022">
        <f ca="1">IF(F9&lt;B2,"已过期",2002110125)</f>
        <v>2002110125</v>
      </c>
      <c r="F9" s="1030">
        <v>47118</v>
      </c>
    </row>
    <row r="10" spans="1:6" ht="24" customHeight="1">
      <c r="A10" s="1702" t="s">
        <v>837</v>
      </c>
      <c r="B10" s="1022">
        <f ca="1">IF(C10&lt;B2,"已过期",1120060040)</f>
        <v>1120060040</v>
      </c>
      <c r="C10" s="2340">
        <v>44554</v>
      </c>
      <c r="D10" s="2343" t="s">
        <v>837</v>
      </c>
      <c r="E10" s="1022">
        <f ca="1">IF(F10&lt;B2,"已过期",2004110096)</f>
        <v>2004110096</v>
      </c>
      <c r="F10" s="1030">
        <v>47118</v>
      </c>
    </row>
    <row r="11" spans="1:6" ht="24" customHeight="1">
      <c r="A11" s="1702" t="s">
        <v>838</v>
      </c>
      <c r="B11" s="1022">
        <f ca="1">IF(C11&lt;B2,"已过期",1120100036)</f>
        <v>1120100036</v>
      </c>
      <c r="C11" s="2340">
        <v>44675</v>
      </c>
      <c r="D11" s="2343" t="s">
        <v>838</v>
      </c>
      <c r="E11" s="1022">
        <f ca="1">IF(F11&lt;B2,"已过期",2010110070)</f>
        <v>2010110070</v>
      </c>
      <c r="F11" s="1030">
        <v>47907</v>
      </c>
    </row>
    <row r="12" spans="1:6" ht="24" customHeight="1">
      <c r="A12" s="1702"/>
      <c r="B12" s="1022"/>
      <c r="C12" s="2922"/>
      <c r="D12" s="1702"/>
      <c r="E12" s="1022"/>
      <c r="F12" s="1030"/>
    </row>
    <row r="13" spans="1:6" ht="24" customHeight="1">
      <c r="A13" s="1702" t="s">
        <v>839</v>
      </c>
      <c r="B13" s="1022">
        <f ca="1">IF(C13&lt;B2,"已过期",1120070131)</f>
        <v>1120070131</v>
      </c>
      <c r="C13" s="2340">
        <v>44849</v>
      </c>
      <c r="D13" s="2343" t="s">
        <v>839</v>
      </c>
      <c r="E13" s="1022">
        <f ca="1">IF(F13&lt;B2,"已过期",2014110011)</f>
        <v>2014110011</v>
      </c>
      <c r="F13" s="1030">
        <v>49302</v>
      </c>
    </row>
    <row r="14" spans="1:6" ht="24" customHeight="1">
      <c r="A14" s="1702" t="s">
        <v>3040</v>
      </c>
      <c r="B14" s="1022">
        <f ca="1">IF(C14&lt;B2,"已过期",1120040230)</f>
        <v>1120040230</v>
      </c>
      <c r="C14" s="2340">
        <v>44864</v>
      </c>
      <c r="D14" s="2343" t="s">
        <v>3040</v>
      </c>
      <c r="E14" s="1022">
        <f ca="1">IF(F14&lt;B2,"已过期",98030020)</f>
        <v>98030020</v>
      </c>
      <c r="F14" s="1030">
        <v>47118</v>
      </c>
    </row>
    <row r="15" spans="1:6" ht="24" customHeight="1">
      <c r="A15" s="1703"/>
      <c r="B15" s="1022"/>
      <c r="C15" s="2340"/>
      <c r="D15" s="2344"/>
      <c r="E15" s="1022"/>
      <c r="F15" s="1023"/>
    </row>
    <row r="16" spans="1:6" ht="24" customHeight="1">
      <c r="A16" s="1702"/>
      <c r="B16" s="1022"/>
      <c r="C16" s="2922"/>
      <c r="D16" s="2343"/>
      <c r="E16" s="1022"/>
      <c r="F16" s="1030"/>
    </row>
    <row r="17" spans="1:7" ht="24" customHeight="1">
      <c r="A17" s="1702"/>
      <c r="B17" s="1022"/>
      <c r="C17" s="2340"/>
      <c r="D17" s="2343"/>
      <c r="E17" s="1022"/>
      <c r="F17" s="1030"/>
    </row>
    <row r="18" spans="1:7" ht="24" customHeight="1">
      <c r="A18" s="1702" t="s">
        <v>3047</v>
      </c>
      <c r="B18" s="1022">
        <v>1120190079</v>
      </c>
      <c r="C18" s="2922">
        <v>44826</v>
      </c>
      <c r="D18" s="2343"/>
      <c r="E18" s="1022"/>
      <c r="F18" s="1030"/>
    </row>
    <row r="19" spans="1:7" ht="24" customHeight="1">
      <c r="A19" s="1702"/>
      <c r="B19" s="1022"/>
      <c r="C19" s="2340"/>
      <c r="D19" s="2343"/>
      <c r="E19" s="1022"/>
      <c r="F19" s="1022"/>
    </row>
    <row r="20" spans="1:7" ht="24" customHeight="1">
      <c r="A20" s="1702"/>
      <c r="B20" s="1022"/>
      <c r="C20" s="2340"/>
      <c r="D20" s="2343"/>
      <c r="E20" s="1022"/>
      <c r="F20" s="1022"/>
    </row>
    <row r="21" spans="1:7" ht="24" customHeight="1">
      <c r="A21" s="1702"/>
      <c r="B21" s="1022"/>
      <c r="C21" s="2340"/>
      <c r="D21" s="2343" t="s">
        <v>840</v>
      </c>
      <c r="E21" s="1022">
        <f ca="1">IF(F21&lt;B2,"已过期",2011110090)</f>
        <v>2011110090</v>
      </c>
      <c r="F21" s="1030">
        <v>48302</v>
      </c>
    </row>
    <row r="22" spans="1:7" ht="24" customHeight="1">
      <c r="A22" s="1702" t="s">
        <v>841</v>
      </c>
      <c r="B22" s="1022" t="str">
        <f ca="1">IF(C22&lt;B2,"已过期",1120020033)</f>
        <v>已过期</v>
      </c>
      <c r="C22" s="2922">
        <v>44339</v>
      </c>
      <c r="D22" s="2343" t="s">
        <v>841</v>
      </c>
      <c r="E22" s="1022">
        <f ca="1">IF(F22&lt;B2,"已过期",2000110137)</f>
        <v>2000110137</v>
      </c>
      <c r="F22" s="1030">
        <v>46387</v>
      </c>
    </row>
    <row r="23" spans="1:7" ht="24" customHeight="1">
      <c r="A23" s="1702" t="s">
        <v>3049</v>
      </c>
      <c r="B23" s="1022">
        <v>1119980106</v>
      </c>
      <c r="C23" s="2340">
        <v>44969</v>
      </c>
      <c r="D23" s="2343"/>
      <c r="E23" s="1022"/>
      <c r="F23" s="1022"/>
    </row>
    <row r="24" spans="1:7" s="1024" customFormat="1" ht="24" customHeight="1">
      <c r="A24" s="1703" t="s">
        <v>1328</v>
      </c>
      <c r="B24" s="1703" t="s">
        <v>1328</v>
      </c>
      <c r="C24" s="2341" t="s">
        <v>1328</v>
      </c>
      <c r="D24" s="2344" t="s">
        <v>1328</v>
      </c>
      <c r="E24" s="1703" t="s">
        <v>1328</v>
      </c>
      <c r="F24" s="1703" t="s">
        <v>1328</v>
      </c>
    </row>
    <row r="25" spans="1:7" ht="24" customHeight="1">
      <c r="A25" s="3254" t="s">
        <v>842</v>
      </c>
      <c r="B25" s="3254"/>
      <c r="C25" s="3254"/>
      <c r="D25" s="3254"/>
      <c r="E25" s="3254"/>
      <c r="F25" s="3254"/>
      <c r="G25" s="3254"/>
    </row>
    <row r="26" spans="1:7" s="1025" customFormat="1" ht="24" customHeight="1">
      <c r="A26" s="3255" t="s">
        <v>843</v>
      </c>
      <c r="B26" s="3255"/>
      <c r="C26" s="3256"/>
      <c r="D26" s="3257" t="s">
        <v>844</v>
      </c>
      <c r="E26" s="3255"/>
      <c r="F26" s="3255"/>
    </row>
    <row r="27" spans="1:7" s="1027" customFormat="1" ht="24" customHeight="1">
      <c r="A27" s="1026" t="s">
        <v>845</v>
      </c>
      <c r="B27" s="1021" t="s">
        <v>846</v>
      </c>
      <c r="C27" s="2339" t="s">
        <v>847</v>
      </c>
      <c r="D27" s="2346" t="s">
        <v>845</v>
      </c>
      <c r="E27" s="1021" t="s">
        <v>846</v>
      </c>
      <c r="F27" s="1021" t="s">
        <v>847</v>
      </c>
    </row>
    <row r="28" spans="1:7" s="1027" customFormat="1" ht="24" customHeight="1">
      <c r="A28" s="1028" t="s">
        <v>848</v>
      </c>
      <c r="B28" s="1029" t="s">
        <v>849</v>
      </c>
      <c r="C28" s="1030">
        <v>44820</v>
      </c>
      <c r="D28" s="2347" t="s">
        <v>850</v>
      </c>
      <c r="E28" s="1028" t="s">
        <v>851</v>
      </c>
      <c r="F28" s="1058">
        <v>44377</v>
      </c>
    </row>
    <row r="29" spans="1:7" s="1027" customFormat="1" ht="24" customHeight="1">
      <c r="A29" s="1028"/>
      <c r="B29" s="1028"/>
      <c r="C29" s="2345"/>
      <c r="D29" s="2347" t="s">
        <v>852</v>
      </c>
      <c r="E29" s="1202" t="s">
        <v>3048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136</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基础数据</vt:lpstr>
      <vt:lpstr>估价对象房地状况</vt:lpstr>
      <vt:lpstr>系统读取表</vt:lpstr>
      <vt:lpstr>ppt数据</vt:lpstr>
      <vt:lpstr>租金周边</vt:lpstr>
      <vt:lpstr>面积分摊</vt:lpstr>
      <vt:lpstr>结果表</vt:lpstr>
      <vt:lpstr>估价结果</vt:lpstr>
      <vt:lpstr>成本法-住宅</vt:lpstr>
      <vt:lpstr>成本法-仓储</vt:lpstr>
      <vt:lpstr>收益法-住宅</vt:lpstr>
      <vt:lpstr>收益法-仓储</vt:lpstr>
      <vt:lpstr>Sheet1</vt:lpstr>
      <vt:lpstr>收益法-车库</vt:lpstr>
      <vt:lpstr>成本法 (元)</vt:lpstr>
      <vt:lpstr>假设开发法</vt:lpstr>
      <vt:lpstr>成本法-车库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住宅租金案例</vt:lpstr>
      <vt:lpstr>车库租金案例</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 (元)'!Print_Area</vt:lpstr>
      <vt:lpstr>'收益法-仓储'!Print_Area</vt:lpstr>
      <vt:lpstr>'收益法-车库'!Print_Area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2021-09-23T02:09:20Z</dcterms:modified>
</cp:coreProperties>
</file>